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.grosa\Desktop\"/>
    </mc:Choice>
  </mc:AlternateContent>
  <xr:revisionPtr revIDLastSave="0" documentId="8_{1EA3AC83-169D-4E3E-B377-E3E2DF4AD531}" xr6:coauthVersionLast="47" xr6:coauthVersionMax="47" xr10:uidLastSave="{00000000-0000-0000-0000-000000000000}"/>
  <bookViews>
    <workbookView xWindow="-120" yWindow="-120" windowWidth="20730" windowHeight="11160" xr2:uid="{D0E43C40-0EBB-4A43-B90A-D949ECD6D1BD}"/>
  </bookViews>
  <sheets>
    <sheet name="A grupas ceļ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1" l="1"/>
  <c r="Y129" i="1"/>
  <c r="X129" i="1"/>
  <c r="W129" i="1"/>
  <c r="V129" i="1"/>
  <c r="U129" i="1"/>
  <c r="T129" i="1"/>
  <c r="Y128" i="1"/>
  <c r="X128" i="1"/>
  <c r="W128" i="1"/>
  <c r="V128" i="1"/>
  <c r="U128" i="1"/>
  <c r="T128" i="1"/>
  <c r="F128" i="1"/>
  <c r="Y127" i="1"/>
  <c r="X127" i="1"/>
  <c r="W127" i="1"/>
  <c r="V127" i="1"/>
  <c r="U127" i="1"/>
  <c r="T127" i="1"/>
  <c r="Y126" i="1"/>
  <c r="X126" i="1"/>
  <c r="W126" i="1"/>
  <c r="V126" i="1"/>
  <c r="V130" i="1" s="1"/>
  <c r="U126" i="1"/>
  <c r="T126" i="1"/>
  <c r="F126" i="1"/>
  <c r="P124" i="1"/>
  <c r="M124" i="1"/>
  <c r="L124" i="1"/>
  <c r="F125" i="1"/>
  <c r="Y109" i="1"/>
  <c r="X109" i="1"/>
  <c r="W109" i="1"/>
  <c r="V109" i="1"/>
  <c r="U109" i="1"/>
  <c r="T109" i="1"/>
  <c r="Y108" i="1"/>
  <c r="X108" i="1"/>
  <c r="W108" i="1"/>
  <c r="V108" i="1"/>
  <c r="U108" i="1"/>
  <c r="T108" i="1"/>
  <c r="Y107" i="1"/>
  <c r="X107" i="1"/>
  <c r="W107" i="1"/>
  <c r="V107" i="1"/>
  <c r="U107" i="1"/>
  <c r="T107" i="1"/>
  <c r="Y106" i="1"/>
  <c r="X106" i="1"/>
  <c r="W106" i="1"/>
  <c r="W110" i="1" s="1"/>
  <c r="V106" i="1"/>
  <c r="V110" i="1" s="1"/>
  <c r="U106" i="1"/>
  <c r="T106" i="1"/>
  <c r="F106" i="1"/>
  <c r="P104" i="1"/>
  <c r="M104" i="1"/>
  <c r="L104" i="1"/>
  <c r="F105" i="1"/>
  <c r="F108" i="1" s="1"/>
  <c r="AE81" i="1"/>
  <c r="AD81" i="1"/>
  <c r="AC81" i="1"/>
  <c r="AB81" i="1"/>
  <c r="AA81" i="1"/>
  <c r="X81" i="1"/>
  <c r="W81" i="1"/>
  <c r="V81" i="1"/>
  <c r="U81" i="1"/>
  <c r="T81" i="1"/>
  <c r="AE80" i="1"/>
  <c r="AC80" i="1"/>
  <c r="AB80" i="1"/>
  <c r="AA80" i="1"/>
  <c r="X80" i="1"/>
  <c r="V80" i="1"/>
  <c r="U80" i="1"/>
  <c r="T80" i="1"/>
  <c r="AE79" i="1"/>
  <c r="AD79" i="1"/>
  <c r="AC79" i="1"/>
  <c r="AB79" i="1"/>
  <c r="AA79" i="1"/>
  <c r="X79" i="1"/>
  <c r="W79" i="1"/>
  <c r="V79" i="1"/>
  <c r="U79" i="1"/>
  <c r="T79" i="1"/>
  <c r="Y79" i="1" s="1"/>
  <c r="AE78" i="1"/>
  <c r="AE82" i="1" s="1"/>
  <c r="AD78" i="1"/>
  <c r="AC78" i="1"/>
  <c r="AB78" i="1"/>
  <c r="AB82" i="1" s="1"/>
  <c r="AA78" i="1"/>
  <c r="AA82" i="1" s="1"/>
  <c r="X78" i="1"/>
  <c r="W78" i="1"/>
  <c r="V78" i="1"/>
  <c r="V82" i="1" s="1"/>
  <c r="U78" i="1"/>
  <c r="U82" i="1" s="1"/>
  <c r="T78" i="1"/>
  <c r="P76" i="1"/>
  <c r="M76" i="1"/>
  <c r="L76" i="1"/>
  <c r="F77" i="1"/>
  <c r="F80" i="1" s="1"/>
  <c r="F71" i="1"/>
  <c r="W80" i="1" s="1"/>
  <c r="AE58" i="1"/>
  <c r="AD58" i="1"/>
  <c r="AC58" i="1"/>
  <c r="AB58" i="1"/>
  <c r="AA58" i="1"/>
  <c r="X58" i="1"/>
  <c r="W58" i="1"/>
  <c r="V58" i="1"/>
  <c r="U58" i="1"/>
  <c r="Y58" i="1" s="1"/>
  <c r="T58" i="1"/>
  <c r="AE57" i="1"/>
  <c r="AD57" i="1"/>
  <c r="AC57" i="1"/>
  <c r="AB57" i="1"/>
  <c r="AA57" i="1"/>
  <c r="X57" i="1"/>
  <c r="W57" i="1"/>
  <c r="V57" i="1"/>
  <c r="U57" i="1"/>
  <c r="T57" i="1"/>
  <c r="AE56" i="1"/>
  <c r="AD56" i="1"/>
  <c r="AC56" i="1"/>
  <c r="AB56" i="1"/>
  <c r="AA56" i="1"/>
  <c r="AF56" i="1" s="1"/>
  <c r="X56" i="1"/>
  <c r="W56" i="1"/>
  <c r="V56" i="1"/>
  <c r="U56" i="1"/>
  <c r="T56" i="1"/>
  <c r="AE55" i="1"/>
  <c r="AD55" i="1"/>
  <c r="AC55" i="1"/>
  <c r="AC59" i="1" s="1"/>
  <c r="AB55" i="1"/>
  <c r="AA55" i="1"/>
  <c r="X55" i="1"/>
  <c r="X59" i="1" s="1"/>
  <c r="W55" i="1"/>
  <c r="V55" i="1"/>
  <c r="V59" i="1" s="1"/>
  <c r="U55" i="1"/>
  <c r="T55" i="1"/>
  <c r="T59" i="1" s="1"/>
  <c r="P53" i="1"/>
  <c r="M53" i="1"/>
  <c r="L53" i="1"/>
  <c r="F54" i="1"/>
  <c r="F57" i="1" s="1"/>
  <c r="AE40" i="1"/>
  <c r="AD40" i="1"/>
  <c r="AC40" i="1"/>
  <c r="AB40" i="1"/>
  <c r="AA40" i="1"/>
  <c r="AF40" i="1" s="1"/>
  <c r="Y40" i="1"/>
  <c r="X40" i="1"/>
  <c r="W40" i="1"/>
  <c r="V40" i="1"/>
  <c r="U40" i="1"/>
  <c r="T40" i="1"/>
  <c r="AE39" i="1"/>
  <c r="AD39" i="1"/>
  <c r="AC39" i="1"/>
  <c r="AB39" i="1"/>
  <c r="AA39" i="1"/>
  <c r="Y39" i="1"/>
  <c r="X39" i="1"/>
  <c r="W39" i="1"/>
  <c r="V39" i="1"/>
  <c r="U39" i="1"/>
  <c r="T39" i="1"/>
  <c r="AE38" i="1"/>
  <c r="AD38" i="1"/>
  <c r="AC38" i="1"/>
  <c r="AB38" i="1"/>
  <c r="AA38" i="1"/>
  <c r="Y38" i="1"/>
  <c r="X38" i="1"/>
  <c r="W38" i="1"/>
  <c r="V38" i="1"/>
  <c r="U38" i="1"/>
  <c r="T38" i="1"/>
  <c r="F38" i="1"/>
  <c r="F133" i="1" s="1"/>
  <c r="AE37" i="1"/>
  <c r="AD37" i="1"/>
  <c r="AC37" i="1"/>
  <c r="AC41" i="1" s="1"/>
  <c r="AB37" i="1"/>
  <c r="AB41" i="1" s="1"/>
  <c r="AA37" i="1"/>
  <c r="Y37" i="1"/>
  <c r="X37" i="1"/>
  <c r="X41" i="1" s="1"/>
  <c r="W37" i="1"/>
  <c r="W41" i="1" s="1"/>
  <c r="V37" i="1"/>
  <c r="U37" i="1"/>
  <c r="T37" i="1"/>
  <c r="T41" i="1" s="1"/>
  <c r="P35" i="1"/>
  <c r="M35" i="1"/>
  <c r="L35" i="1"/>
  <c r="F36" i="1"/>
  <c r="F39" i="1" s="1"/>
  <c r="D32" i="1"/>
  <c r="E32" i="1" s="1"/>
  <c r="AE20" i="1"/>
  <c r="AD20" i="1"/>
  <c r="AC20" i="1"/>
  <c r="AB20" i="1"/>
  <c r="AA20" i="1"/>
  <c r="X20" i="1"/>
  <c r="W20" i="1"/>
  <c r="V20" i="1"/>
  <c r="U20" i="1"/>
  <c r="AE19" i="1"/>
  <c r="AD19" i="1"/>
  <c r="AC19" i="1"/>
  <c r="AB19" i="1"/>
  <c r="AA19" i="1"/>
  <c r="X19" i="1"/>
  <c r="X21" i="1" s="1"/>
  <c r="V19" i="1"/>
  <c r="U19" i="1"/>
  <c r="AE18" i="1"/>
  <c r="AD18" i="1"/>
  <c r="AC18" i="1"/>
  <c r="AB18" i="1"/>
  <c r="AA18" i="1"/>
  <c r="Y18" i="1"/>
  <c r="X18" i="1"/>
  <c r="W18" i="1"/>
  <c r="V18" i="1"/>
  <c r="U18" i="1"/>
  <c r="T18" i="1"/>
  <c r="AE17" i="1"/>
  <c r="AD17" i="1"/>
  <c r="AD21" i="1" s="1"/>
  <c r="AC17" i="1"/>
  <c r="AB17" i="1"/>
  <c r="AB21" i="1" s="1"/>
  <c r="AA17" i="1"/>
  <c r="Y17" i="1"/>
  <c r="X17" i="1"/>
  <c r="W17" i="1"/>
  <c r="V17" i="1"/>
  <c r="U17" i="1"/>
  <c r="U21" i="1" s="1"/>
  <c r="T17" i="1"/>
  <c r="P15" i="1"/>
  <c r="M15" i="1"/>
  <c r="L15" i="1"/>
  <c r="F14" i="1"/>
  <c r="F17" i="1" s="1"/>
  <c r="F13" i="1"/>
  <c r="Y20" i="1" s="1"/>
  <c r="F12" i="1"/>
  <c r="F11" i="1"/>
  <c r="AF18" i="1" l="1"/>
  <c r="T19" i="1"/>
  <c r="AA21" i="1"/>
  <c r="AE21" i="1"/>
  <c r="U41" i="1"/>
  <c r="Y41" i="1"/>
  <c r="AD41" i="1"/>
  <c r="AF39" i="1"/>
  <c r="AF41" i="1" s="1"/>
  <c r="AD59" i="1"/>
  <c r="AF58" i="1"/>
  <c r="AC82" i="1"/>
  <c r="AF79" i="1"/>
  <c r="T110" i="1"/>
  <c r="X110" i="1"/>
  <c r="F132" i="1"/>
  <c r="W130" i="1"/>
  <c r="AF20" i="1"/>
  <c r="V41" i="1"/>
  <c r="AF37" i="1"/>
  <c r="AE41" i="1"/>
  <c r="AA59" i="1"/>
  <c r="AE59" i="1"/>
  <c r="U59" i="1"/>
  <c r="T82" i="1"/>
  <c r="X82" i="1"/>
  <c r="Y81" i="1"/>
  <c r="U110" i="1"/>
  <c r="Y110" i="1"/>
  <c r="L127" i="1"/>
  <c r="T130" i="1"/>
  <c r="X130" i="1"/>
  <c r="Y21" i="1"/>
  <c r="W59" i="1"/>
  <c r="P127" i="1"/>
  <c r="Y19" i="1"/>
  <c r="V21" i="1"/>
  <c r="AC21" i="1"/>
  <c r="AF38" i="1"/>
  <c r="Y56" i="1"/>
  <c r="AB59" i="1"/>
  <c r="AF81" i="1"/>
  <c r="M127" i="1"/>
  <c r="U130" i="1"/>
  <c r="Y130" i="1"/>
  <c r="W82" i="1"/>
  <c r="Y80" i="1"/>
  <c r="AF17" i="1"/>
  <c r="AA41" i="1"/>
  <c r="F19" i="1"/>
  <c r="F134" i="1" s="1"/>
  <c r="W19" i="1"/>
  <c r="W21" i="1" s="1"/>
  <c r="AF19" i="1"/>
  <c r="AF55" i="1"/>
  <c r="Y78" i="1"/>
  <c r="AD80" i="1"/>
  <c r="AD82" i="1" s="1"/>
  <c r="F16" i="1"/>
  <c r="F131" i="1" s="1"/>
  <c r="T20" i="1"/>
  <c r="T21" i="1" s="1"/>
  <c r="AF57" i="1"/>
  <c r="Y55" i="1"/>
  <c r="Y59" i="1" s="1"/>
  <c r="AF78" i="1"/>
  <c r="Y57" i="1"/>
  <c r="Y82" i="1" l="1"/>
  <c r="AF59" i="1"/>
  <c r="AF21" i="1"/>
  <c r="AF80" i="1"/>
  <c r="AF82" i="1" s="1"/>
</calcChain>
</file>

<file path=xl/sharedStrings.xml><?xml version="1.0" encoding="utf-8"?>
<sst xmlns="http://schemas.openxmlformats.org/spreadsheetml/2006/main" count="511" uniqueCount="107">
  <si>
    <t>Siguldas novada pašvaldības ikdienas uzturēšanas ceļu saraksts</t>
  </si>
  <si>
    <t>A</t>
  </si>
  <si>
    <t>B</t>
  </si>
  <si>
    <t>C</t>
  </si>
  <si>
    <t>D</t>
  </si>
  <si>
    <t>E</t>
  </si>
  <si>
    <t>Siguldas novada pašvaldības ikdienas uzturēšanas ceļu saraksts A grupas ceļiem Siguldas pagastā</t>
  </si>
  <si>
    <t>1000+</t>
  </si>
  <si>
    <t>500-1000</t>
  </si>
  <si>
    <t>100-499</t>
  </si>
  <si>
    <t>līdz 100</t>
  </si>
  <si>
    <t>Nevar nodrošināt D</t>
  </si>
  <si>
    <t>100+</t>
  </si>
  <si>
    <t>Nr.
p.k.</t>
  </si>
  <si>
    <t>Ceļa numurs
un nosaukums</t>
  </si>
  <si>
    <t>Ceļu raksturojošie parametri</t>
  </si>
  <si>
    <t>Kadastra objekta identifikators</t>
  </si>
  <si>
    <t>ceļš</t>
  </si>
  <si>
    <t>tilts vai satiksmes pārvads</t>
  </si>
  <si>
    <r>
      <t>gājēju un velosipēdu ceļa 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</si>
  <si>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adrese (km)</t>
  </si>
  <si>
    <t>garums
(km)</t>
  </si>
  <si>
    <t>Platums (m)</t>
  </si>
  <si>
    <t>seguma
veids</t>
  </si>
  <si>
    <t>nosaukums</t>
  </si>
  <si>
    <t>Adrese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</si>
  <si>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</si>
  <si>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</si>
  <si>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</si>
  <si>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</si>
  <si>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īpašuma kadastra numurs</t>
  </si>
  <si>
    <t>zemes vienības/ lineārās inženier-būves kadastra apzīmējums</t>
  </si>
  <si>
    <t>Uzturēšanas klase</t>
  </si>
  <si>
    <t>no</t>
  </si>
  <si>
    <t>līdz</t>
  </si>
  <si>
    <t>km</t>
  </si>
  <si>
    <t>ģeodēziskās
koordinātas</t>
  </si>
  <si>
    <t>9410 A2- Kundziņi- Muldas</t>
  </si>
  <si>
    <t>grants</t>
  </si>
  <si>
    <t>9420 Stūrīši- Ezermalas (Jūdaži)</t>
  </si>
  <si>
    <t>melnais</t>
  </si>
  <si>
    <t>9433 P8- Limbas (Limbu ceļš)</t>
  </si>
  <si>
    <t>Nepiederoši ceļi</t>
  </si>
  <si>
    <t>Melnais segums</t>
  </si>
  <si>
    <t>Dubultā virsma</t>
  </si>
  <si>
    <t>Bruģa segums</t>
  </si>
  <si>
    <t>Grants segums</t>
  </si>
  <si>
    <t>Cits segums</t>
  </si>
  <si>
    <t>Kopā</t>
  </si>
  <si>
    <t>Kopā Siguldas pagasta A grupas ceļi</t>
  </si>
  <si>
    <t>Kopā tilti</t>
  </si>
  <si>
    <t>t.sk. ar melno segumu</t>
  </si>
  <si>
    <t>t.sk. ar bruģa segumu</t>
  </si>
  <si>
    <t>t.sk. ar grants (šķembu) segumu</t>
  </si>
  <si>
    <t>t.sk. ar citu segumu (bez seguma)</t>
  </si>
  <si>
    <t>Siguldas novada pašvaldības ikdienas uzturēšanas ceļu saraksts A grupas ceļiem Allažu pagastā</t>
  </si>
  <si>
    <t>4205 Egļupes ceļš</t>
  </si>
  <si>
    <t>Nepiederošs</t>
  </si>
  <si>
    <t>4218 Graudi - Darbnīcas</t>
  </si>
  <si>
    <t>Kopā Allažu pagasta A grupas ceļi</t>
  </si>
  <si>
    <t>Siguldas novada pašvaldības ikdienas uzturēšanas ceļu saraksts A grupas ceļiem Mālpils pagastā</t>
  </si>
  <si>
    <t>7401 Kapi-Vite</t>
  </si>
  <si>
    <t>80740060254; 80740060269; 80740060268; 80740030670</t>
  </si>
  <si>
    <t>7402 Tehnikums-Upmalas</t>
  </si>
  <si>
    <t xml:space="preserve">Nr.1                 </t>
  </si>
  <si>
    <t>X=317780</t>
  </si>
  <si>
    <t>Dz/betona</t>
  </si>
  <si>
    <t>80740020103; 80740030646</t>
  </si>
  <si>
    <t>7403 Ziediņi-Eļmi-Sidgunda</t>
  </si>
  <si>
    <t>80740050361; 80740030791</t>
  </si>
  <si>
    <t>Kopā Mālpils pagasta A grupas ceļi</t>
  </si>
  <si>
    <t>Siguldas novada pašvaldības ikdienas uzturēšanas ceļu saraksts A grupas ceļiem Inčukalna pagastā</t>
  </si>
  <si>
    <t>6401 Griķi-Puriņi</t>
  </si>
  <si>
    <t>80640050150</t>
  </si>
  <si>
    <t>80640080201</t>
  </si>
  <si>
    <t>6402 Salu ceļš</t>
  </si>
  <si>
    <t>80640030241</t>
  </si>
  <si>
    <t>80640030413</t>
  </si>
  <si>
    <t>6403 Uz Kļavām</t>
  </si>
  <si>
    <t>80640020619</t>
  </si>
  <si>
    <t>Kopā Inčukalna pagasta A grupas ceļi</t>
  </si>
  <si>
    <t>Siguldas novada pašvaldības ikdienas uzturēšanas ceļu saraksts A grupas ceļiem Krimuldas pagastā</t>
  </si>
  <si>
    <t>6801 Saules iela - Ziediņi</t>
  </si>
  <si>
    <t>6802 Apšenieki - Zutiņi</t>
  </si>
  <si>
    <t>6803 Muižnieki - Lēdurgas pagasts</t>
  </si>
  <si>
    <t>6804 Inciems - Grīvas - Valmieras šoseja</t>
  </si>
  <si>
    <t>6805 P7 - Kungu gatve
(Ceļš uz Krimuldas sanatoriju)</t>
  </si>
  <si>
    <t>6806 Pulkas - Kapūnas - Murjāņi</t>
  </si>
  <si>
    <t>Murjāņu t.</t>
  </si>
  <si>
    <t>E 24°40'00"
N 57°07'95"</t>
  </si>
  <si>
    <t>Dzelzsbet.</t>
  </si>
  <si>
    <t>Kopā Krimuldas pagasta A grupas ceļi</t>
  </si>
  <si>
    <t>Siguldas novada pašvaldības ikdienas uzturēšanas ceļu saraksts A grupas ceļiem Lēdurgas pagastā</t>
  </si>
  <si>
    <t>5601 Lejiņas - Nires</t>
  </si>
  <si>
    <t>5602 Jugla - Mežapiņi</t>
  </si>
  <si>
    <t>Juglas tilts</t>
  </si>
  <si>
    <r>
      <t>E 24</t>
    </r>
    <r>
      <rPr>
        <sz val="8"/>
        <rFont val="Calibri"/>
        <family val="2"/>
        <charset val="186"/>
      </rPr>
      <t>°51</t>
    </r>
    <r>
      <rPr>
        <sz val="8"/>
        <rFont val="Calibri"/>
        <family val="2"/>
        <charset val="186"/>
        <scheme val="minor"/>
      </rPr>
      <t>'33"
N 57°19'26"</t>
    </r>
  </si>
  <si>
    <t>5603 Pūlīši - Jauncepļi</t>
  </si>
  <si>
    <t>Kopā Lēdurgas pagasta A grupas ceļi</t>
  </si>
  <si>
    <t>Kopā Siguldas novada  A grupas ceļi</t>
  </si>
  <si>
    <t>Datums</t>
  </si>
  <si>
    <r>
      <t xml:space="preserve">Sagatavoja  </t>
    </r>
    <r>
      <rPr>
        <u/>
        <sz val="8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</si>
  <si>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Ceļu būvinženieris Rihards Keišs</t>
  </si>
  <si>
    <t>(amats, vārds, uzvārds )</t>
  </si>
  <si>
    <t>(paraksts)</t>
  </si>
  <si>
    <t>Apstiprināja</t>
  </si>
  <si>
    <t>Siguldas novada domes izpilddirektors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</si>
</sst>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8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name val="Calibri"/>
      <family val="2"/>
      <charset val="186"/>
    </font>
    <font>
      <u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164" fontId="2" fillId="0" borderId="9" xfId="2" applyNumberFormat="1" applyFont="1" applyBorder="1" applyAlignment="1">
      <alignment horizontal="center" vertical="center" wrapText="1"/>
    </xf>
    <xf numFmtId="164" fontId="2" fillId="0" borderId="14" xfId="2" applyNumberFormat="1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164" fontId="2" fillId="0" borderId="9" xfId="2" applyNumberFormat="1" applyFont="1" applyBorder="1" applyAlignment="1">
      <alignment horizontal="center" vertical="center" wrapText="1"/>
    </xf>
    <xf numFmtId="164" fontId="2" fillId="0" borderId="15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1" fontId="7" fillId="0" borderId="9" xfId="2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wrapText="1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1" applyFont="1"/>
    <xf numFmtId="0" fontId="4" fillId="0" borderId="9" xfId="1" applyFont="1" applyBorder="1" applyAlignment="1">
      <alignment horizontal="center" wrapText="1"/>
    </xf>
    <xf numFmtId="0" fontId="4" fillId="0" borderId="9" xfId="1" applyFont="1" applyBorder="1" applyAlignment="1">
      <alignment horizont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4" fontId="4" fillId="0" borderId="9" xfId="2" applyNumberFormat="1" applyFont="1" applyBorder="1" applyAlignment="1">
      <alignment horizontal="center"/>
    </xf>
    <xf numFmtId="4" fontId="4" fillId="0" borderId="0" xfId="2" applyNumberFormat="1" applyFont="1" applyAlignment="1">
      <alignment horizontal="center"/>
    </xf>
    <xf numFmtId="3" fontId="4" fillId="0" borderId="0" xfId="2" applyNumberFormat="1" applyFont="1"/>
    <xf numFmtId="3" fontId="4" fillId="0" borderId="0" xfId="2" applyNumberFormat="1" applyFont="1" applyAlignment="1">
      <alignment horizontal="center"/>
    </xf>
    <xf numFmtId="0" fontId="4" fillId="0" borderId="11" xfId="2" applyFont="1" applyBorder="1" applyAlignment="1">
      <alignment horizontal="center"/>
    </xf>
    <xf numFmtId="1" fontId="4" fillId="0" borderId="9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3" fontId="4" fillId="0" borderId="0" xfId="1" applyNumberFormat="1" applyFont="1" applyAlignment="1">
      <alignment horizontal="right"/>
    </xf>
    <xf numFmtId="0" fontId="2" fillId="0" borderId="11" xfId="2" applyFont="1" applyBorder="1" applyAlignment="1">
      <alignment horizontal="left"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applyFont="1" applyBorder="1" applyAlignment="1">
      <alignment vertical="center"/>
    </xf>
    <xf numFmtId="4" fontId="2" fillId="0" borderId="9" xfId="2" applyNumberFormat="1" applyFont="1" applyBorder="1" applyAlignment="1">
      <alignment horizontal="right"/>
    </xf>
    <xf numFmtId="4" fontId="2" fillId="0" borderId="0" xfId="2" applyNumberFormat="1" applyFont="1" applyAlignment="1">
      <alignment horizontal="right"/>
    </xf>
    <xf numFmtId="165" fontId="4" fillId="0" borderId="0" xfId="2" applyNumberFormat="1" applyFont="1"/>
    <xf numFmtId="3" fontId="2" fillId="0" borderId="0" xfId="2" applyNumberFormat="1" applyFont="1"/>
    <xf numFmtId="166" fontId="2" fillId="0" borderId="0" xfId="2" applyNumberFormat="1" applyFont="1" applyAlignment="1">
      <alignment horizontal="center" vertical="center"/>
    </xf>
    <xf numFmtId="165" fontId="4" fillId="0" borderId="9" xfId="1" applyNumberFormat="1" applyFont="1" applyBorder="1" applyAlignment="1">
      <alignment horizontal="right"/>
    </xf>
    <xf numFmtId="165" fontId="2" fillId="0" borderId="9" xfId="1" applyNumberFormat="1" applyFont="1" applyBorder="1"/>
    <xf numFmtId="164" fontId="2" fillId="0" borderId="0" xfId="2" applyNumberFormat="1" applyFont="1" applyAlignment="1">
      <alignment horizontal="center"/>
    </xf>
    <xf numFmtId="1" fontId="4" fillId="0" borderId="9" xfId="1" applyNumberFormat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165" fontId="2" fillId="0" borderId="0" xfId="2" applyNumberFormat="1" applyFont="1" applyAlignment="1">
      <alignment horizontal="center"/>
    </xf>
    <xf numFmtId="165" fontId="10" fillId="0" borderId="9" xfId="0" applyNumberFormat="1" applyFont="1" applyBorder="1"/>
    <xf numFmtId="0" fontId="7" fillId="0" borderId="10" xfId="2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4" fontId="2" fillId="0" borderId="0" xfId="2" applyNumberFormat="1" applyFont="1"/>
    <xf numFmtId="0" fontId="2" fillId="0" borderId="1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1" fontId="9" fillId="0" borderId="9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/>
    <xf numFmtId="2" fontId="9" fillId="0" borderId="13" xfId="0" applyNumberFormat="1" applyFont="1" applyBorder="1" applyAlignment="1">
      <alignment horizontal="center"/>
    </xf>
    <xf numFmtId="0" fontId="0" fillId="0" borderId="9" xfId="0" applyBorder="1"/>
    <xf numFmtId="0" fontId="9" fillId="0" borderId="14" xfId="0" applyFont="1" applyBorder="1" applyAlignment="1">
      <alignment horizontal="center"/>
    </xf>
    <xf numFmtId="0" fontId="9" fillId="0" borderId="5" xfId="0" applyFont="1" applyBorder="1"/>
    <xf numFmtId="0" fontId="9" fillId="2" borderId="9" xfId="0" applyFont="1" applyFill="1" applyBorder="1"/>
    <xf numFmtId="0" fontId="9" fillId="0" borderId="8" xfId="0" applyFont="1" applyBorder="1"/>
    <xf numFmtId="2" fontId="0" fillId="0" borderId="0" xfId="0" applyNumberFormat="1"/>
    <xf numFmtId="4" fontId="4" fillId="0" borderId="0" xfId="2" applyNumberFormat="1" applyFont="1"/>
    <xf numFmtId="1" fontId="7" fillId="0" borderId="10" xfId="2" applyNumberFormat="1" applyFont="1" applyBorder="1" applyAlignment="1">
      <alignment horizontal="center" vertic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2" applyFont="1" applyBorder="1" applyAlignment="1">
      <alignment horizontal="left"/>
    </xf>
    <xf numFmtId="0" fontId="0" fillId="0" borderId="14" xfId="0" applyBorder="1"/>
    <xf numFmtId="0" fontId="9" fillId="0" borderId="9" xfId="2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0" fillId="0" borderId="15" xfId="0" applyBorder="1"/>
    <xf numFmtId="0" fontId="1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2" applyFont="1" applyBorder="1"/>
    <xf numFmtId="0" fontId="9" fillId="0" borderId="9" xfId="2" applyFont="1" applyBorder="1" applyAlignment="1">
      <alignment horizontal="center" vertical="center"/>
    </xf>
    <xf numFmtId="2" fontId="9" fillId="0" borderId="13" xfId="2" applyNumberFormat="1" applyFont="1" applyBorder="1" applyAlignment="1">
      <alignment horizontal="center"/>
    </xf>
    <xf numFmtId="2" fontId="9" fillId="0" borderId="9" xfId="2" applyNumberFormat="1" applyFont="1" applyBorder="1" applyAlignment="1">
      <alignment horizontal="center"/>
    </xf>
    <xf numFmtId="0" fontId="9" fillId="0" borderId="9" xfId="2" applyFont="1" applyBorder="1" applyAlignment="1">
      <alignment horizontal="left"/>
    </xf>
    <xf numFmtId="0" fontId="9" fillId="0" borderId="5" xfId="2" applyFont="1" applyBorder="1"/>
    <xf numFmtId="164" fontId="9" fillId="0" borderId="9" xfId="2" applyNumberFormat="1" applyFont="1" applyBorder="1" applyAlignment="1">
      <alignment horizontal="center"/>
    </xf>
    <xf numFmtId="0" fontId="9" fillId="0" borderId="8" xfId="2" applyFont="1" applyBorder="1"/>
    <xf numFmtId="0" fontId="9" fillId="0" borderId="15" xfId="2" applyFont="1" applyBorder="1"/>
    <xf numFmtId="0" fontId="9" fillId="0" borderId="15" xfId="2" applyFont="1" applyBorder="1" applyAlignment="1">
      <alignment horizontal="center" vertical="center"/>
    </xf>
    <xf numFmtId="0" fontId="2" fillId="0" borderId="17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7" xfId="1" applyFont="1" applyBorder="1"/>
    <xf numFmtId="164" fontId="2" fillId="0" borderId="17" xfId="2" applyNumberFormat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164" fontId="8" fillId="0" borderId="18" xfId="2" applyNumberFormat="1" applyFont="1" applyBorder="1" applyAlignment="1">
      <alignment horizontal="center"/>
    </xf>
    <xf numFmtId="3" fontId="2" fillId="0" borderId="0" xfId="2" applyNumberFormat="1" applyFont="1" applyAlignment="1">
      <alignment vertical="center"/>
    </xf>
    <xf numFmtId="164" fontId="2" fillId="0" borderId="0" xfId="2" applyNumberFormat="1" applyFont="1"/>
    <xf numFmtId="0" fontId="4" fillId="0" borderId="0" xfId="2" applyFont="1" applyBorder="1" applyAlignment="1">
      <alignment horizontal="center"/>
    </xf>
    <xf numFmtId="4" fontId="4" fillId="0" borderId="13" xfId="2" applyNumberFormat="1" applyFont="1" applyBorder="1" applyAlignment="1">
      <alignment horizontal="center"/>
    </xf>
    <xf numFmtId="0" fontId="4" fillId="0" borderId="9" xfId="2" applyFont="1" applyBorder="1" applyAlignment="1">
      <alignment horizontal="center"/>
    </xf>
  </cellXfs>
  <cellStyles count="3">
    <cellStyle name="Normal 2" xfId="1" xr:uid="{A294C6AC-AD92-41FC-893E-FF8881050675}"/>
    <cellStyle name="Parasts" xfId="0" builtinId="0"/>
    <cellStyle name="Parasts 2" xfId="2" xr:uid="{0D637E18-4815-4C1D-955F-50B381538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31B2-1AC2-4CCE-A090-B3B756025946}">
  <dimension ref="A1:AF146"/>
  <sheetViews>
    <sheetView tabSelected="1" workbookViewId="0">
      <selection activeCell="C3" sqref="C3"/>
    </sheetView>
  </sheetViews>
  <sheetFormatPr defaultRowHeight="15" x14ac:dyDescent="0.25"/>
  <cols>
    <col min="1" max="1" width="4.140625" customWidth="1"/>
    <col min="2" max="2" width="21.5703125" customWidth="1"/>
    <col min="3" max="3" width="10.85546875" customWidth="1"/>
    <col min="4" max="6" width="9.28515625" bestFit="1" customWidth="1"/>
    <col min="7" max="7" width="9.28515625" customWidth="1"/>
    <col min="8" max="10" width="9.28515625" bestFit="1" customWidth="1"/>
    <col min="11" max="11" width="10.5703125" customWidth="1"/>
    <col min="12" max="13" width="9.28515625" bestFit="1" customWidth="1"/>
    <col min="14" max="14" width="10.28515625" customWidth="1"/>
    <col min="15" max="15" width="9.7109375" customWidth="1"/>
    <col min="16" max="16" width="10.5703125" customWidth="1"/>
    <col min="17" max="17" width="11.5703125" customWidth="1"/>
    <col min="18" max="18" width="12.42578125" customWidth="1"/>
  </cols>
  <sheetData>
    <row r="1" spans="1:32" s="5" customForma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T1" s="6" t="s">
        <v>1</v>
      </c>
      <c r="U1" s="7" t="s">
        <v>2</v>
      </c>
      <c r="V1" s="7" t="s">
        <v>3</v>
      </c>
      <c r="W1" s="7" t="s">
        <v>4</v>
      </c>
      <c r="X1" s="8" t="s">
        <v>5</v>
      </c>
      <c r="Z1" s="9" t="s">
        <v>3</v>
      </c>
      <c r="AA1" s="10" t="s">
        <v>4</v>
      </c>
    </row>
    <row r="2" spans="1:32" s="5" customFormat="1" ht="11.25" customHeight="1" x14ac:dyDescent="0.2">
      <c r="A2" s="1"/>
      <c r="B2" s="1"/>
      <c r="C2" s="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3"/>
      <c r="R2" s="14"/>
      <c r="T2" s="15"/>
      <c r="X2" s="16"/>
      <c r="Z2" s="17"/>
      <c r="AA2" s="18"/>
    </row>
    <row r="3" spans="1:32" s="5" customFormat="1" ht="15" customHeight="1" x14ac:dyDescent="0.2">
      <c r="A3" s="1"/>
      <c r="B3" s="1"/>
      <c r="C3" s="1"/>
      <c r="D3" s="19" t="s">
        <v>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"/>
      <c r="R3" s="14"/>
      <c r="T3" s="20" t="s">
        <v>7</v>
      </c>
      <c r="U3" s="21" t="s">
        <v>8</v>
      </c>
      <c r="V3" s="21" t="s">
        <v>9</v>
      </c>
      <c r="W3" s="21" t="s">
        <v>10</v>
      </c>
      <c r="X3" s="22" t="s">
        <v>11</v>
      </c>
      <c r="Z3" s="23" t="s">
        <v>12</v>
      </c>
      <c r="AA3" s="24" t="s">
        <v>10</v>
      </c>
    </row>
    <row r="4" spans="1:32" s="5" customFormat="1" ht="11.25" x14ac:dyDescent="0.25">
      <c r="A4" s="1"/>
      <c r="B4" s="1"/>
      <c r="C4" s="1"/>
      <c r="D4" s="25"/>
      <c r="E4" s="25"/>
      <c r="F4" s="25"/>
      <c r="G4" s="25"/>
      <c r="H4" s="3"/>
      <c r="I4" s="1"/>
      <c r="J4" s="1"/>
      <c r="K4" s="1"/>
      <c r="L4" s="1"/>
      <c r="M4" s="1"/>
      <c r="N4" s="26"/>
      <c r="O4" s="26"/>
      <c r="P4" s="1"/>
      <c r="Q4" s="1"/>
      <c r="R4" s="14"/>
    </row>
    <row r="5" spans="1:32" s="27" customFormat="1" ht="5.25" customHeight="1" x14ac:dyDescent="0.2"/>
    <row r="6" spans="1:32" s="27" customFormat="1" ht="12.75" customHeight="1" x14ac:dyDescent="0.2">
      <c r="A6" s="28" t="s">
        <v>13</v>
      </c>
      <c r="B6" s="29" t="s">
        <v>14</v>
      </c>
      <c r="C6" s="30"/>
      <c r="D6" s="31" t="s">
        <v>15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34" t="s">
        <v>16</v>
      </c>
      <c r="R6" s="35"/>
    </row>
    <row r="7" spans="1:32" s="27" customFormat="1" ht="12.75" customHeight="1" x14ac:dyDescent="0.2">
      <c r="A7" s="28"/>
      <c r="B7" s="36"/>
      <c r="C7" s="37"/>
      <c r="D7" s="38" t="s">
        <v>17</v>
      </c>
      <c r="E7" s="38"/>
      <c r="F7" s="38"/>
      <c r="G7" s="38"/>
      <c r="H7" s="38"/>
      <c r="I7" s="39" t="s">
        <v>18</v>
      </c>
      <c r="J7" s="39"/>
      <c r="K7" s="39"/>
      <c r="L7" s="39"/>
      <c r="M7" s="39"/>
      <c r="N7" s="39"/>
      <c r="O7" s="39"/>
      <c r="P7" s="40" t="s">
        <v>19</v>
      </c>
      <c r="Q7" s="41"/>
      <c r="R7" s="42"/>
    </row>
    <row r="8" spans="1:32" s="27" customFormat="1" ht="15.2" customHeight="1" x14ac:dyDescent="0.2">
      <c r="A8" s="28"/>
      <c r="B8" s="36"/>
      <c r="C8" s="37"/>
      <c r="D8" s="38" t="s">
        <v>20</v>
      </c>
      <c r="E8" s="38"/>
      <c r="F8" s="28" t="s">
        <v>21</v>
      </c>
      <c r="G8" s="28" t="s">
        <v>22</v>
      </c>
      <c r="H8" s="28" t="s">
        <v>23</v>
      </c>
      <c r="I8" s="39" t="s">
        <v>24</v>
      </c>
      <c r="J8" s="39" t="s">
        <v>25</v>
      </c>
      <c r="K8" s="39"/>
      <c r="L8" s="43" t="s">
        <v>26</v>
      </c>
      <c r="M8" s="43" t="s">
        <v>27</v>
      </c>
      <c r="N8" s="43" t="s">
        <v>28</v>
      </c>
      <c r="O8" s="43" t="s">
        <v>29</v>
      </c>
      <c r="P8" s="44"/>
      <c r="Q8" s="44" t="s">
        <v>30</v>
      </c>
      <c r="R8" s="36" t="s">
        <v>31</v>
      </c>
    </row>
    <row r="9" spans="1:32" s="27" customFormat="1" ht="33.75" customHeight="1" x14ac:dyDescent="0.2">
      <c r="A9" s="28"/>
      <c r="B9" s="45"/>
      <c r="C9" s="46" t="s">
        <v>32</v>
      </c>
      <c r="D9" s="47" t="s">
        <v>33</v>
      </c>
      <c r="E9" s="47" t="s">
        <v>34</v>
      </c>
      <c r="F9" s="28"/>
      <c r="G9" s="28"/>
      <c r="H9" s="28"/>
      <c r="I9" s="39"/>
      <c r="J9" s="48" t="s">
        <v>35</v>
      </c>
      <c r="K9" s="48" t="s">
        <v>36</v>
      </c>
      <c r="L9" s="43"/>
      <c r="M9" s="43"/>
      <c r="N9" s="43"/>
      <c r="O9" s="43"/>
      <c r="P9" s="49"/>
      <c r="Q9" s="49"/>
      <c r="R9" s="45"/>
    </row>
    <row r="10" spans="1:32" s="52" customFormat="1" ht="12" customHeight="1" x14ac:dyDescent="0.25">
      <c r="A10" s="50">
        <v>1</v>
      </c>
      <c r="B10" s="50">
        <v>2</v>
      </c>
      <c r="C10" s="50"/>
      <c r="D10" s="50">
        <v>3</v>
      </c>
      <c r="E10" s="50">
        <v>4</v>
      </c>
      <c r="F10" s="50">
        <v>5</v>
      </c>
      <c r="G10" s="50">
        <v>5.0999999999999996</v>
      </c>
      <c r="H10" s="50">
        <v>6</v>
      </c>
      <c r="I10" s="51">
        <v>7</v>
      </c>
      <c r="J10" s="51">
        <v>8</v>
      </c>
      <c r="K10" s="51">
        <v>9</v>
      </c>
      <c r="L10" s="51">
        <v>10</v>
      </c>
      <c r="M10" s="51">
        <v>11</v>
      </c>
      <c r="N10" s="51">
        <v>12</v>
      </c>
      <c r="O10" s="51">
        <v>13</v>
      </c>
      <c r="P10" s="51">
        <v>14</v>
      </c>
      <c r="Q10" s="51">
        <v>15</v>
      </c>
      <c r="R10" s="50">
        <v>16</v>
      </c>
    </row>
    <row r="11" spans="1:32" s="61" customFormat="1" ht="11.25" x14ac:dyDescent="0.2">
      <c r="A11" s="53">
        <v>2</v>
      </c>
      <c r="B11" s="54" t="s">
        <v>37</v>
      </c>
      <c r="C11" s="55" t="s">
        <v>3</v>
      </c>
      <c r="D11" s="56">
        <v>0</v>
      </c>
      <c r="E11" s="56">
        <v>3.13</v>
      </c>
      <c r="F11" s="57">
        <f t="shared" ref="F11:F14" si="0">E11-D11</f>
        <v>3.13</v>
      </c>
      <c r="G11" s="57">
        <v>4.5</v>
      </c>
      <c r="H11" s="58" t="s">
        <v>38</v>
      </c>
      <c r="I11" s="58"/>
      <c r="J11" s="59"/>
      <c r="K11" s="58"/>
      <c r="L11" s="58"/>
      <c r="M11" s="58"/>
      <c r="N11" s="58"/>
      <c r="O11" s="58"/>
      <c r="P11" s="58"/>
      <c r="Q11" s="60">
        <v>80940040644</v>
      </c>
      <c r="R11" s="60">
        <v>80940040644</v>
      </c>
    </row>
    <row r="12" spans="1:32" s="61" customFormat="1" ht="11.25" x14ac:dyDescent="0.2">
      <c r="A12" s="62"/>
      <c r="B12" s="63"/>
      <c r="C12" s="55" t="s">
        <v>3</v>
      </c>
      <c r="D12" s="56">
        <v>3.13</v>
      </c>
      <c r="E12" s="56">
        <v>4.01</v>
      </c>
      <c r="F12" s="57">
        <f t="shared" si="0"/>
        <v>0.87999999999999989</v>
      </c>
      <c r="G12" s="57">
        <v>4.5</v>
      </c>
      <c r="H12" s="58" t="s">
        <v>38</v>
      </c>
      <c r="I12" s="58"/>
      <c r="J12" s="59"/>
      <c r="K12" s="58"/>
      <c r="L12" s="58"/>
      <c r="M12" s="58"/>
      <c r="N12" s="58"/>
      <c r="O12" s="58"/>
      <c r="P12" s="58"/>
      <c r="Q12" s="60">
        <v>80940050351</v>
      </c>
      <c r="R12" s="60">
        <v>80940050351</v>
      </c>
    </row>
    <row r="13" spans="1:32" s="61" customFormat="1" ht="22.5" x14ac:dyDescent="0.2">
      <c r="A13" s="62">
        <v>3</v>
      </c>
      <c r="B13" s="64" t="s">
        <v>39</v>
      </c>
      <c r="C13" s="65" t="s">
        <v>4</v>
      </c>
      <c r="D13" s="56">
        <v>0</v>
      </c>
      <c r="E13" s="56">
        <v>1.42</v>
      </c>
      <c r="F13" s="57">
        <f t="shared" si="0"/>
        <v>1.42</v>
      </c>
      <c r="G13" s="57">
        <v>5</v>
      </c>
      <c r="H13" s="66" t="s">
        <v>40</v>
      </c>
      <c r="I13" s="58"/>
      <c r="J13" s="59"/>
      <c r="K13" s="58"/>
      <c r="L13" s="58"/>
      <c r="M13" s="58"/>
      <c r="N13" s="58"/>
      <c r="O13" s="58"/>
      <c r="P13" s="58"/>
      <c r="Q13" s="60">
        <v>80940050295</v>
      </c>
      <c r="R13" s="60">
        <v>80940050295</v>
      </c>
    </row>
    <row r="14" spans="1:32" s="61" customFormat="1" x14ac:dyDescent="0.25">
      <c r="A14" s="60">
        <v>4</v>
      </c>
      <c r="B14" s="67" t="s">
        <v>41</v>
      </c>
      <c r="C14" s="65" t="s">
        <v>3</v>
      </c>
      <c r="D14" s="56">
        <v>0</v>
      </c>
      <c r="E14" s="56">
        <v>0.97</v>
      </c>
      <c r="F14" s="57">
        <f t="shared" si="0"/>
        <v>0.97</v>
      </c>
      <c r="G14" s="57">
        <v>6.5</v>
      </c>
      <c r="H14" s="58" t="s">
        <v>40</v>
      </c>
      <c r="I14" s="58"/>
      <c r="J14" s="59"/>
      <c r="K14" s="58"/>
      <c r="L14" s="58"/>
      <c r="M14" s="58"/>
      <c r="N14" s="58"/>
      <c r="O14" s="58"/>
      <c r="P14" s="58"/>
      <c r="Q14" s="60">
        <v>80940030348</v>
      </c>
      <c r="R14" s="60">
        <v>80940030348</v>
      </c>
      <c r="S14"/>
      <c r="T14"/>
      <c r="U14"/>
      <c r="V14"/>
      <c r="W14"/>
      <c r="X14"/>
      <c r="Y14"/>
      <c r="Z14"/>
      <c r="AA14" t="s">
        <v>42</v>
      </c>
      <c r="AB14"/>
      <c r="AC14"/>
      <c r="AD14"/>
      <c r="AE14"/>
      <c r="AF14"/>
    </row>
    <row r="15" spans="1:32" s="61" customFormat="1" ht="22.5" x14ac:dyDescent="0.2">
      <c r="G15" s="68"/>
      <c r="J15" s="69"/>
      <c r="K15" s="80" t="s">
        <v>50</v>
      </c>
      <c r="L15" s="81">
        <f>SUM(L11:L14)</f>
        <v>0</v>
      </c>
      <c r="M15" s="81">
        <f>SUM(M11:M14)</f>
        <v>0</v>
      </c>
      <c r="O15" s="80" t="s">
        <v>48</v>
      </c>
      <c r="P15" s="81">
        <f>SUM(P11:P14)</f>
        <v>0</v>
      </c>
      <c r="S15" s="70"/>
      <c r="T15" s="71" t="s">
        <v>43</v>
      </c>
      <c r="U15" s="71" t="s">
        <v>44</v>
      </c>
      <c r="V15" s="71" t="s">
        <v>45</v>
      </c>
      <c r="W15" s="71" t="s">
        <v>46</v>
      </c>
      <c r="X15" s="71" t="s">
        <v>47</v>
      </c>
      <c r="Y15" s="72" t="s">
        <v>48</v>
      </c>
      <c r="Z15" s="70"/>
      <c r="AA15" s="71" t="s">
        <v>43</v>
      </c>
      <c r="AB15" s="71" t="s">
        <v>44</v>
      </c>
      <c r="AC15" s="71" t="s">
        <v>45</v>
      </c>
      <c r="AD15" s="71" t="s">
        <v>46</v>
      </c>
      <c r="AE15" s="71" t="s">
        <v>47</v>
      </c>
      <c r="AF15" s="72" t="s">
        <v>48</v>
      </c>
    </row>
    <row r="16" spans="1:32" s="61" customFormat="1" ht="11.25" x14ac:dyDescent="0.2">
      <c r="A16" s="73" t="s">
        <v>49</v>
      </c>
      <c r="B16" s="74"/>
      <c r="C16" s="74"/>
      <c r="D16" s="75"/>
      <c r="E16" s="75"/>
      <c r="F16" s="76">
        <f>SUM(F11:F14)</f>
        <v>6.3999999999999995</v>
      </c>
      <c r="G16" s="77"/>
      <c r="H16" s="78"/>
      <c r="I16" s="27"/>
      <c r="J16" s="79"/>
      <c r="N16" s="82"/>
      <c r="Q16" s="82"/>
      <c r="S16" s="83" t="s">
        <v>32</v>
      </c>
      <c r="T16" s="71" t="s">
        <v>35</v>
      </c>
      <c r="U16" s="71" t="s">
        <v>35</v>
      </c>
      <c r="V16" s="71" t="s">
        <v>35</v>
      </c>
      <c r="W16" s="71" t="s">
        <v>35</v>
      </c>
      <c r="X16" s="71" t="s">
        <v>35</v>
      </c>
      <c r="Y16" s="72" t="s">
        <v>35</v>
      </c>
      <c r="Z16" s="83"/>
      <c r="AA16" s="71" t="s">
        <v>35</v>
      </c>
      <c r="AB16" s="71" t="s">
        <v>35</v>
      </c>
      <c r="AC16" s="71" t="s">
        <v>35</v>
      </c>
      <c r="AD16" s="71" t="s">
        <v>35</v>
      </c>
      <c r="AE16" s="71" t="s">
        <v>35</v>
      </c>
      <c r="AF16" s="72" t="s">
        <v>35</v>
      </c>
    </row>
    <row r="17" spans="1:32" s="61" customFormat="1" ht="11.25" x14ac:dyDescent="0.2">
      <c r="A17" s="84" t="s">
        <v>51</v>
      </c>
      <c r="B17" s="85"/>
      <c r="C17" s="85"/>
      <c r="D17" s="86"/>
      <c r="E17" s="86"/>
      <c r="F17" s="87">
        <f>F13+F14</f>
        <v>2.3899999999999997</v>
      </c>
      <c r="G17" s="88"/>
      <c r="H17" s="89"/>
      <c r="I17" s="90"/>
      <c r="J17" s="82"/>
      <c r="K17" s="82"/>
      <c r="L17" s="91"/>
      <c r="M17" s="91"/>
      <c r="N17" s="82"/>
      <c r="O17" s="82"/>
      <c r="P17" s="82"/>
      <c r="Q17" s="82"/>
      <c r="S17" s="92" t="s">
        <v>1</v>
      </c>
      <c r="T17" s="93">
        <f>SUMIFS(F10:F14,C10:C14,"A",H10:H14,"melnais")</f>
        <v>0</v>
      </c>
      <c r="U17" s="93">
        <f>SUMIFS(F10:F14,C10:C14,"A",H10:H14,"dubultā virsma")</f>
        <v>0</v>
      </c>
      <c r="V17" s="93">
        <f>SUMIFS(F10:F14,C10:C14,"A",H10:H14,"bruģis")</f>
        <v>0</v>
      </c>
      <c r="W17" s="93">
        <f>SUMIFS(F10:F14,C10:C14,"A",H10:H14,"grants")</f>
        <v>0</v>
      </c>
      <c r="X17" s="93">
        <f>SUMIFS(F10:F14,C10:C14,"A",H10:H14,"cits segums")</f>
        <v>0</v>
      </c>
      <c r="Y17" s="93">
        <f>SUMIFS(F10:F14,C10:C14,"A")</f>
        <v>0</v>
      </c>
      <c r="Z17" s="92" t="s">
        <v>1</v>
      </c>
      <c r="AA17" s="93">
        <f>SUMIFS(F10:F14,C10:C14,"A",H10:H14,"melnais", R10:R14,"Nepiederošs")</f>
        <v>0</v>
      </c>
      <c r="AB17" s="93">
        <f>SUMIFS(F10:F14,C10:C14,"A",H10:H14,"dubultā virsma", R10:R14,"Nepiederošs")</f>
        <v>0</v>
      </c>
      <c r="AC17" s="93">
        <f>SUMIFS(F10:F14,C10:C14,"A",H10:H14,"bruģis", R10:R14,"Nepiederošs")</f>
        <v>0</v>
      </c>
      <c r="AD17" s="93">
        <f>SUMIFS(F10:F14,C10:C14,"A",H10:H14,"grants", R10:R14,"Nepiederošs")</f>
        <v>0</v>
      </c>
      <c r="AE17" s="93">
        <f>SUMIFS(F10:F14,C10:C14,"A",H10:H14,"cits segums", R10:R14,"Nepiederošs")</f>
        <v>0</v>
      </c>
      <c r="AF17" s="93">
        <f>SUM(AA17:AE17)</f>
        <v>0</v>
      </c>
    </row>
    <row r="18" spans="1:32" s="61" customFormat="1" ht="11.25" x14ac:dyDescent="0.2">
      <c r="A18" s="84" t="s">
        <v>52</v>
      </c>
      <c r="B18" s="85"/>
      <c r="C18" s="85"/>
      <c r="D18" s="86"/>
      <c r="E18" s="86"/>
      <c r="F18" s="87">
        <v>0</v>
      </c>
      <c r="G18" s="88"/>
      <c r="H18" s="27"/>
      <c r="I18" s="27"/>
      <c r="J18" s="82"/>
      <c r="K18" s="94"/>
      <c r="L18" s="94"/>
      <c r="M18" s="94"/>
      <c r="N18" s="82"/>
      <c r="O18" s="82"/>
      <c r="P18" s="82"/>
      <c r="Q18" s="82"/>
      <c r="S18" s="95" t="s">
        <v>2</v>
      </c>
      <c r="T18" s="93">
        <f>SUMIFS(F10:F14,C10:C14,"B",H10:H14,"melnais")</f>
        <v>0</v>
      </c>
      <c r="U18" s="93">
        <f>SUMIFS(F10:F14,C10:C14,"B",H10:H14,"dubultā virsma")</f>
        <v>0</v>
      </c>
      <c r="V18" s="93">
        <f>SUMIFS(F10:F14,C10:C14,"B",H10:H14,"bruģis")</f>
        <v>0</v>
      </c>
      <c r="W18" s="93">
        <f>SUMIFS(F10:F14,C10:C14,"B",H10:H14,"grants")</f>
        <v>0</v>
      </c>
      <c r="X18" s="93">
        <f>SUMIFS(F10:F14,C10:C14,"B",H10:H14,"cits segums")</f>
        <v>0</v>
      </c>
      <c r="Y18" s="93">
        <f>SUMIFS(F10:F14,C10:C14,"B")</f>
        <v>0</v>
      </c>
      <c r="Z18" s="95" t="s">
        <v>2</v>
      </c>
      <c r="AA18" s="93">
        <f>SUMIFS(F10:F14,C10:C14,"B",H10:H14,"melnais", R10:R14,"Nepiederošs")</f>
        <v>0</v>
      </c>
      <c r="AB18" s="93">
        <f>SUMIFS(F10:F14,C10:C14,"B",H10:H14,"dubultā virsma", R10:R14,"Nepiederošs")</f>
        <v>0</v>
      </c>
      <c r="AC18" s="93">
        <f>SUMIFS(F10:F14,C10:C14,"B",H10:H14,"bruģis", R10:R14,"Nepiederošs")</f>
        <v>0</v>
      </c>
      <c r="AD18" s="93">
        <f>SUMIFS(F10:F14,C10:C14,"B",H10:H14,"grants", R10:R14,"Nepiederošs")</f>
        <v>0</v>
      </c>
      <c r="AE18" s="93">
        <f>SUMIFS(F10:F14,C10:C14,"B",H10:H14,"cits segums", R10:R14,"Nepiederošs")</f>
        <v>0</v>
      </c>
      <c r="AF18" s="93">
        <f t="shared" ref="AF18:AF20" si="1">SUM(AA18:AE18)</f>
        <v>0</v>
      </c>
    </row>
    <row r="19" spans="1:32" s="61" customFormat="1" ht="11.25" x14ac:dyDescent="0.2">
      <c r="A19" s="84" t="s">
        <v>53</v>
      </c>
      <c r="B19" s="85"/>
      <c r="C19" s="85"/>
      <c r="D19" s="86"/>
      <c r="E19" s="86"/>
      <c r="F19" s="87">
        <f>F11+F12</f>
        <v>4.01</v>
      </c>
      <c r="G19" s="88"/>
      <c r="H19" s="27"/>
      <c r="I19" s="27"/>
      <c r="J19" s="82"/>
      <c r="K19" s="94"/>
      <c r="L19" s="94"/>
      <c r="M19" s="94"/>
      <c r="N19" s="82"/>
      <c r="O19" s="82"/>
      <c r="P19" s="82"/>
      <c r="Q19" s="82"/>
      <c r="S19" s="96" t="s">
        <v>3</v>
      </c>
      <c r="T19" s="93">
        <f>SUMIFS(F10:F14,C10:C14,"C",H10:H14,"melnais")</f>
        <v>0.97</v>
      </c>
      <c r="U19" s="93">
        <f>SUMIFS(F10:F14,C10:C14,"C",H10:H14,"dubultā virsma")</f>
        <v>0</v>
      </c>
      <c r="V19" s="93">
        <f>SUMIFS(F10:F14,C10:C14,"C",H10:H14,"bruģis")</f>
        <v>0</v>
      </c>
      <c r="W19" s="93">
        <f>SUMIFS(F10:F14,C10:C14,"C",H10:H14,"grants")</f>
        <v>4.01</v>
      </c>
      <c r="X19" s="93">
        <f>SUMIFS(F10:F14,C10:C14,"C",H10:H14,"cits segums")</f>
        <v>0</v>
      </c>
      <c r="Y19" s="93">
        <f>SUMIFS(F10:F14,C10:C14,"C")</f>
        <v>4.9799999999999995</v>
      </c>
      <c r="Z19" s="96" t="s">
        <v>3</v>
      </c>
      <c r="AA19" s="93">
        <f>SUMIFS(F10:F14,C10:C14,"C",H10:H14,"melnais", R10:R14,"Nepiederošs")</f>
        <v>0</v>
      </c>
      <c r="AB19" s="93">
        <f>SUMIFS(F10:F14,C10:C14,"C",H10:H14,"dubultā virsma", R10:R14,"Nepiederošs")</f>
        <v>0</v>
      </c>
      <c r="AC19" s="93">
        <f>SUMIFS(F10:F14,C10:C14,"C",H10:H14,"bruģis", R10:R14,"Nepiederošs")</f>
        <v>0</v>
      </c>
      <c r="AD19" s="93">
        <f>SUMIFS(F10:F14,C10:C14,"C",H10:H14,"grants", R10:R14,"Nepiederošs")</f>
        <v>0</v>
      </c>
      <c r="AE19" s="93">
        <f>SUMIFS(F10:F14,C10:C14,"C",H10:H14,"cits segums", R10:R14,"Nepiederošs")</f>
        <v>0</v>
      </c>
      <c r="AF19" s="93">
        <f t="shared" si="1"/>
        <v>0</v>
      </c>
    </row>
    <row r="20" spans="1:32" s="61" customFormat="1" ht="11.25" x14ac:dyDescent="0.2">
      <c r="A20" s="84" t="s">
        <v>54</v>
      </c>
      <c r="B20" s="85"/>
      <c r="C20" s="85"/>
      <c r="D20" s="86"/>
      <c r="E20" s="86"/>
      <c r="F20" s="87">
        <v>0</v>
      </c>
      <c r="G20" s="88"/>
      <c r="H20" s="90"/>
      <c r="I20" s="27"/>
      <c r="J20" s="97"/>
      <c r="K20" s="94"/>
      <c r="L20" s="94"/>
      <c r="M20" s="94"/>
      <c r="N20" s="82"/>
      <c r="O20" s="82"/>
      <c r="P20" s="82"/>
      <c r="Q20" s="82"/>
      <c r="S20" s="92" t="s">
        <v>4</v>
      </c>
      <c r="T20" s="93">
        <f>SUMIFS(F10:F14,C10:C14,"D",H10:H14,"melnais")</f>
        <v>1.42</v>
      </c>
      <c r="U20" s="93">
        <f>SUMIFS(F10:F14,C10:C14,"D",H10:H14,"dubultā virsma")</f>
        <v>0</v>
      </c>
      <c r="V20" s="93">
        <f>SUMIFS(F10:F14,C10:C14,"D",H10:H14,"bruģis")</f>
        <v>0</v>
      </c>
      <c r="W20" s="93">
        <f>SUMIFS(F10:F14,C10:C14,"D",H10:H14,"grants")</f>
        <v>0</v>
      </c>
      <c r="X20" s="93">
        <f>SUMIFS(F10:F14,C10:C14,"D",H10:H14,"cits segums")</f>
        <v>0</v>
      </c>
      <c r="Y20" s="93">
        <f>SUMIFS(F10:F14,C10:C14,"D")</f>
        <v>1.42</v>
      </c>
      <c r="Z20" s="92" t="s">
        <v>4</v>
      </c>
      <c r="AA20" s="93">
        <f>SUMIFS(F10:F14,C10:C14,"D",H10:H14,"melnais", R10:R14,"Nepiederošs")</f>
        <v>0</v>
      </c>
      <c r="AB20" s="93">
        <f>SUMIFS(F10:F14,C10:C14,"D",H10:H14,"dubultā virsma", R10:R14,"Nepiederošs")</f>
        <v>0</v>
      </c>
      <c r="AC20" s="93">
        <f>SUMIFS(F10:F14,C10:C14,"D",H10:H14,"bruģis", R10:R14,"Nepiederošs")</f>
        <v>0</v>
      </c>
      <c r="AD20" s="93">
        <f>SUMIFS(F10:F14,C10:C14,"D",H10:H14,"grants", R10:R14,"Nepiederošs")</f>
        <v>0</v>
      </c>
      <c r="AE20" s="93">
        <f>SUMIFS(F10:F14,C10:C14,"D",H10:H14,"cits segums", R10:R14,"Nepiederošs")</f>
        <v>0</v>
      </c>
      <c r="AF20" s="93">
        <f t="shared" si="1"/>
        <v>0</v>
      </c>
    </row>
    <row r="21" spans="1:32" x14ac:dyDescent="0.25">
      <c r="T21" s="98">
        <f>SUM(T17:T20)</f>
        <v>2.3899999999999997</v>
      </c>
      <c r="U21" s="98">
        <f t="shared" ref="U21:Y21" si="2">SUM(U17:U20)</f>
        <v>0</v>
      </c>
      <c r="V21" s="98">
        <f t="shared" si="2"/>
        <v>0</v>
      </c>
      <c r="W21" s="98">
        <f t="shared" si="2"/>
        <v>4.01</v>
      </c>
      <c r="X21" s="98">
        <f t="shared" si="2"/>
        <v>0</v>
      </c>
      <c r="Y21" s="98">
        <f t="shared" si="2"/>
        <v>6.3999999999999995</v>
      </c>
      <c r="AA21" s="98">
        <f>SUM(AA17:AA20)</f>
        <v>0</v>
      </c>
      <c r="AB21" s="98">
        <f t="shared" ref="AB21:AF21" si="3">SUM(AB17:AB20)</f>
        <v>0</v>
      </c>
      <c r="AC21" s="98">
        <f t="shared" si="3"/>
        <v>0</v>
      </c>
      <c r="AD21" s="98">
        <f t="shared" si="3"/>
        <v>0</v>
      </c>
      <c r="AE21" s="98">
        <f t="shared" si="3"/>
        <v>0</v>
      </c>
      <c r="AF21" s="98">
        <f t="shared" si="3"/>
        <v>0</v>
      </c>
    </row>
    <row r="22" spans="1:32" s="5" customFormat="1" ht="15" customHeight="1" x14ac:dyDescent="0.25">
      <c r="A22" s="1"/>
      <c r="B22" s="1"/>
      <c r="C22" s="1"/>
      <c r="D22" s="19" t="s">
        <v>55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"/>
      <c r="R22" s="14"/>
    </row>
    <row r="23" spans="1:32" s="5" customFormat="1" ht="11.25" x14ac:dyDescent="0.25">
      <c r="A23" s="1"/>
      <c r="B23" s="1"/>
      <c r="C23" s="1"/>
      <c r="D23" s="25"/>
      <c r="E23" s="25"/>
      <c r="F23" s="25"/>
      <c r="G23" s="25"/>
      <c r="H23" s="3"/>
      <c r="I23" s="1"/>
      <c r="J23" s="1"/>
      <c r="K23" s="1"/>
      <c r="L23" s="1"/>
      <c r="M23" s="1"/>
      <c r="N23" s="26"/>
      <c r="O23" s="26"/>
      <c r="P23" s="1"/>
      <c r="Q23" s="1"/>
      <c r="R23" s="14"/>
    </row>
    <row r="24" spans="1:32" s="27" customFormat="1" ht="5.25" customHeight="1" x14ac:dyDescent="0.2"/>
    <row r="25" spans="1:32" s="27" customFormat="1" ht="12.75" customHeight="1" x14ac:dyDescent="0.2">
      <c r="A25" s="28" t="s">
        <v>13</v>
      </c>
      <c r="B25" s="29" t="s">
        <v>14</v>
      </c>
      <c r="C25" s="30"/>
      <c r="D25" s="31" t="s">
        <v>15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4" t="s">
        <v>16</v>
      </c>
      <c r="R25" s="35"/>
    </row>
    <row r="26" spans="1:32" s="27" customFormat="1" ht="12.75" customHeight="1" x14ac:dyDescent="0.2">
      <c r="A26" s="28"/>
      <c r="B26" s="36"/>
      <c r="C26" s="37"/>
      <c r="D26" s="38" t="s">
        <v>17</v>
      </c>
      <c r="E26" s="38"/>
      <c r="F26" s="38"/>
      <c r="G26" s="38"/>
      <c r="H26" s="38"/>
      <c r="I26" s="39" t="s">
        <v>18</v>
      </c>
      <c r="J26" s="39"/>
      <c r="K26" s="39"/>
      <c r="L26" s="39"/>
      <c r="M26" s="39"/>
      <c r="N26" s="39"/>
      <c r="O26" s="39"/>
      <c r="P26" s="40" t="s">
        <v>19</v>
      </c>
      <c r="Q26" s="41"/>
      <c r="R26" s="42"/>
    </row>
    <row r="27" spans="1:32" s="27" customFormat="1" ht="15.2" customHeight="1" x14ac:dyDescent="0.2">
      <c r="A27" s="28"/>
      <c r="B27" s="36"/>
      <c r="C27" s="37"/>
      <c r="D27" s="38" t="s">
        <v>20</v>
      </c>
      <c r="E27" s="38"/>
      <c r="F27" s="28" t="s">
        <v>21</v>
      </c>
      <c r="G27" s="28" t="s">
        <v>22</v>
      </c>
      <c r="H27" s="28" t="s">
        <v>23</v>
      </c>
      <c r="I27" s="39" t="s">
        <v>24</v>
      </c>
      <c r="J27" s="39" t="s">
        <v>25</v>
      </c>
      <c r="K27" s="39"/>
      <c r="L27" s="43" t="s">
        <v>26</v>
      </c>
      <c r="M27" s="43" t="s">
        <v>27</v>
      </c>
      <c r="N27" s="43" t="s">
        <v>28</v>
      </c>
      <c r="O27" s="43" t="s">
        <v>29</v>
      </c>
      <c r="P27" s="44"/>
      <c r="Q27" s="44" t="s">
        <v>30</v>
      </c>
      <c r="R27" s="36" t="s">
        <v>31</v>
      </c>
    </row>
    <row r="28" spans="1:32" s="27" customFormat="1" ht="33.75" customHeight="1" x14ac:dyDescent="0.2">
      <c r="A28" s="28"/>
      <c r="B28" s="45"/>
      <c r="C28" s="46" t="s">
        <v>32</v>
      </c>
      <c r="D28" s="47" t="s">
        <v>33</v>
      </c>
      <c r="E28" s="47" t="s">
        <v>34</v>
      </c>
      <c r="F28" s="28"/>
      <c r="G28" s="28"/>
      <c r="H28" s="28"/>
      <c r="I28" s="39"/>
      <c r="J28" s="48" t="s">
        <v>35</v>
      </c>
      <c r="K28" s="48" t="s">
        <v>36</v>
      </c>
      <c r="L28" s="43"/>
      <c r="M28" s="43"/>
      <c r="N28" s="43"/>
      <c r="O28" s="43"/>
      <c r="P28" s="49"/>
      <c r="Q28" s="49"/>
      <c r="R28" s="45"/>
    </row>
    <row r="29" spans="1:32" s="52" customFormat="1" ht="12" customHeight="1" x14ac:dyDescent="0.25">
      <c r="A29" s="99">
        <v>1</v>
      </c>
      <c r="B29" s="99">
        <v>2</v>
      </c>
      <c r="C29" s="99"/>
      <c r="D29" s="50">
        <v>3</v>
      </c>
      <c r="E29" s="50">
        <v>4</v>
      </c>
      <c r="F29" s="50">
        <v>5</v>
      </c>
      <c r="G29" s="50">
        <v>5.0999999999999996</v>
      </c>
      <c r="H29" s="50">
        <v>6</v>
      </c>
      <c r="I29" s="51">
        <v>7</v>
      </c>
      <c r="J29" s="51">
        <v>8</v>
      </c>
      <c r="K29" s="51">
        <v>9</v>
      </c>
      <c r="L29" s="51">
        <v>10</v>
      </c>
      <c r="M29" s="51">
        <v>11</v>
      </c>
      <c r="N29" s="51">
        <v>12</v>
      </c>
      <c r="O29" s="51">
        <v>13</v>
      </c>
      <c r="P29" s="51">
        <v>14</v>
      </c>
      <c r="Q29" s="51">
        <v>15</v>
      </c>
      <c r="R29" s="50">
        <v>16</v>
      </c>
    </row>
    <row r="30" spans="1:32" s="61" customFormat="1" ht="11.25" x14ac:dyDescent="0.2">
      <c r="A30" s="53">
        <v>1</v>
      </c>
      <c r="B30" s="54" t="s">
        <v>56</v>
      </c>
      <c r="C30" s="65" t="s">
        <v>3</v>
      </c>
      <c r="D30" s="100">
        <v>0</v>
      </c>
      <c r="E30" s="101">
        <v>0.42</v>
      </c>
      <c r="F30" s="101">
        <v>0.42</v>
      </c>
      <c r="G30" s="101">
        <v>6</v>
      </c>
      <c r="H30" s="102" t="s">
        <v>38</v>
      </c>
      <c r="I30" s="58"/>
      <c r="J30" s="59"/>
      <c r="K30" s="58"/>
      <c r="L30" s="58"/>
      <c r="M30" s="58"/>
      <c r="N30" s="58"/>
      <c r="O30" s="58"/>
      <c r="P30" s="58"/>
      <c r="Q30" s="60">
        <v>80640070840</v>
      </c>
      <c r="R30" s="60">
        <v>80640070840</v>
      </c>
    </row>
    <row r="31" spans="1:32" s="61" customFormat="1" ht="11.25" x14ac:dyDescent="0.2">
      <c r="A31" s="103"/>
      <c r="B31" s="104"/>
      <c r="C31" s="65" t="s">
        <v>3</v>
      </c>
      <c r="D31" s="57">
        <v>0.42</v>
      </c>
      <c r="E31" s="57">
        <v>0.53</v>
      </c>
      <c r="F31" s="57">
        <v>0.11</v>
      </c>
      <c r="G31" s="57">
        <v>6</v>
      </c>
      <c r="H31" s="105" t="s">
        <v>38</v>
      </c>
      <c r="I31" s="106"/>
      <c r="J31" s="106"/>
      <c r="K31" s="106"/>
      <c r="L31" s="106"/>
      <c r="M31" s="106"/>
      <c r="N31" s="106"/>
      <c r="O31" s="106"/>
      <c r="P31" s="106"/>
      <c r="Q31" s="60">
        <v>80420010384</v>
      </c>
      <c r="R31" s="60">
        <v>80420010384</v>
      </c>
    </row>
    <row r="32" spans="1:32" s="61" customFormat="1" ht="11.25" x14ac:dyDescent="0.2">
      <c r="A32" s="103"/>
      <c r="B32" s="104"/>
      <c r="C32" s="65" t="s">
        <v>3</v>
      </c>
      <c r="D32" s="56">
        <f>E31</f>
        <v>0.53</v>
      </c>
      <c r="E32" s="56">
        <f>D32+0.09</f>
        <v>0.62</v>
      </c>
      <c r="F32" s="56">
        <v>0.09</v>
      </c>
      <c r="G32" s="56">
        <v>6</v>
      </c>
      <c r="H32" s="102" t="s">
        <v>38</v>
      </c>
      <c r="I32" s="58"/>
      <c r="J32" s="59"/>
      <c r="K32" s="58"/>
      <c r="L32" s="58"/>
      <c r="M32" s="58"/>
      <c r="N32" s="58"/>
      <c r="O32" s="58"/>
      <c r="P32" s="58"/>
      <c r="Q32" s="59">
        <v>80420010011</v>
      </c>
      <c r="R32" s="107" t="s">
        <v>57</v>
      </c>
    </row>
    <row r="33" spans="1:32" s="61" customFormat="1" ht="11.25" x14ac:dyDescent="0.2">
      <c r="A33" s="62"/>
      <c r="B33" s="63"/>
      <c r="C33" s="65" t="s">
        <v>3</v>
      </c>
      <c r="D33" s="100">
        <v>0.62</v>
      </c>
      <c r="E33" s="101">
        <v>1.1299999999999999</v>
      </c>
      <c r="F33" s="101">
        <v>0.51</v>
      </c>
      <c r="G33" s="101">
        <v>6</v>
      </c>
      <c r="H33" s="102" t="s">
        <v>38</v>
      </c>
      <c r="I33" s="58"/>
      <c r="J33" s="59"/>
      <c r="K33" s="58"/>
      <c r="L33" s="58"/>
      <c r="M33" s="58"/>
      <c r="N33" s="58"/>
      <c r="O33" s="58"/>
      <c r="P33" s="58"/>
      <c r="Q33" s="60">
        <v>80640070316</v>
      </c>
      <c r="R33" s="60">
        <v>80640070316</v>
      </c>
    </row>
    <row r="34" spans="1:32" s="61" customFormat="1" x14ac:dyDescent="0.25">
      <c r="A34" s="108">
        <v>2</v>
      </c>
      <c r="B34" s="64" t="s">
        <v>58</v>
      </c>
      <c r="C34" s="109" t="s">
        <v>3</v>
      </c>
      <c r="D34" s="57">
        <v>0</v>
      </c>
      <c r="E34" s="57">
        <v>2.1800000000000002</v>
      </c>
      <c r="F34" s="57">
        <v>2.1800000000000002</v>
      </c>
      <c r="G34" s="57">
        <v>5</v>
      </c>
      <c r="H34" s="66" t="s">
        <v>38</v>
      </c>
      <c r="I34" s="60"/>
      <c r="J34" s="60"/>
      <c r="K34" s="53"/>
      <c r="L34" s="60"/>
      <c r="M34" s="60"/>
      <c r="N34" s="60"/>
      <c r="O34" s="60"/>
      <c r="P34" s="60"/>
      <c r="Q34" s="60">
        <v>80420040255</v>
      </c>
      <c r="R34" s="60">
        <v>80420040255</v>
      </c>
      <c r="S34"/>
      <c r="T34"/>
      <c r="U34"/>
      <c r="V34"/>
      <c r="W34"/>
      <c r="X34"/>
      <c r="Y34"/>
      <c r="Z34"/>
      <c r="AA34" t="s">
        <v>42</v>
      </c>
      <c r="AB34"/>
      <c r="AC34"/>
      <c r="AD34"/>
      <c r="AE34"/>
      <c r="AF34"/>
    </row>
    <row r="35" spans="1:32" s="61" customFormat="1" ht="22.5" x14ac:dyDescent="0.2">
      <c r="H35" s="69"/>
      <c r="K35" s="160" t="s">
        <v>50</v>
      </c>
      <c r="L35" s="159">
        <f>SUM(L30:L34)</f>
        <v>0</v>
      </c>
      <c r="M35" s="76">
        <f>SUM(M30:M34)</f>
        <v>0</v>
      </c>
      <c r="O35" s="80" t="s">
        <v>48</v>
      </c>
      <c r="P35" s="76">
        <f>SUM(P30:P34)</f>
        <v>0</v>
      </c>
      <c r="S35" s="70"/>
      <c r="T35" s="71" t="s">
        <v>43</v>
      </c>
      <c r="U35" s="71" t="s">
        <v>44</v>
      </c>
      <c r="V35" s="71" t="s">
        <v>45</v>
      </c>
      <c r="W35" s="71" t="s">
        <v>46</v>
      </c>
      <c r="X35" s="71" t="s">
        <v>47</v>
      </c>
      <c r="Y35" s="72" t="s">
        <v>48</v>
      </c>
      <c r="Z35" s="70"/>
      <c r="AA35" s="71" t="s">
        <v>43</v>
      </c>
      <c r="AB35" s="71" t="s">
        <v>44</v>
      </c>
      <c r="AC35" s="71" t="s">
        <v>45</v>
      </c>
      <c r="AD35" s="71" t="s">
        <v>46</v>
      </c>
      <c r="AE35" s="71" t="s">
        <v>47</v>
      </c>
      <c r="AF35" s="72" t="s">
        <v>48</v>
      </c>
    </row>
    <row r="36" spans="1:32" s="61" customFormat="1" ht="11.25" x14ac:dyDescent="0.2">
      <c r="A36" s="73" t="s">
        <v>59</v>
      </c>
      <c r="B36" s="74"/>
      <c r="C36" s="74"/>
      <c r="D36" s="75"/>
      <c r="E36" s="75"/>
      <c r="F36" s="76">
        <f>SUM(F30:F34)</f>
        <v>3.31</v>
      </c>
      <c r="G36" s="77"/>
      <c r="H36" s="78"/>
      <c r="I36" s="27"/>
      <c r="J36" s="79"/>
      <c r="K36" s="158"/>
      <c r="N36" s="82"/>
      <c r="Q36" s="82"/>
      <c r="S36" s="83" t="s">
        <v>32</v>
      </c>
      <c r="T36" s="71" t="s">
        <v>35</v>
      </c>
      <c r="U36" s="71" t="s">
        <v>35</v>
      </c>
      <c r="V36" s="71" t="s">
        <v>35</v>
      </c>
      <c r="W36" s="71" t="s">
        <v>35</v>
      </c>
      <c r="X36" s="71" t="s">
        <v>35</v>
      </c>
      <c r="Y36" s="72" t="s">
        <v>35</v>
      </c>
      <c r="Z36" s="83"/>
      <c r="AA36" s="71" t="s">
        <v>35</v>
      </c>
      <c r="AB36" s="71" t="s">
        <v>35</v>
      </c>
      <c r="AC36" s="71" t="s">
        <v>35</v>
      </c>
      <c r="AD36" s="71" t="s">
        <v>35</v>
      </c>
      <c r="AE36" s="71" t="s">
        <v>35</v>
      </c>
      <c r="AF36" s="72" t="s">
        <v>35</v>
      </c>
    </row>
    <row r="37" spans="1:32" s="61" customFormat="1" ht="11.25" x14ac:dyDescent="0.2">
      <c r="A37" s="84" t="s">
        <v>51</v>
      </c>
      <c r="B37" s="85"/>
      <c r="C37" s="85"/>
      <c r="D37" s="86"/>
      <c r="E37" s="86"/>
      <c r="F37" s="87">
        <v>0</v>
      </c>
      <c r="G37" s="88"/>
      <c r="H37" s="89"/>
      <c r="I37" s="110"/>
      <c r="J37" s="82"/>
      <c r="K37" s="82"/>
      <c r="L37" s="91"/>
      <c r="M37" s="91"/>
      <c r="N37" s="82"/>
      <c r="O37" s="82"/>
      <c r="P37" s="82"/>
      <c r="Q37" s="82"/>
      <c r="S37" s="92" t="s">
        <v>1</v>
      </c>
      <c r="T37" s="93">
        <f>SUMIFS(F30:F34,C30:C34,"A",H30:H34,"melnais")</f>
        <v>0</v>
      </c>
      <c r="U37" s="93">
        <f>SUMIFS(F30:F34,C30:C34,"A",H30:H34,"dubultā virsma")</f>
        <v>0</v>
      </c>
      <c r="V37" s="93">
        <f>SUMIFS(F30:F34,C30:C34,"A",H30:H34,"bruģis")</f>
        <v>0</v>
      </c>
      <c r="W37" s="93">
        <f>SUMIFS(F30:F34,C30:C34,"A",H30:H34,"grants")</f>
        <v>0</v>
      </c>
      <c r="X37" s="93">
        <f>SUMIFS(F30:F34,C30:C34,"A",H30:H34,"cits segums")</f>
        <v>0</v>
      </c>
      <c r="Y37" s="93">
        <f>SUMIFS(F30:F34,C30:C34,"A")</f>
        <v>0</v>
      </c>
      <c r="Z37" s="92" t="s">
        <v>1</v>
      </c>
      <c r="AA37" s="93">
        <f>SUMIFS(F30:F34,C30:C34,"A",H30:H34,"melnais", R30:R34,"Nepiederošs")</f>
        <v>0</v>
      </c>
      <c r="AB37" s="93">
        <f>SUMIFS(F30:F34,C30:C34,"A",H30:H34,"dubultā virsma", R30:R34,"Nepiederošs")</f>
        <v>0</v>
      </c>
      <c r="AC37" s="93">
        <f>SUMIFS(F30:F34,C30:C34,"A",H30:H34,"bruģis", R30:R34,"Nepiederošs")</f>
        <v>0</v>
      </c>
      <c r="AD37" s="93">
        <f>SUMIFS(F30:F34,C30:C34,"A",H30:H34,"grants", R30:R34,"Nepiederošs")</f>
        <v>0</v>
      </c>
      <c r="AE37" s="93">
        <f>SUMIFS(F30:F34,C30:C34,"A",H30:H34,"cits segums", R30:R34,"Nepiederošs")</f>
        <v>0</v>
      </c>
      <c r="AF37" s="93">
        <f>SUM(AA37:AE37)</f>
        <v>0</v>
      </c>
    </row>
    <row r="38" spans="1:32" s="61" customFormat="1" ht="11.25" x14ac:dyDescent="0.2">
      <c r="A38" s="84" t="s">
        <v>52</v>
      </c>
      <c r="B38" s="85"/>
      <c r="C38" s="85"/>
      <c r="D38" s="86"/>
      <c r="E38" s="86"/>
      <c r="F38" s="87">
        <f>F22</f>
        <v>0</v>
      </c>
      <c r="G38" s="88"/>
      <c r="H38" s="27"/>
      <c r="I38" s="27"/>
      <c r="J38" s="82"/>
      <c r="K38" s="94"/>
      <c r="L38" s="94"/>
      <c r="M38" s="94"/>
      <c r="N38" s="82"/>
      <c r="O38" s="82"/>
      <c r="P38" s="82"/>
      <c r="Q38" s="82"/>
      <c r="S38" s="95" t="s">
        <v>2</v>
      </c>
      <c r="T38" s="93">
        <f>SUMIFS(F30:F34,C30:C34,"B",H30:H34,"melnais")</f>
        <v>0</v>
      </c>
      <c r="U38" s="93">
        <f>SUMIFS(F30:F34,C30:C34,"B",H30:H34,"dubultā virsma")</f>
        <v>0</v>
      </c>
      <c r="V38" s="93">
        <f>SUMIFS(F30:F34,C30:C34,"B",H30:H34,"bruģis")</f>
        <v>0</v>
      </c>
      <c r="W38" s="93">
        <f>SUMIFS(F30:F34,C30:C34,"B",H30:H34,"grants")</f>
        <v>0</v>
      </c>
      <c r="X38" s="93">
        <f>SUMIFS(F30:F34,C30:C34,"B",H30:H34,"cits segums")</f>
        <v>0</v>
      </c>
      <c r="Y38" s="93">
        <f>SUMIFS(F30:F34,C30:C34,"B")</f>
        <v>0</v>
      </c>
      <c r="Z38" s="95" t="s">
        <v>2</v>
      </c>
      <c r="AA38" s="93">
        <f>SUMIFS(F30:F34,C30:C34,"B",H30:H34,"melnais", R30:R34,"Nepiederošs")</f>
        <v>0</v>
      </c>
      <c r="AB38" s="93">
        <f>SUMIFS(F30:F34,C30:C34,"B",H30:H34,"dubultā virsma", R30:R34,"Nepiederošs")</f>
        <v>0</v>
      </c>
      <c r="AC38" s="93">
        <f>SUMIFS(F30:F34,C30:C34,"B",H30:H34,"bruģis", R30:R34,"Nepiederošs")</f>
        <v>0</v>
      </c>
      <c r="AD38" s="93">
        <f>SUMIFS(F30:F34,C30:C34,"B",H30:H34,"grants", R30:R34,"Nepiederošs")</f>
        <v>0</v>
      </c>
      <c r="AE38" s="93">
        <f>SUMIFS(F30:F34,C30:C34,"B",H30:H34,"cits segums", R30:R34,"Nepiederošs")</f>
        <v>0</v>
      </c>
      <c r="AF38" s="93">
        <f t="shared" ref="AF38:AF40" si="4">SUM(AA38:AE38)</f>
        <v>0</v>
      </c>
    </row>
    <row r="39" spans="1:32" s="61" customFormat="1" ht="11.25" x14ac:dyDescent="0.2">
      <c r="A39" s="84" t="s">
        <v>53</v>
      </c>
      <c r="B39" s="85"/>
      <c r="C39" s="85"/>
      <c r="D39" s="86"/>
      <c r="E39" s="86"/>
      <c r="F39" s="87">
        <f>F36-F37-F40-F38</f>
        <v>3.31</v>
      </c>
      <c r="G39" s="88"/>
      <c r="H39" s="27"/>
      <c r="I39" s="27"/>
      <c r="J39" s="82"/>
      <c r="K39" s="94"/>
      <c r="L39" s="94"/>
      <c r="M39" s="94"/>
      <c r="N39" s="82"/>
      <c r="O39" s="82"/>
      <c r="P39" s="82"/>
      <c r="Q39" s="82"/>
      <c r="S39" s="96" t="s">
        <v>3</v>
      </c>
      <c r="T39" s="93">
        <f>SUMIFS(F30:F34,C30:C34,"C",H30:H34,"melnais")</f>
        <v>0</v>
      </c>
      <c r="U39" s="93">
        <f>SUMIFS(F30:F34,C30:C34,"C",H30:H34,"dubultā virsma")</f>
        <v>0</v>
      </c>
      <c r="V39" s="93">
        <f>SUMIFS(F30:F34,C30:C34,"C",H30:H34,"bruģis")</f>
        <v>0</v>
      </c>
      <c r="W39" s="93">
        <f>SUMIFS(F30:F34,C30:C34,"C",H30:H34,"grants")</f>
        <v>3.31</v>
      </c>
      <c r="X39" s="93">
        <f>SUMIFS(F30:F34,C30:C34,"C",H30:H34,"cits segums")</f>
        <v>0</v>
      </c>
      <c r="Y39" s="93">
        <f>SUMIFS(F30:F34,C30:C34,"C")</f>
        <v>3.31</v>
      </c>
      <c r="Z39" s="96" t="s">
        <v>3</v>
      </c>
      <c r="AA39" s="93">
        <f>SUMIFS(F30:F34,C30:C34,"C",H30:H34,"melnais", R30:R34,"Nepiederošs")</f>
        <v>0</v>
      </c>
      <c r="AB39" s="93">
        <f>SUMIFS(F30:F34,C30:C34,"C",H30:H34,"dubultā virsma", R30:R34,"Nepiederošs")</f>
        <v>0</v>
      </c>
      <c r="AC39" s="93">
        <f>SUMIFS(F30:F34,C30:C34,"C",H30:H34,"bruģis", R30:R34,"Nepiederošs")</f>
        <v>0</v>
      </c>
      <c r="AD39" s="93">
        <f>SUMIFS(F30:F34,C30:C34,"C",H30:H34,"grants", R30:R34,"Nepiederošs")</f>
        <v>0.09</v>
      </c>
      <c r="AE39" s="93">
        <f>SUMIFS(F30:F34,C30:C34,"C",H30:H34,"cits segums", R30:R34,"Nepiederošs")</f>
        <v>0</v>
      </c>
      <c r="AF39" s="93">
        <f t="shared" si="4"/>
        <v>0.09</v>
      </c>
    </row>
    <row r="40" spans="1:32" s="61" customFormat="1" ht="11.25" x14ac:dyDescent="0.2">
      <c r="A40" s="84" t="s">
        <v>54</v>
      </c>
      <c r="B40" s="85"/>
      <c r="C40" s="85"/>
      <c r="D40" s="86"/>
      <c r="E40" s="86"/>
      <c r="F40" s="87">
        <v>0</v>
      </c>
      <c r="G40" s="88"/>
      <c r="H40" s="90"/>
      <c r="I40" s="27"/>
      <c r="J40" s="97"/>
      <c r="K40" s="94"/>
      <c r="L40" s="94"/>
      <c r="M40" s="94"/>
      <c r="N40" s="82"/>
      <c r="O40" s="82"/>
      <c r="P40" s="82"/>
      <c r="Q40" s="82"/>
      <c r="S40" s="92" t="s">
        <v>4</v>
      </c>
      <c r="T40" s="93">
        <f>SUMIFS(F30:F34,C30:C34,"D",H30:H34,"melnais")</f>
        <v>0</v>
      </c>
      <c r="U40" s="93">
        <f>SUMIFS(F30:F34,C30:C34,"D",H30:H34,"dubultā virsma")</f>
        <v>0</v>
      </c>
      <c r="V40" s="93">
        <f>SUMIFS(F30:F34,C30:C34,"D",H30:H34,"bruģis")</f>
        <v>0</v>
      </c>
      <c r="W40" s="93">
        <f>SUMIFS(F30:F34,C30:C34,"D",H30:H34,"grants")</f>
        <v>0</v>
      </c>
      <c r="X40" s="93">
        <f>SUMIFS(F30:F34,C30:C34,"D",H30:H34,"cits segums")</f>
        <v>0</v>
      </c>
      <c r="Y40" s="93">
        <f>SUMIFS(F30:F34,C30:C34,"D")</f>
        <v>0</v>
      </c>
      <c r="Z40" s="92" t="s">
        <v>4</v>
      </c>
      <c r="AA40" s="93">
        <f>SUMIFS(F30:F34,C30:C34,"D",H30:H34,"melnais", R30:R34,"Nepiederošs")</f>
        <v>0</v>
      </c>
      <c r="AB40" s="93">
        <f>SUMIFS(F30:F34,C30:C34,"D",H30:H34,"dubultā virsma", R30:R34,"Nepiederošs")</f>
        <v>0</v>
      </c>
      <c r="AC40" s="93">
        <f>SUMIFS(F30:F34,C30:C34,"D",H30:H34,"bruģis", R30:R34,"Nepiederošs")</f>
        <v>0</v>
      </c>
      <c r="AD40" s="93">
        <f>SUMIFS(F30:F34,C30:C34,"D",H30:H34,"grants", R30:R34,"Nepiederošs")</f>
        <v>0</v>
      </c>
      <c r="AE40" s="93">
        <f>SUMIFS(F30:F34,C30:C34,"D",H30:H34,"cits segums", R30:R34,"Nepiederošs")</f>
        <v>0</v>
      </c>
      <c r="AF40" s="93">
        <f t="shared" si="4"/>
        <v>0</v>
      </c>
    </row>
    <row r="41" spans="1:32" x14ac:dyDescent="0.25">
      <c r="T41" s="98">
        <f>SUM(T37:T40)</f>
        <v>0</v>
      </c>
      <c r="U41" s="98">
        <f t="shared" ref="U41:Y41" si="5">SUM(U37:U40)</f>
        <v>0</v>
      </c>
      <c r="V41" s="98">
        <f t="shared" si="5"/>
        <v>0</v>
      </c>
      <c r="W41" s="98">
        <f t="shared" si="5"/>
        <v>3.31</v>
      </c>
      <c r="X41" s="98">
        <f t="shared" si="5"/>
        <v>0</v>
      </c>
      <c r="Y41" s="98">
        <f t="shared" si="5"/>
        <v>3.31</v>
      </c>
      <c r="AA41" s="98">
        <f>SUM(AA37:AA40)</f>
        <v>0</v>
      </c>
      <c r="AB41" s="98">
        <f t="shared" ref="AB41:AF41" si="6">SUM(AB37:AB40)</f>
        <v>0</v>
      </c>
      <c r="AC41" s="98">
        <f t="shared" si="6"/>
        <v>0</v>
      </c>
      <c r="AD41" s="98">
        <f t="shared" si="6"/>
        <v>0.09</v>
      </c>
      <c r="AE41" s="98">
        <f t="shared" si="6"/>
        <v>0</v>
      </c>
      <c r="AF41" s="98">
        <f t="shared" si="6"/>
        <v>0.09</v>
      </c>
    </row>
    <row r="42" spans="1:32" s="5" customFormat="1" ht="15" customHeight="1" x14ac:dyDescent="0.25">
      <c r="A42" s="1"/>
      <c r="B42" s="1"/>
      <c r="C42" s="1"/>
      <c r="D42" s="19" t="s">
        <v>60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3"/>
      <c r="R42" s="14"/>
    </row>
    <row r="43" spans="1:32" s="5" customFormat="1" ht="11.25" x14ac:dyDescent="0.25">
      <c r="A43" s="1"/>
      <c r="B43" s="1"/>
      <c r="C43" s="1"/>
      <c r="D43" s="25"/>
      <c r="E43" s="25"/>
      <c r="F43" s="25"/>
      <c r="G43" s="25"/>
      <c r="H43" s="3"/>
      <c r="I43" s="1"/>
      <c r="J43" s="1"/>
      <c r="K43" s="1"/>
      <c r="L43" s="1"/>
      <c r="M43" s="1"/>
      <c r="N43" s="26"/>
      <c r="O43" s="26"/>
      <c r="P43" s="1"/>
      <c r="Q43" s="1"/>
      <c r="R43" s="14"/>
    </row>
    <row r="44" spans="1:32" s="27" customFormat="1" ht="5.25" customHeight="1" x14ac:dyDescent="0.2"/>
    <row r="45" spans="1:32" s="27" customFormat="1" ht="12.75" customHeight="1" x14ac:dyDescent="0.2">
      <c r="A45" s="28" t="s">
        <v>13</v>
      </c>
      <c r="B45" s="111" t="s">
        <v>14</v>
      </c>
      <c r="C45" s="112"/>
      <c r="D45" s="33" t="s">
        <v>15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28" t="s">
        <v>16</v>
      </c>
      <c r="R45" s="28"/>
    </row>
    <row r="46" spans="1:32" s="27" customFormat="1" ht="12.75" customHeight="1" x14ac:dyDescent="0.2">
      <c r="A46" s="28"/>
      <c r="B46" s="111"/>
      <c r="C46" s="37"/>
      <c r="D46" s="33" t="s">
        <v>17</v>
      </c>
      <c r="E46" s="38"/>
      <c r="F46" s="38"/>
      <c r="G46" s="38"/>
      <c r="H46" s="38"/>
      <c r="I46" s="39" t="s">
        <v>18</v>
      </c>
      <c r="J46" s="39"/>
      <c r="K46" s="39"/>
      <c r="L46" s="39"/>
      <c r="M46" s="39"/>
      <c r="N46" s="39"/>
      <c r="O46" s="39"/>
      <c r="P46" s="43" t="s">
        <v>19</v>
      </c>
      <c r="Q46" s="28"/>
      <c r="R46" s="28"/>
    </row>
    <row r="47" spans="1:32" s="27" customFormat="1" ht="15.2" customHeight="1" x14ac:dyDescent="0.2">
      <c r="A47" s="28"/>
      <c r="B47" s="111"/>
      <c r="C47" s="37"/>
      <c r="D47" s="33" t="s">
        <v>20</v>
      </c>
      <c r="E47" s="38"/>
      <c r="F47" s="28" t="s">
        <v>21</v>
      </c>
      <c r="G47" s="28" t="s">
        <v>22</v>
      </c>
      <c r="H47" s="28" t="s">
        <v>23</v>
      </c>
      <c r="I47" s="39" t="s">
        <v>24</v>
      </c>
      <c r="J47" s="39" t="s">
        <v>25</v>
      </c>
      <c r="K47" s="39"/>
      <c r="L47" s="43" t="s">
        <v>26</v>
      </c>
      <c r="M47" s="43" t="s">
        <v>27</v>
      </c>
      <c r="N47" s="43" t="s">
        <v>28</v>
      </c>
      <c r="O47" s="43" t="s">
        <v>29</v>
      </c>
      <c r="P47" s="43"/>
      <c r="Q47" s="43" t="s">
        <v>30</v>
      </c>
      <c r="R47" s="28" t="s">
        <v>31</v>
      </c>
    </row>
    <row r="48" spans="1:32" s="27" customFormat="1" ht="33.75" customHeight="1" x14ac:dyDescent="0.2">
      <c r="A48" s="28"/>
      <c r="B48" s="111"/>
      <c r="C48" s="46" t="s">
        <v>32</v>
      </c>
      <c r="D48" s="113" t="s">
        <v>33</v>
      </c>
      <c r="E48" s="47" t="s">
        <v>34</v>
      </c>
      <c r="F48" s="28"/>
      <c r="G48" s="28"/>
      <c r="H48" s="28"/>
      <c r="I48" s="39"/>
      <c r="J48" s="48" t="s">
        <v>35</v>
      </c>
      <c r="K48" s="48" t="s">
        <v>36</v>
      </c>
      <c r="L48" s="43"/>
      <c r="M48" s="43"/>
      <c r="N48" s="43"/>
      <c r="O48" s="43"/>
      <c r="P48" s="43"/>
      <c r="Q48" s="43"/>
      <c r="R48" s="28"/>
    </row>
    <row r="49" spans="1:32" s="52" customFormat="1" ht="12" customHeight="1" x14ac:dyDescent="0.25">
      <c r="A49" s="50">
        <v>1</v>
      </c>
      <c r="B49" s="50">
        <v>2</v>
      </c>
      <c r="C49" s="114"/>
      <c r="D49" s="50">
        <v>3</v>
      </c>
      <c r="E49" s="50">
        <v>4</v>
      </c>
      <c r="F49" s="50">
        <v>5</v>
      </c>
      <c r="G49" s="50">
        <v>5.0999999999999996</v>
      </c>
      <c r="H49" s="50">
        <v>6</v>
      </c>
      <c r="I49" s="51">
        <v>7</v>
      </c>
      <c r="J49" s="51">
        <v>8</v>
      </c>
      <c r="K49" s="51">
        <v>9</v>
      </c>
      <c r="L49" s="51">
        <v>10</v>
      </c>
      <c r="M49" s="51">
        <v>11</v>
      </c>
      <c r="N49" s="51">
        <v>12</v>
      </c>
      <c r="O49" s="51">
        <v>13</v>
      </c>
      <c r="P49" s="51">
        <v>14</v>
      </c>
      <c r="Q49" s="51">
        <v>15</v>
      </c>
      <c r="R49" s="50">
        <v>16</v>
      </c>
    </row>
    <row r="50" spans="1:32" ht="45" x14ac:dyDescent="0.25">
      <c r="A50" s="59">
        <v>1</v>
      </c>
      <c r="B50" s="58" t="s">
        <v>61</v>
      </c>
      <c r="C50" s="60" t="s">
        <v>4</v>
      </c>
      <c r="D50" s="56">
        <v>0</v>
      </c>
      <c r="E50" s="56">
        <v>4.97</v>
      </c>
      <c r="F50" s="56">
        <v>4.97</v>
      </c>
      <c r="G50" s="56">
        <v>7</v>
      </c>
      <c r="H50" s="115" t="s">
        <v>38</v>
      </c>
      <c r="I50" s="58"/>
      <c r="J50" s="58"/>
      <c r="K50" s="58"/>
      <c r="L50" s="58"/>
      <c r="M50" s="58"/>
      <c r="N50" s="58"/>
      <c r="O50" s="58"/>
      <c r="P50" s="58"/>
      <c r="Q50" s="116">
        <v>80740030670</v>
      </c>
      <c r="R50" s="117" t="s">
        <v>62</v>
      </c>
    </row>
    <row r="51" spans="1:32" ht="22.5" x14ac:dyDescent="0.25">
      <c r="A51" s="59">
        <v>2</v>
      </c>
      <c r="B51" s="58" t="s">
        <v>63</v>
      </c>
      <c r="C51" s="60" t="s">
        <v>4</v>
      </c>
      <c r="D51" s="56">
        <v>0</v>
      </c>
      <c r="E51" s="56">
        <v>2.08</v>
      </c>
      <c r="F51" s="56">
        <v>2.08</v>
      </c>
      <c r="G51" s="56">
        <v>7</v>
      </c>
      <c r="H51" s="115" t="s">
        <v>38</v>
      </c>
      <c r="I51" s="59" t="s">
        <v>64</v>
      </c>
      <c r="J51" s="59">
        <v>1.34</v>
      </c>
      <c r="K51" s="59" t="s">
        <v>65</v>
      </c>
      <c r="L51" s="59">
        <v>20</v>
      </c>
      <c r="M51" s="59">
        <v>162</v>
      </c>
      <c r="N51" s="59"/>
      <c r="O51" s="59" t="s">
        <v>66</v>
      </c>
      <c r="P51" s="58"/>
      <c r="Q51" s="116">
        <v>80740020103</v>
      </c>
      <c r="R51" s="117" t="s">
        <v>67</v>
      </c>
    </row>
    <row r="52" spans="1:32" ht="22.5" x14ac:dyDescent="0.25">
      <c r="A52" s="59">
        <v>3</v>
      </c>
      <c r="B52" s="58" t="s">
        <v>68</v>
      </c>
      <c r="C52" s="60" t="s">
        <v>3</v>
      </c>
      <c r="D52" s="56">
        <v>0</v>
      </c>
      <c r="E52" s="56">
        <v>4.7</v>
      </c>
      <c r="F52" s="56">
        <v>4.7</v>
      </c>
      <c r="G52" s="56">
        <v>7</v>
      </c>
      <c r="H52" s="115" t="s">
        <v>38</v>
      </c>
      <c r="I52" s="58"/>
      <c r="J52" s="58"/>
      <c r="K52" s="58"/>
      <c r="L52" s="58"/>
      <c r="M52" s="58"/>
      <c r="N52" s="58"/>
      <c r="O52" s="58"/>
      <c r="P52" s="58"/>
      <c r="Q52" s="116">
        <v>80740050361</v>
      </c>
      <c r="R52" s="117" t="s">
        <v>69</v>
      </c>
      <c r="AA52" t="s">
        <v>42</v>
      </c>
    </row>
    <row r="53" spans="1:32" ht="23.25" x14ac:dyDescent="0.25">
      <c r="K53" s="80" t="s">
        <v>50</v>
      </c>
      <c r="L53" s="76">
        <f>SUM(L51:L52)</f>
        <v>20</v>
      </c>
      <c r="M53" s="76">
        <f>SUM(M51:M52)</f>
        <v>162</v>
      </c>
      <c r="O53" s="80" t="s">
        <v>48</v>
      </c>
      <c r="P53" s="76">
        <f>SUM(P51:P52)</f>
        <v>0</v>
      </c>
      <c r="S53" s="70"/>
      <c r="T53" s="71" t="s">
        <v>43</v>
      </c>
      <c r="U53" s="71" t="s">
        <v>44</v>
      </c>
      <c r="V53" s="71" t="s">
        <v>45</v>
      </c>
      <c r="W53" s="71" t="s">
        <v>46</v>
      </c>
      <c r="X53" s="71" t="s">
        <v>47</v>
      </c>
      <c r="Y53" s="72" t="s">
        <v>48</v>
      </c>
      <c r="Z53" s="70"/>
      <c r="AA53" s="71" t="s">
        <v>43</v>
      </c>
      <c r="AB53" s="71" t="s">
        <v>44</v>
      </c>
      <c r="AC53" s="71" t="s">
        <v>45</v>
      </c>
      <c r="AD53" s="71" t="s">
        <v>46</v>
      </c>
      <c r="AE53" s="71" t="s">
        <v>47</v>
      </c>
      <c r="AF53" s="72" t="s">
        <v>48</v>
      </c>
    </row>
    <row r="54" spans="1:32" s="61" customFormat="1" ht="11.25" x14ac:dyDescent="0.2">
      <c r="A54" s="73" t="s">
        <v>70</v>
      </c>
      <c r="B54" s="74"/>
      <c r="C54" s="74"/>
      <c r="D54" s="75"/>
      <c r="E54" s="75"/>
      <c r="F54" s="76">
        <f>SUM(F50:F52)</f>
        <v>11.75</v>
      </c>
      <c r="G54" s="77"/>
      <c r="H54" s="78"/>
      <c r="I54" s="27"/>
      <c r="J54" s="79"/>
      <c r="N54" s="82"/>
      <c r="Q54" s="82"/>
      <c r="S54" s="83" t="s">
        <v>32</v>
      </c>
      <c r="T54" s="71" t="s">
        <v>35</v>
      </c>
      <c r="U54" s="71" t="s">
        <v>35</v>
      </c>
      <c r="V54" s="71" t="s">
        <v>35</v>
      </c>
      <c r="W54" s="71" t="s">
        <v>35</v>
      </c>
      <c r="X54" s="71" t="s">
        <v>35</v>
      </c>
      <c r="Y54" s="72" t="s">
        <v>35</v>
      </c>
      <c r="Z54" s="83"/>
      <c r="AA54" s="71" t="s">
        <v>35</v>
      </c>
      <c r="AB54" s="71" t="s">
        <v>35</v>
      </c>
      <c r="AC54" s="71" t="s">
        <v>35</v>
      </c>
      <c r="AD54" s="71" t="s">
        <v>35</v>
      </c>
      <c r="AE54" s="71" t="s">
        <v>35</v>
      </c>
      <c r="AF54" s="72" t="s">
        <v>35</v>
      </c>
    </row>
    <row r="55" spans="1:32" s="61" customFormat="1" ht="11.25" x14ac:dyDescent="0.2">
      <c r="A55" s="84" t="s">
        <v>51</v>
      </c>
      <c r="B55" s="85"/>
      <c r="C55" s="85"/>
      <c r="D55" s="86"/>
      <c r="E55" s="86"/>
      <c r="F55" s="87">
        <v>0</v>
      </c>
      <c r="G55" s="88"/>
      <c r="H55" s="89"/>
      <c r="I55" s="90"/>
      <c r="J55" s="82"/>
      <c r="K55" s="82"/>
      <c r="L55" s="91"/>
      <c r="M55" s="91"/>
      <c r="N55" s="82"/>
      <c r="O55" s="82"/>
      <c r="P55" s="82"/>
      <c r="Q55" s="82"/>
      <c r="S55" s="92" t="s">
        <v>1</v>
      </c>
      <c r="T55" s="93">
        <f>SUMIFS(F50:F52,C50:C52,"A",H50:H52,"melnais")</f>
        <v>0</v>
      </c>
      <c r="U55" s="93">
        <f>SUMIFS(F50:F52,C50:C52,"A",H50:H52,"dubultā virsma")</f>
        <v>0</v>
      </c>
      <c r="V55" s="93">
        <f>SUMIFS(F50:F52,C50:C52,"A",H50:H52,"bruģis")</f>
        <v>0</v>
      </c>
      <c r="W55" s="93">
        <f>SUMIFS(F50:F52,C50:C52,"A",H50:H52,"grants")</f>
        <v>0</v>
      </c>
      <c r="X55" s="93">
        <f>SUMIFS(F50:F52,C50:C52,"A",H50:H52,"cits segums")</f>
        <v>0</v>
      </c>
      <c r="Y55" s="93">
        <f>SUM(T55:X55)</f>
        <v>0</v>
      </c>
      <c r="Z55" s="92" t="s">
        <v>1</v>
      </c>
      <c r="AA55" s="93">
        <f>SUMIFS(F50:F52,C50:C52,"A",H50:H52,"melnais", R50:R52,"Nepiederošs")</f>
        <v>0</v>
      </c>
      <c r="AB55" s="93">
        <f>SUMIFS(F50:F52,C50:C52,"A",H50:H52,"dubultā virsma", R50:R52,"Nepiederošs")</f>
        <v>0</v>
      </c>
      <c r="AC55" s="93">
        <f>SUMIFS(F50:F52,C50:C52,"A",H50:H52,"bruģis", R50:R52,"Nepiederošs")</f>
        <v>0</v>
      </c>
      <c r="AD55" s="93">
        <f>SUMIFS(F50:F52,C50:C52,"A",H50:H52,"grants", R50:R52,"Nepiederošs")</f>
        <v>0</v>
      </c>
      <c r="AE55" s="93">
        <f>SUMIFS(F50:F52,C50:C52,"A",H50:H52,"cits segums", R50:R52,"Nepiederošs")</f>
        <v>0</v>
      </c>
      <c r="AF55" s="93">
        <f>SUM(AA55:AE55)</f>
        <v>0</v>
      </c>
    </row>
    <row r="56" spans="1:32" s="61" customFormat="1" ht="11.25" x14ac:dyDescent="0.2">
      <c r="A56" s="84" t="s">
        <v>52</v>
      </c>
      <c r="B56" s="85"/>
      <c r="C56" s="85"/>
      <c r="D56" s="86"/>
      <c r="E56" s="86"/>
      <c r="F56" s="87">
        <v>0</v>
      </c>
      <c r="G56" s="88"/>
      <c r="H56" s="27"/>
      <c r="I56" s="27"/>
      <c r="J56" s="82"/>
      <c r="K56" s="94"/>
      <c r="L56" s="94"/>
      <c r="M56" s="94"/>
      <c r="N56" s="82"/>
      <c r="O56" s="82"/>
      <c r="P56" s="82"/>
      <c r="Q56" s="82"/>
      <c r="S56" s="95" t="s">
        <v>2</v>
      </c>
      <c r="T56" s="93">
        <f>SUMIFS(F50:F52,C50:C52,"B",H50:H52,"melnais")</f>
        <v>0</v>
      </c>
      <c r="U56" s="93">
        <f>SUMIFS(F50:F52,C50:C52,"B",H50:H52,"dubultā virsma")</f>
        <v>0</v>
      </c>
      <c r="V56" s="93">
        <f>SUMIFS(F50:F52,C50:C52,"B",H50:H52,"bruģis")</f>
        <v>0</v>
      </c>
      <c r="W56" s="93">
        <f>SUMIFS(F50:F52,C50:C52,"B",H50:H52,"grants")</f>
        <v>0</v>
      </c>
      <c r="X56" s="93">
        <f>SUMIFS(F50:F52,C50:C52,"B",H50:H52,"cits segums")</f>
        <v>0</v>
      </c>
      <c r="Y56" s="93">
        <f t="shared" ref="Y56:Y58" si="7">SUM(T56:X56)</f>
        <v>0</v>
      </c>
      <c r="Z56" s="95" t="s">
        <v>2</v>
      </c>
      <c r="AA56" s="93">
        <f>SUMIFS(F50:F52,C50:C52,"B",H50:H52,"melnais", R50:R52,"Nepiederošs")</f>
        <v>0</v>
      </c>
      <c r="AB56" s="93">
        <f>SUMIFS(F50:F52,C50:C52,"B",H50:H52,"dubultā virsma", R50:R52,"Nepiederošs")</f>
        <v>0</v>
      </c>
      <c r="AC56" s="93">
        <f>SUMIFS(F50:F52,C50:C52,"B",H50:H52,"bruģis", R50:R52,"Nepiederošs")</f>
        <v>0</v>
      </c>
      <c r="AD56" s="93">
        <f>SUMIFS(F50:F52,C50:C52,"B",H50:H52,"grants", R50:R52,"Nepiederošs")</f>
        <v>0</v>
      </c>
      <c r="AE56" s="93">
        <f>SUMIFS(F50:F52,C50:C52,"B",H50:H52,"cits segums", R50:R52,"Nepiederošs")</f>
        <v>0</v>
      </c>
      <c r="AF56" s="93">
        <f t="shared" ref="AF56:AF58" si="8">SUM(AA56:AE56)</f>
        <v>0</v>
      </c>
    </row>
    <row r="57" spans="1:32" s="61" customFormat="1" ht="11.25" x14ac:dyDescent="0.2">
      <c r="A57" s="84" t="s">
        <v>53</v>
      </c>
      <c r="B57" s="85"/>
      <c r="C57" s="85"/>
      <c r="D57" s="86"/>
      <c r="E57" s="86"/>
      <c r="F57" s="87">
        <f>F54-F55-F58-F56</f>
        <v>11.75</v>
      </c>
      <c r="G57" s="88"/>
      <c r="H57" s="27"/>
      <c r="I57" s="27"/>
      <c r="J57" s="82"/>
      <c r="K57" s="94"/>
      <c r="L57" s="94"/>
      <c r="M57" s="94"/>
      <c r="N57" s="82"/>
      <c r="O57" s="82"/>
      <c r="P57" s="82"/>
      <c r="Q57" s="82"/>
      <c r="S57" s="96" t="s">
        <v>3</v>
      </c>
      <c r="T57" s="93">
        <f>SUMIFS(F50:F52,C50:C52,"C",H50:H52,"melnais")</f>
        <v>0</v>
      </c>
      <c r="U57" s="93">
        <f>SUMIFS(F50:F52,C50:C52,"C",H50:H52,"dubultā virsma")</f>
        <v>0</v>
      </c>
      <c r="V57" s="93">
        <f>SUMIFS(F50:F52,C50:C52,"C",H50:H52,"bruģis")</f>
        <v>0</v>
      </c>
      <c r="W57" s="93">
        <f>SUMIFS(F50:F52,C50:C52,"C",H50:H52,"grants")</f>
        <v>4.7</v>
      </c>
      <c r="X57" s="93">
        <f>SUMIFS(F50:F52,C50:C52,"C",H50:H52,"cits segums")</f>
        <v>0</v>
      </c>
      <c r="Y57" s="93">
        <f t="shared" si="7"/>
        <v>4.7</v>
      </c>
      <c r="Z57" s="96" t="s">
        <v>3</v>
      </c>
      <c r="AA57" s="93">
        <f>SUMIFS(F50:F52,C50:C52,"C",H50:H52,"melnais", R50:R52,"Nepiederošs")</f>
        <v>0</v>
      </c>
      <c r="AB57" s="93">
        <f>SUMIFS(F50:F52,C50:C52,"C",H50:H52,"dubultā virsma", R50:R52,"Nepiederošs")</f>
        <v>0</v>
      </c>
      <c r="AC57" s="93">
        <f>SUMIFS(F50:F52,C50:C52,"C",H50:H52,"bruģis", R50:R52,"Nepiederošs")</f>
        <v>0</v>
      </c>
      <c r="AD57" s="93">
        <f>SUMIFS(F50:F52,C50:C52,"C",H50:H52,"grants", R50:R52,"Nepiederošs")</f>
        <v>0</v>
      </c>
      <c r="AE57" s="93">
        <f>SUMIFS(F50:F52,C50:C52,"C",H50:H52,"cits segums", R50:R52,"Nepiederošs")</f>
        <v>0</v>
      </c>
      <c r="AF57" s="93">
        <f t="shared" si="8"/>
        <v>0</v>
      </c>
    </row>
    <row r="58" spans="1:32" s="61" customFormat="1" ht="11.25" x14ac:dyDescent="0.2">
      <c r="A58" s="84" t="s">
        <v>54</v>
      </c>
      <c r="B58" s="85"/>
      <c r="C58" s="85"/>
      <c r="D58" s="86"/>
      <c r="E58" s="86"/>
      <c r="F58" s="87">
        <v>0</v>
      </c>
      <c r="G58" s="88"/>
      <c r="H58" s="90"/>
      <c r="I58" s="27"/>
      <c r="J58" s="97"/>
      <c r="K58" s="94"/>
      <c r="L58" s="94"/>
      <c r="M58" s="94"/>
      <c r="N58" s="82"/>
      <c r="O58" s="82"/>
      <c r="P58" s="82"/>
      <c r="Q58" s="82"/>
      <c r="S58" s="92" t="s">
        <v>4</v>
      </c>
      <c r="T58" s="93">
        <f>SUMIFS(F50:F52,C50:C52,"D",H50:H52,"melnais")</f>
        <v>0</v>
      </c>
      <c r="U58" s="93">
        <f>SUMIFS(F50:F52,C50:C52,"D",H50:H52,"dubultā virsma")</f>
        <v>0</v>
      </c>
      <c r="V58" s="93">
        <f>SUMIFS(F50:F52,C50:C52,"D",H50:H52,"bruģis")</f>
        <v>0</v>
      </c>
      <c r="W58" s="93">
        <f>SUMIFS(F50:F52,C50:C52,"D",H50:H52,"grants")</f>
        <v>7.05</v>
      </c>
      <c r="X58" s="93">
        <f>SUMIFS(F50:F52,C50:C52,"D",H50:H52,"cits segums")</f>
        <v>0</v>
      </c>
      <c r="Y58" s="93">
        <f t="shared" si="7"/>
        <v>7.05</v>
      </c>
      <c r="Z58" s="92" t="s">
        <v>4</v>
      </c>
      <c r="AA58" s="93">
        <f>SUMIFS(F50:F52,C50:C52,"D",H50:H52,"melnais", R50:R52,"Nepiederošs")</f>
        <v>0</v>
      </c>
      <c r="AB58" s="93">
        <f>SUMIFS(F50:F52,C50:C52,"D",H50:H52,"dubultā virsma", R50:R52,"Nepiederošs")</f>
        <v>0</v>
      </c>
      <c r="AC58" s="93">
        <f>SUMIFS(F50:F52,C50:C52,"D",H50:H52,"bruģis", R50:R52,"Nepiederošs")</f>
        <v>0</v>
      </c>
      <c r="AD58" s="93">
        <f>SUMIFS(F50:F52,C50:C52,"D",H50:H52,"grants", R50:R52,"Nepiederošs")</f>
        <v>0</v>
      </c>
      <c r="AE58" s="93">
        <f>SUMIFS(F50:F52,C50:C52,"D",H50:H52,"cits segums", R50:R52,"Nepiederošs")</f>
        <v>0</v>
      </c>
      <c r="AF58" s="93">
        <f t="shared" si="8"/>
        <v>0</v>
      </c>
    </row>
    <row r="59" spans="1:32" x14ac:dyDescent="0.25">
      <c r="T59" s="98">
        <f>SUM(T55:T58)</f>
        <v>0</v>
      </c>
      <c r="U59" s="98">
        <f t="shared" ref="U59:Y59" si="9">SUM(U55:U58)</f>
        <v>0</v>
      </c>
      <c r="V59" s="98">
        <f t="shared" si="9"/>
        <v>0</v>
      </c>
      <c r="W59" s="98">
        <f t="shared" si="9"/>
        <v>11.75</v>
      </c>
      <c r="X59" s="98">
        <f t="shared" si="9"/>
        <v>0</v>
      </c>
      <c r="Y59" s="98">
        <f t="shared" si="9"/>
        <v>11.75</v>
      </c>
      <c r="AA59" s="98">
        <f>SUM(AA55:AA58)</f>
        <v>0</v>
      </c>
      <c r="AB59" s="98">
        <f t="shared" ref="AB59:AF59" si="10">SUM(AB55:AB58)</f>
        <v>0</v>
      </c>
      <c r="AC59" s="98">
        <f t="shared" si="10"/>
        <v>0</v>
      </c>
      <c r="AD59" s="98">
        <f t="shared" si="10"/>
        <v>0</v>
      </c>
      <c r="AE59" s="98">
        <f t="shared" si="10"/>
        <v>0</v>
      </c>
      <c r="AF59" s="98">
        <f t="shared" si="10"/>
        <v>0</v>
      </c>
    </row>
    <row r="60" spans="1:32" s="5" customFormat="1" ht="15" customHeight="1" x14ac:dyDescent="0.25">
      <c r="A60" s="1"/>
      <c r="B60" s="1"/>
      <c r="C60" s="1"/>
      <c r="D60" s="19" t="s">
        <v>71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3"/>
      <c r="R60" s="14"/>
    </row>
    <row r="61" spans="1:32" s="5" customFormat="1" ht="11.25" x14ac:dyDescent="0.25">
      <c r="A61" s="1"/>
      <c r="B61" s="1"/>
      <c r="C61" s="1"/>
      <c r="D61" s="25"/>
      <c r="E61" s="25"/>
      <c r="F61" s="25"/>
      <c r="G61" s="25"/>
      <c r="H61" s="3"/>
      <c r="I61" s="1"/>
      <c r="J61" s="1"/>
      <c r="K61" s="1"/>
      <c r="L61" s="1"/>
      <c r="M61" s="1"/>
      <c r="N61" s="26"/>
      <c r="O61" s="26"/>
      <c r="P61" s="1"/>
      <c r="Q61" s="1"/>
      <c r="R61" s="14"/>
    </row>
    <row r="62" spans="1:32" s="27" customFormat="1" ht="5.25" customHeight="1" x14ac:dyDescent="0.2"/>
    <row r="63" spans="1:32" s="27" customFormat="1" ht="12.75" customHeight="1" x14ac:dyDescent="0.2">
      <c r="A63" s="28" t="s">
        <v>13</v>
      </c>
      <c r="B63" s="111" t="s">
        <v>14</v>
      </c>
      <c r="C63" s="112"/>
      <c r="D63" s="33" t="s">
        <v>15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28" t="s">
        <v>16</v>
      </c>
      <c r="R63" s="28"/>
    </row>
    <row r="64" spans="1:32" s="27" customFormat="1" ht="12.75" customHeight="1" x14ac:dyDescent="0.2">
      <c r="A64" s="28"/>
      <c r="B64" s="111"/>
      <c r="C64" s="37"/>
      <c r="D64" s="33" t="s">
        <v>17</v>
      </c>
      <c r="E64" s="38"/>
      <c r="F64" s="38"/>
      <c r="G64" s="38"/>
      <c r="H64" s="38"/>
      <c r="I64" s="39" t="s">
        <v>18</v>
      </c>
      <c r="J64" s="39"/>
      <c r="K64" s="39"/>
      <c r="L64" s="39"/>
      <c r="M64" s="39"/>
      <c r="N64" s="39"/>
      <c r="O64" s="39"/>
      <c r="P64" s="43" t="s">
        <v>19</v>
      </c>
      <c r="Q64" s="28"/>
      <c r="R64" s="28"/>
    </row>
    <row r="65" spans="1:32" s="27" customFormat="1" ht="15.2" customHeight="1" x14ac:dyDescent="0.2">
      <c r="A65" s="28"/>
      <c r="B65" s="111"/>
      <c r="C65" s="37"/>
      <c r="D65" s="33" t="s">
        <v>20</v>
      </c>
      <c r="E65" s="38"/>
      <c r="F65" s="28" t="s">
        <v>21</v>
      </c>
      <c r="G65" s="28" t="s">
        <v>22</v>
      </c>
      <c r="H65" s="28" t="s">
        <v>23</v>
      </c>
      <c r="I65" s="39" t="s">
        <v>24</v>
      </c>
      <c r="J65" s="39" t="s">
        <v>25</v>
      </c>
      <c r="K65" s="39"/>
      <c r="L65" s="43" t="s">
        <v>26</v>
      </c>
      <c r="M65" s="43" t="s">
        <v>27</v>
      </c>
      <c r="N65" s="43" t="s">
        <v>28</v>
      </c>
      <c r="O65" s="43" t="s">
        <v>29</v>
      </c>
      <c r="P65" s="43"/>
      <c r="Q65" s="43" t="s">
        <v>30</v>
      </c>
      <c r="R65" s="28" t="s">
        <v>31</v>
      </c>
    </row>
    <row r="66" spans="1:32" s="27" customFormat="1" ht="33.75" customHeight="1" x14ac:dyDescent="0.2">
      <c r="A66" s="28"/>
      <c r="B66" s="111"/>
      <c r="C66" s="46" t="s">
        <v>32</v>
      </c>
      <c r="D66" s="113" t="s">
        <v>33</v>
      </c>
      <c r="E66" s="47" t="s">
        <v>34</v>
      </c>
      <c r="F66" s="28"/>
      <c r="G66" s="28"/>
      <c r="H66" s="28"/>
      <c r="I66" s="39"/>
      <c r="J66" s="48" t="s">
        <v>35</v>
      </c>
      <c r="K66" s="48" t="s">
        <v>36</v>
      </c>
      <c r="L66" s="43"/>
      <c r="M66" s="43"/>
      <c r="N66" s="43"/>
      <c r="O66" s="43"/>
      <c r="P66" s="43"/>
      <c r="Q66" s="43"/>
      <c r="R66" s="28"/>
    </row>
    <row r="67" spans="1:32" s="52" customFormat="1" ht="12" customHeight="1" x14ac:dyDescent="0.25">
      <c r="A67" s="99">
        <v>1</v>
      </c>
      <c r="B67" s="99">
        <v>2</v>
      </c>
      <c r="C67" s="118"/>
      <c r="D67" s="50">
        <v>3</v>
      </c>
      <c r="E67" s="50">
        <v>4</v>
      </c>
      <c r="F67" s="50">
        <v>5</v>
      </c>
      <c r="G67" s="50">
        <v>5.0999999999999996</v>
      </c>
      <c r="H67" s="50">
        <v>6</v>
      </c>
      <c r="I67" s="51">
        <v>7</v>
      </c>
      <c r="J67" s="51">
        <v>8</v>
      </c>
      <c r="K67" s="51">
        <v>9</v>
      </c>
      <c r="L67" s="51">
        <v>10</v>
      </c>
      <c r="M67" s="51">
        <v>11</v>
      </c>
      <c r="N67" s="51">
        <v>12</v>
      </c>
      <c r="O67" s="51">
        <v>13</v>
      </c>
      <c r="P67" s="51">
        <v>14</v>
      </c>
      <c r="Q67" s="51">
        <v>15</v>
      </c>
      <c r="R67" s="50">
        <v>16</v>
      </c>
    </row>
    <row r="68" spans="1:32" x14ac:dyDescent="0.25">
      <c r="A68" s="119">
        <v>1</v>
      </c>
      <c r="B68" s="120" t="s">
        <v>72</v>
      </c>
      <c r="C68" s="60" t="s">
        <v>3</v>
      </c>
      <c r="D68" s="121">
        <v>0</v>
      </c>
      <c r="E68" s="56">
        <v>0.1</v>
      </c>
      <c r="F68" s="56">
        <v>0.1</v>
      </c>
      <c r="G68" s="56">
        <v>4.5</v>
      </c>
      <c r="H68" s="58" t="s">
        <v>38</v>
      </c>
      <c r="I68" s="122"/>
      <c r="J68" s="122"/>
      <c r="K68" s="122"/>
      <c r="L68" s="122"/>
      <c r="M68" s="122"/>
      <c r="N68" s="122"/>
      <c r="O68" s="122"/>
      <c r="P68" s="122"/>
      <c r="Q68" s="59" t="s">
        <v>73</v>
      </c>
      <c r="R68" s="59">
        <v>80640050150</v>
      </c>
    </row>
    <row r="69" spans="1:32" x14ac:dyDescent="0.25">
      <c r="A69" s="123"/>
      <c r="B69" s="124"/>
      <c r="C69" s="60" t="s">
        <v>3</v>
      </c>
      <c r="D69" s="121">
        <v>0.1</v>
      </c>
      <c r="E69" s="56">
        <v>0.39</v>
      </c>
      <c r="F69" s="56">
        <v>0.19</v>
      </c>
      <c r="G69" s="56">
        <v>6</v>
      </c>
      <c r="H69" s="58" t="s">
        <v>38</v>
      </c>
      <c r="I69" s="122"/>
      <c r="J69" s="122"/>
      <c r="K69" s="122"/>
      <c r="L69" s="122"/>
      <c r="M69" s="122"/>
      <c r="N69" s="122"/>
      <c r="O69" s="122"/>
      <c r="P69" s="122"/>
      <c r="Q69" s="59">
        <v>80640050021</v>
      </c>
      <c r="R69" s="125" t="s">
        <v>57</v>
      </c>
    </row>
    <row r="70" spans="1:32" x14ac:dyDescent="0.25">
      <c r="A70" s="123"/>
      <c r="B70" s="124"/>
      <c r="C70" s="60" t="s">
        <v>3</v>
      </c>
      <c r="D70" s="121">
        <v>0.39</v>
      </c>
      <c r="E70" s="56">
        <v>1.3</v>
      </c>
      <c r="F70" s="56">
        <v>0.91</v>
      </c>
      <c r="G70" s="56">
        <v>5</v>
      </c>
      <c r="H70" s="58" t="s">
        <v>38</v>
      </c>
      <c r="I70" s="122"/>
      <c r="J70" s="122"/>
      <c r="K70" s="122"/>
      <c r="L70" s="122"/>
      <c r="M70" s="122"/>
      <c r="N70" s="122"/>
      <c r="O70" s="122"/>
      <c r="P70" s="122"/>
      <c r="Q70" s="59">
        <v>80640050140</v>
      </c>
      <c r="R70" s="59">
        <v>80640050140</v>
      </c>
    </row>
    <row r="71" spans="1:32" x14ac:dyDescent="0.25">
      <c r="A71" s="123"/>
      <c r="B71" s="124"/>
      <c r="C71" s="60" t="s">
        <v>3</v>
      </c>
      <c r="D71" s="121">
        <v>1.3</v>
      </c>
      <c r="E71" s="56">
        <v>1.58</v>
      </c>
      <c r="F71" s="56">
        <f>E71-D71</f>
        <v>0.28000000000000003</v>
      </c>
      <c r="G71" s="56">
        <v>4</v>
      </c>
      <c r="H71" s="58" t="s">
        <v>38</v>
      </c>
      <c r="I71" s="122"/>
      <c r="J71" s="122"/>
      <c r="K71" s="122"/>
      <c r="L71" s="122"/>
      <c r="M71" s="122"/>
      <c r="N71" s="122"/>
      <c r="O71" s="122"/>
      <c r="P71" s="122"/>
      <c r="Q71" s="60">
        <v>80640080045</v>
      </c>
      <c r="R71" s="125" t="s">
        <v>57</v>
      </c>
    </row>
    <row r="72" spans="1:32" x14ac:dyDescent="0.25">
      <c r="A72" s="123"/>
      <c r="B72" s="124"/>
      <c r="C72" s="60" t="s">
        <v>3</v>
      </c>
      <c r="D72" s="121">
        <v>1.58</v>
      </c>
      <c r="E72" s="56">
        <v>1.95</v>
      </c>
      <c r="F72" s="56">
        <v>0.37</v>
      </c>
      <c r="G72" s="56">
        <v>4</v>
      </c>
      <c r="H72" s="58" t="s">
        <v>38</v>
      </c>
      <c r="I72" s="122"/>
      <c r="J72" s="122"/>
      <c r="K72" s="122"/>
      <c r="L72" s="122"/>
      <c r="M72" s="122"/>
      <c r="N72" s="122"/>
      <c r="O72" s="122"/>
      <c r="P72" s="122"/>
      <c r="Q72" s="59">
        <v>80640080201</v>
      </c>
      <c r="R72" s="59" t="s">
        <v>74</v>
      </c>
    </row>
    <row r="73" spans="1:32" x14ac:dyDescent="0.25">
      <c r="A73" s="119">
        <v>2</v>
      </c>
      <c r="B73" s="120" t="s">
        <v>75</v>
      </c>
      <c r="C73" s="60" t="s">
        <v>3</v>
      </c>
      <c r="D73" s="121">
        <v>0</v>
      </c>
      <c r="E73" s="56">
        <v>2.2999999999999998</v>
      </c>
      <c r="F73" s="56">
        <v>2.2999999999999998</v>
      </c>
      <c r="G73" s="56">
        <v>4</v>
      </c>
      <c r="H73" s="58" t="s">
        <v>38</v>
      </c>
      <c r="I73" s="122"/>
      <c r="J73" s="122"/>
      <c r="K73" s="122"/>
      <c r="L73" s="122"/>
      <c r="M73" s="122"/>
      <c r="N73" s="122"/>
      <c r="O73" s="122"/>
      <c r="P73" s="122"/>
      <c r="Q73" s="59">
        <v>80640060801</v>
      </c>
      <c r="R73" s="59" t="s">
        <v>76</v>
      </c>
    </row>
    <row r="74" spans="1:32" x14ac:dyDescent="0.25">
      <c r="A74" s="108"/>
      <c r="B74" s="126"/>
      <c r="C74" s="60" t="s">
        <v>3</v>
      </c>
      <c r="D74" s="121">
        <v>2.48</v>
      </c>
      <c r="E74" s="56">
        <v>3.78</v>
      </c>
      <c r="F74" s="56">
        <v>1.3</v>
      </c>
      <c r="G74" s="56">
        <v>6.5</v>
      </c>
      <c r="H74" s="58" t="s">
        <v>38</v>
      </c>
      <c r="I74" s="122"/>
      <c r="J74" s="122"/>
      <c r="K74" s="122"/>
      <c r="L74" s="122"/>
      <c r="M74" s="122"/>
      <c r="N74" s="122"/>
      <c r="O74" s="122"/>
      <c r="P74" s="122"/>
      <c r="Q74" s="59" t="s">
        <v>77</v>
      </c>
      <c r="R74" s="59" t="s">
        <v>77</v>
      </c>
    </row>
    <row r="75" spans="1:32" x14ac:dyDescent="0.25">
      <c r="A75" s="108">
        <v>3</v>
      </c>
      <c r="B75" s="102" t="s">
        <v>78</v>
      </c>
      <c r="C75" s="62" t="s">
        <v>3</v>
      </c>
      <c r="D75" s="56">
        <v>0</v>
      </c>
      <c r="E75" s="56">
        <v>0.76</v>
      </c>
      <c r="F75" s="56">
        <v>0.76</v>
      </c>
      <c r="G75" s="56">
        <v>6</v>
      </c>
      <c r="H75" s="58" t="s">
        <v>38</v>
      </c>
      <c r="I75" s="122"/>
      <c r="J75" s="122"/>
      <c r="K75" s="122"/>
      <c r="L75" s="122"/>
      <c r="M75" s="122"/>
      <c r="N75" s="122"/>
      <c r="O75" s="122"/>
      <c r="P75" s="122"/>
      <c r="Q75" s="59">
        <v>80640020619</v>
      </c>
      <c r="R75" s="59" t="s">
        <v>79</v>
      </c>
      <c r="AA75" t="s">
        <v>42</v>
      </c>
    </row>
    <row r="76" spans="1:32" ht="23.25" x14ac:dyDescent="0.25">
      <c r="F76" s="127"/>
      <c r="G76" s="127"/>
      <c r="K76" s="80" t="s">
        <v>50</v>
      </c>
      <c r="L76" s="76">
        <f>SUM(L74:L75)</f>
        <v>0</v>
      </c>
      <c r="M76" s="76">
        <f>SUM(M74:M75)</f>
        <v>0</v>
      </c>
      <c r="O76" s="80" t="s">
        <v>48</v>
      </c>
      <c r="P76" s="76">
        <f>SUM(P74:P75)</f>
        <v>0</v>
      </c>
      <c r="S76" s="70"/>
      <c r="T76" s="71" t="s">
        <v>43</v>
      </c>
      <c r="U76" s="71" t="s">
        <v>44</v>
      </c>
      <c r="V76" s="71" t="s">
        <v>45</v>
      </c>
      <c r="W76" s="71" t="s">
        <v>46</v>
      </c>
      <c r="X76" s="71" t="s">
        <v>47</v>
      </c>
      <c r="Y76" s="72" t="s">
        <v>48</v>
      </c>
      <c r="Z76" s="70"/>
      <c r="AA76" s="71" t="s">
        <v>43</v>
      </c>
      <c r="AB76" s="71" t="s">
        <v>44</v>
      </c>
      <c r="AC76" s="71" t="s">
        <v>45</v>
      </c>
      <c r="AD76" s="71" t="s">
        <v>46</v>
      </c>
      <c r="AE76" s="71" t="s">
        <v>47</v>
      </c>
      <c r="AF76" s="72" t="s">
        <v>48</v>
      </c>
    </row>
    <row r="77" spans="1:32" s="61" customFormat="1" ht="11.25" x14ac:dyDescent="0.2">
      <c r="A77" s="73" t="s">
        <v>80</v>
      </c>
      <c r="B77" s="74"/>
      <c r="C77" s="74"/>
      <c r="D77" s="75"/>
      <c r="E77" s="75"/>
      <c r="F77" s="76">
        <f>SUM(F68:F75)</f>
        <v>6.21</v>
      </c>
      <c r="G77" s="77"/>
      <c r="H77" s="128"/>
      <c r="I77" s="27"/>
      <c r="J77" s="79"/>
      <c r="N77" s="82"/>
      <c r="Q77" s="82"/>
      <c r="S77" s="83" t="s">
        <v>32</v>
      </c>
      <c r="T77" s="71" t="s">
        <v>35</v>
      </c>
      <c r="U77" s="71" t="s">
        <v>35</v>
      </c>
      <c r="V77" s="71" t="s">
        <v>35</v>
      </c>
      <c r="W77" s="71" t="s">
        <v>35</v>
      </c>
      <c r="X77" s="71" t="s">
        <v>35</v>
      </c>
      <c r="Y77" s="72" t="s">
        <v>35</v>
      </c>
      <c r="Z77" s="83"/>
      <c r="AA77" s="71" t="s">
        <v>35</v>
      </c>
      <c r="AB77" s="71" t="s">
        <v>35</v>
      </c>
      <c r="AC77" s="71" t="s">
        <v>35</v>
      </c>
      <c r="AD77" s="71" t="s">
        <v>35</v>
      </c>
      <c r="AE77" s="71" t="s">
        <v>35</v>
      </c>
      <c r="AF77" s="72" t="s">
        <v>35</v>
      </c>
    </row>
    <row r="78" spans="1:32" s="61" customFormat="1" ht="11.25" x14ac:dyDescent="0.2">
      <c r="A78" s="84" t="s">
        <v>51</v>
      </c>
      <c r="B78" s="85"/>
      <c r="C78" s="85"/>
      <c r="D78" s="86"/>
      <c r="E78" s="86"/>
      <c r="F78" s="87">
        <v>0</v>
      </c>
      <c r="G78" s="88"/>
      <c r="H78" s="89"/>
      <c r="I78" s="90"/>
      <c r="J78" s="82"/>
      <c r="K78" s="82"/>
      <c r="L78" s="91"/>
      <c r="M78" s="91"/>
      <c r="N78" s="82"/>
      <c r="O78" s="82"/>
      <c r="P78" s="82"/>
      <c r="Q78" s="82"/>
      <c r="S78" s="92" t="s">
        <v>1</v>
      </c>
      <c r="T78" s="93">
        <f>SUMIFS(F68:F75,C68:C75,"A",H68:H75,"melnais")</f>
        <v>0</v>
      </c>
      <c r="U78" s="93">
        <f>SUMIFS(F68:F75,C68:C75,"A",H68:H75,"dubultā virsma")</f>
        <v>0</v>
      </c>
      <c r="V78" s="93">
        <f>SUMIFS(F68:F75,C68:C75,"A",H68:H75,"bruģis")</f>
        <v>0</v>
      </c>
      <c r="W78" s="93">
        <f>SUMIFS(F68:F75,C68:C75,"A",H68:H75,"grants")</f>
        <v>0</v>
      </c>
      <c r="X78" s="93">
        <f>SUMIFS(F68:F75,C68:C75,"A",H68:H75,"cits segums")</f>
        <v>0</v>
      </c>
      <c r="Y78" s="93">
        <f>SUM(T78:X78)</f>
        <v>0</v>
      </c>
      <c r="Z78" s="92" t="s">
        <v>1</v>
      </c>
      <c r="AA78" s="93">
        <f>SUMIFS(F68:F75,C68:C75,"A",H68:H75,"melnais", R68:R75,"Nepiederošs")</f>
        <v>0</v>
      </c>
      <c r="AB78" s="93">
        <f>SUMIFS(F68:F75,C68:C75,"A",H68:H75,"dubultā virsma", R68:R75,"Nepiederošs")</f>
        <v>0</v>
      </c>
      <c r="AC78" s="93">
        <f>SUMIFS(F68:F75,C68:C75,"A",H68:H75,"bruģis", R68:R75,"Nepiederošs")</f>
        <v>0</v>
      </c>
      <c r="AD78" s="93">
        <f>SUMIFS(F68:F75,C68:C75,"A",H68:H75,"grants", R68:R75,"Nepiederošs")</f>
        <v>0</v>
      </c>
      <c r="AE78" s="93">
        <f>SUMIFS(F68:F75,C68:C75,"A",H68:H75,"cits segums", R68:R75,"Nepiederošs")</f>
        <v>0</v>
      </c>
      <c r="AF78" s="93">
        <f>SUM(AA78:AE78)</f>
        <v>0</v>
      </c>
    </row>
    <row r="79" spans="1:32" s="61" customFormat="1" ht="11.25" x14ac:dyDescent="0.2">
      <c r="A79" s="84" t="s">
        <v>52</v>
      </c>
      <c r="B79" s="85"/>
      <c r="C79" s="85"/>
      <c r="D79" s="86"/>
      <c r="E79" s="86"/>
      <c r="F79" s="87">
        <v>0</v>
      </c>
      <c r="G79" s="88"/>
      <c r="H79" s="27"/>
      <c r="I79" s="27"/>
      <c r="J79" s="82"/>
      <c r="K79" s="94"/>
      <c r="L79" s="94"/>
      <c r="M79" s="94"/>
      <c r="N79" s="82"/>
      <c r="O79" s="82"/>
      <c r="P79" s="82"/>
      <c r="Q79" s="82"/>
      <c r="S79" s="95" t="s">
        <v>2</v>
      </c>
      <c r="T79" s="93">
        <f>SUMIFS(F68:F75,C68:C75,"B",H68:H75,"melnais")</f>
        <v>0</v>
      </c>
      <c r="U79" s="93">
        <f>SUMIFS(F68:F75,C68:C75,"B",H68:H75,"dubultā virsma")</f>
        <v>0</v>
      </c>
      <c r="V79" s="93">
        <f>SUMIFS(F68:F75,C68:C75,"B",H68:H75,"bruģis")</f>
        <v>0</v>
      </c>
      <c r="W79" s="93">
        <f>SUMIFS(F68:F75,C68:C75,"B",H68:H75,"grants")</f>
        <v>0</v>
      </c>
      <c r="X79" s="93">
        <f>SUMIFS(F68:F75,C68:C75,"B",H68:H75,"cits segums")</f>
        <v>0</v>
      </c>
      <c r="Y79" s="93">
        <f t="shared" ref="Y79:Y81" si="11">SUM(T79:X79)</f>
        <v>0</v>
      </c>
      <c r="Z79" s="95" t="s">
        <v>2</v>
      </c>
      <c r="AA79" s="93">
        <f>SUMIFS(F68:F75,C68:C75,"B",H68:H75,"melnais", R68:R75,"Nepiederošs")</f>
        <v>0</v>
      </c>
      <c r="AB79" s="93">
        <f>SUMIFS(F68:F75,C68:C75,"B",H68:H75,"dubultā virsma", R68:R75,"Nepiederošs")</f>
        <v>0</v>
      </c>
      <c r="AC79" s="93">
        <f>SUMIFS(F68:F75,C68:C75,"B",H68:H75,"bruģis", R68:R75,"Nepiederošs")</f>
        <v>0</v>
      </c>
      <c r="AD79" s="93">
        <f>SUMIFS(F68:F75,C68:C75,"B",H68:H75,"grants", R68:R75,"Nepiederošs")</f>
        <v>0</v>
      </c>
      <c r="AE79" s="93">
        <f>SUMIFS(F68:F75,C68:C75,"B",H68:H75,"cits segums", R68:R75,"Nepiederošs")</f>
        <v>0</v>
      </c>
      <c r="AF79" s="93">
        <f t="shared" ref="AF79:AF81" si="12">SUM(AA79:AE79)</f>
        <v>0</v>
      </c>
    </row>
    <row r="80" spans="1:32" s="61" customFormat="1" ht="11.25" x14ac:dyDescent="0.2">
      <c r="A80" s="84" t="s">
        <v>53</v>
      </c>
      <c r="B80" s="85"/>
      <c r="C80" s="85"/>
      <c r="D80" s="86"/>
      <c r="E80" s="86"/>
      <c r="F80" s="87">
        <f>F77-F78-F81-F79</f>
        <v>6.21</v>
      </c>
      <c r="G80" s="88"/>
      <c r="H80" s="27"/>
      <c r="I80" s="27"/>
      <c r="J80" s="82"/>
      <c r="K80" s="94"/>
      <c r="L80" s="94"/>
      <c r="M80" s="94"/>
      <c r="N80" s="82"/>
      <c r="O80" s="82"/>
      <c r="P80" s="82"/>
      <c r="Q80" s="82"/>
      <c r="S80" s="96" t="s">
        <v>3</v>
      </c>
      <c r="T80" s="93">
        <f>SUMIFS(F68:F75,C68:C75,"C",H68:H75,"melnais")</f>
        <v>0</v>
      </c>
      <c r="U80" s="93">
        <f>SUMIFS(F68:F75,C68:C75,"C",H68:H75,"dubultā virsma")</f>
        <v>0</v>
      </c>
      <c r="V80" s="93">
        <f>SUMIFS(F68:F75,C68:C75,"C",H68:H75,"bruģis")</f>
        <v>0</v>
      </c>
      <c r="W80" s="93">
        <f>SUMIFS(F68:F75,C68:C75,"C",H68:H75,"grants")</f>
        <v>6.21</v>
      </c>
      <c r="X80" s="93">
        <f>SUMIFS(F68:F75,C68:C75,"C",H68:H75,"cits segums")</f>
        <v>0</v>
      </c>
      <c r="Y80" s="93">
        <f t="shared" si="11"/>
        <v>6.21</v>
      </c>
      <c r="Z80" s="96" t="s">
        <v>3</v>
      </c>
      <c r="AA80" s="93">
        <f>SUMIFS(F68:F75,C68:C75,"C",H68:H75,"melnais", R68:R75,"Nepiederošs")</f>
        <v>0</v>
      </c>
      <c r="AB80" s="93">
        <f>SUMIFS(F68:F75,C68:C75,"C",H68:H75,"dubultā virsma", R68:R75,"Nepiederošs")</f>
        <v>0</v>
      </c>
      <c r="AC80" s="93">
        <f>SUMIFS(F68:F75,C68:C75,"C",H68:H75,"bruģis", R68:R75,"Nepiederošs")</f>
        <v>0</v>
      </c>
      <c r="AD80" s="93">
        <f>SUMIFS(F68:F75,C68:C75,"C",H68:H75,"grants", R68:R75,"Nepiederošs")</f>
        <v>0.47000000000000003</v>
      </c>
      <c r="AE80" s="93">
        <f>SUMIFS(F68:F75,C68:C75,"C",H68:H75,"cits segums", R68:R75,"Nepiederošs")</f>
        <v>0</v>
      </c>
      <c r="AF80" s="93">
        <f t="shared" si="12"/>
        <v>0.47000000000000003</v>
      </c>
    </row>
    <row r="81" spans="1:32" s="61" customFormat="1" ht="11.25" x14ac:dyDescent="0.2">
      <c r="A81" s="84" t="s">
        <v>54</v>
      </c>
      <c r="B81" s="85"/>
      <c r="C81" s="85"/>
      <c r="D81" s="86"/>
      <c r="E81" s="86"/>
      <c r="F81" s="87">
        <v>0</v>
      </c>
      <c r="G81" s="88"/>
      <c r="H81" s="90"/>
      <c r="I81" s="27"/>
      <c r="J81" s="97"/>
      <c r="K81" s="94"/>
      <c r="L81" s="94"/>
      <c r="M81" s="94"/>
      <c r="N81" s="82"/>
      <c r="O81" s="82"/>
      <c r="P81" s="82"/>
      <c r="Q81" s="82"/>
      <c r="S81" s="92" t="s">
        <v>4</v>
      </c>
      <c r="T81" s="93">
        <f>SUMIFS(F68:F75,C68:C75,"D",H68:H75,"melnais")</f>
        <v>0</v>
      </c>
      <c r="U81" s="93">
        <f>SUMIFS(F68:F75,C68:C75,"D",H68:H75,"dubultā virsma")</f>
        <v>0</v>
      </c>
      <c r="V81" s="93">
        <f>SUMIFS(F68:F75,C68:C75,"D",H68:H75,"bruģis")</f>
        <v>0</v>
      </c>
      <c r="W81" s="93">
        <f>SUMIFS(F68:F75,C68:C75,"D",H68:H75,"grants")</f>
        <v>0</v>
      </c>
      <c r="X81" s="93">
        <f>SUMIFS(F68:F75,C68:C75,"D",H68:H75,"cits segums")</f>
        <v>0</v>
      </c>
      <c r="Y81" s="93">
        <f t="shared" si="11"/>
        <v>0</v>
      </c>
      <c r="Z81" s="92" t="s">
        <v>4</v>
      </c>
      <c r="AA81" s="93">
        <f>SUMIFS(F68:F75,C68:C75,"D",H68:H75,"melnais", R68:R75,"Nepiederošs")</f>
        <v>0</v>
      </c>
      <c r="AB81" s="93">
        <f>SUMIFS(F68:F75,C68:C75,"D",H68:H75,"dubultā virsma", R68:R75,"Nepiederošs")</f>
        <v>0</v>
      </c>
      <c r="AC81" s="93">
        <f>SUMIFS(F68:F75,C68:C75,"D",H68:H75,"bruģis", R68:R75,"Nepiederošs")</f>
        <v>0</v>
      </c>
      <c r="AD81" s="93">
        <f>SUMIFS(F68:F75,C68:C75,"D",H68:H75,"grants", R68:R75,"Nepiederošs")</f>
        <v>0</v>
      </c>
      <c r="AE81" s="93">
        <f>SUMIFS(F68:F75,C68:C75,"D",H68:H75,"cits segums", R68:R75,"Nepiederošs")</f>
        <v>0</v>
      </c>
      <c r="AF81" s="93">
        <f t="shared" si="12"/>
        <v>0</v>
      </c>
    </row>
    <row r="82" spans="1:32" x14ac:dyDescent="0.25">
      <c r="T82" s="98">
        <f>SUM(T78:T81)</f>
        <v>0</v>
      </c>
      <c r="U82" s="98">
        <f t="shared" ref="U82:Y82" si="13">SUM(U78:U81)</f>
        <v>0</v>
      </c>
      <c r="V82" s="98">
        <f t="shared" si="13"/>
        <v>0</v>
      </c>
      <c r="W82" s="98">
        <f t="shared" si="13"/>
        <v>6.21</v>
      </c>
      <c r="X82" s="98">
        <f t="shared" si="13"/>
        <v>0</v>
      </c>
      <c r="Y82" s="98">
        <f t="shared" si="13"/>
        <v>6.21</v>
      </c>
      <c r="AA82" s="98">
        <f>SUM(AA78:AA81)</f>
        <v>0</v>
      </c>
      <c r="AB82" s="98">
        <f t="shared" ref="AB82:AF82" si="14">SUM(AB78:AB81)</f>
        <v>0</v>
      </c>
      <c r="AC82" s="98">
        <f t="shared" si="14"/>
        <v>0</v>
      </c>
      <c r="AD82" s="98">
        <f t="shared" si="14"/>
        <v>0.47000000000000003</v>
      </c>
      <c r="AE82" s="98">
        <f t="shared" si="14"/>
        <v>0</v>
      </c>
      <c r="AF82" s="98">
        <f t="shared" si="14"/>
        <v>0.47000000000000003</v>
      </c>
    </row>
    <row r="83" spans="1:32" s="5" customFormat="1" ht="15" customHeight="1" x14ac:dyDescent="0.25">
      <c r="A83" s="1"/>
      <c r="B83" s="1"/>
      <c r="C83" s="1"/>
      <c r="D83" s="19" t="s">
        <v>81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3"/>
      <c r="R83" s="14"/>
    </row>
    <row r="84" spans="1:32" s="5" customFormat="1" ht="11.25" x14ac:dyDescent="0.25">
      <c r="A84" s="1"/>
      <c r="B84" s="1"/>
      <c r="C84" s="1"/>
      <c r="D84" s="25"/>
      <c r="E84" s="25"/>
      <c r="F84" s="25"/>
      <c r="G84" s="25"/>
      <c r="H84" s="3"/>
      <c r="I84" s="1"/>
      <c r="J84" s="1"/>
      <c r="K84" s="1"/>
      <c r="L84" s="1"/>
      <c r="M84" s="1"/>
      <c r="N84" s="26"/>
      <c r="O84" s="26"/>
      <c r="P84" s="1"/>
      <c r="Q84" s="1"/>
      <c r="R84" s="14"/>
    </row>
    <row r="85" spans="1:32" s="27" customFormat="1" ht="5.25" customHeight="1" x14ac:dyDescent="0.2"/>
    <row r="86" spans="1:32" s="27" customFormat="1" ht="12.75" customHeight="1" x14ac:dyDescent="0.2">
      <c r="A86" s="28" t="s">
        <v>13</v>
      </c>
      <c r="B86" s="111" t="s">
        <v>14</v>
      </c>
      <c r="C86" s="112"/>
      <c r="D86" s="33" t="s">
        <v>15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28" t="s">
        <v>16</v>
      </c>
      <c r="R86" s="28"/>
    </row>
    <row r="87" spans="1:32" s="27" customFormat="1" ht="12.75" customHeight="1" x14ac:dyDescent="0.2">
      <c r="A87" s="28"/>
      <c r="B87" s="111"/>
      <c r="C87" s="37"/>
      <c r="D87" s="33" t="s">
        <v>17</v>
      </c>
      <c r="E87" s="38"/>
      <c r="F87" s="38"/>
      <c r="G87" s="38"/>
      <c r="H87" s="38"/>
      <c r="I87" s="39" t="s">
        <v>18</v>
      </c>
      <c r="J87" s="39"/>
      <c r="K87" s="39"/>
      <c r="L87" s="39"/>
      <c r="M87" s="39"/>
      <c r="N87" s="39"/>
      <c r="O87" s="39"/>
      <c r="P87" s="43" t="s">
        <v>19</v>
      </c>
      <c r="Q87" s="28"/>
      <c r="R87" s="28"/>
    </row>
    <row r="88" spans="1:32" s="27" customFormat="1" ht="15.2" customHeight="1" x14ac:dyDescent="0.2">
      <c r="A88" s="28"/>
      <c r="B88" s="111"/>
      <c r="C88" s="37"/>
      <c r="D88" s="33" t="s">
        <v>20</v>
      </c>
      <c r="E88" s="38"/>
      <c r="F88" s="28" t="s">
        <v>21</v>
      </c>
      <c r="G88" s="28" t="s">
        <v>22</v>
      </c>
      <c r="H88" s="28" t="s">
        <v>23</v>
      </c>
      <c r="I88" s="39" t="s">
        <v>24</v>
      </c>
      <c r="J88" s="39" t="s">
        <v>25</v>
      </c>
      <c r="K88" s="39"/>
      <c r="L88" s="43" t="s">
        <v>26</v>
      </c>
      <c r="M88" s="43" t="s">
        <v>27</v>
      </c>
      <c r="N88" s="43" t="s">
        <v>28</v>
      </c>
      <c r="O88" s="43" t="s">
        <v>29</v>
      </c>
      <c r="P88" s="43"/>
      <c r="Q88" s="43" t="s">
        <v>30</v>
      </c>
      <c r="R88" s="28" t="s">
        <v>31</v>
      </c>
    </row>
    <row r="89" spans="1:32" s="27" customFormat="1" ht="33.75" customHeight="1" x14ac:dyDescent="0.2">
      <c r="A89" s="28"/>
      <c r="B89" s="111"/>
      <c r="C89" s="46" t="s">
        <v>32</v>
      </c>
      <c r="D89" s="113" t="s">
        <v>33</v>
      </c>
      <c r="E89" s="47" t="s">
        <v>34</v>
      </c>
      <c r="F89" s="28"/>
      <c r="G89" s="28"/>
      <c r="H89" s="28"/>
      <c r="I89" s="39"/>
      <c r="J89" s="48" t="s">
        <v>35</v>
      </c>
      <c r="K89" s="48" t="s">
        <v>36</v>
      </c>
      <c r="L89" s="43"/>
      <c r="M89" s="43"/>
      <c r="N89" s="43"/>
      <c r="O89" s="43"/>
      <c r="P89" s="43"/>
      <c r="Q89" s="43"/>
      <c r="R89" s="28"/>
    </row>
    <row r="90" spans="1:32" s="52" customFormat="1" ht="12" customHeight="1" x14ac:dyDescent="0.25">
      <c r="A90" s="99">
        <v>1</v>
      </c>
      <c r="B90" s="99">
        <v>2</v>
      </c>
      <c r="C90" s="118"/>
      <c r="D90" s="99">
        <v>3</v>
      </c>
      <c r="E90" s="99">
        <v>4</v>
      </c>
      <c r="F90" s="99">
        <v>5</v>
      </c>
      <c r="G90" s="50">
        <v>5.0999999999999996</v>
      </c>
      <c r="H90" s="99">
        <v>6</v>
      </c>
      <c r="I90" s="129">
        <v>7</v>
      </c>
      <c r="J90" s="129">
        <v>8</v>
      </c>
      <c r="K90" s="129">
        <v>9</v>
      </c>
      <c r="L90" s="129">
        <v>10</v>
      </c>
      <c r="M90" s="129">
        <v>11</v>
      </c>
      <c r="N90" s="129">
        <v>12</v>
      </c>
      <c r="O90" s="129">
        <v>13</v>
      </c>
      <c r="P90" s="129">
        <v>14</v>
      </c>
      <c r="Q90" s="129">
        <v>15</v>
      </c>
      <c r="R90" s="99">
        <v>16</v>
      </c>
    </row>
    <row r="91" spans="1:32" x14ac:dyDescent="0.25">
      <c r="A91" s="53">
        <v>1</v>
      </c>
      <c r="B91" s="54" t="s">
        <v>82</v>
      </c>
      <c r="C91" s="65" t="s">
        <v>3</v>
      </c>
      <c r="D91" s="121">
        <v>0</v>
      </c>
      <c r="E91" s="56">
        <v>0.75</v>
      </c>
      <c r="F91" s="56">
        <v>0.75</v>
      </c>
      <c r="G91" s="56">
        <v>5.5</v>
      </c>
      <c r="H91" s="58" t="s">
        <v>40</v>
      </c>
      <c r="I91" s="122"/>
      <c r="J91" s="122"/>
      <c r="K91" s="122"/>
      <c r="L91" s="122"/>
      <c r="M91" s="122"/>
      <c r="N91" s="122"/>
      <c r="O91" s="122"/>
      <c r="P91" s="122"/>
      <c r="Q91" s="59">
        <v>80680070496</v>
      </c>
      <c r="R91" s="59">
        <v>80680070496</v>
      </c>
    </row>
    <row r="92" spans="1:32" x14ac:dyDescent="0.25">
      <c r="A92" s="103"/>
      <c r="B92" s="104"/>
      <c r="C92" s="65" t="s">
        <v>3</v>
      </c>
      <c r="D92" s="121">
        <v>0.75</v>
      </c>
      <c r="E92" s="56">
        <v>1.25</v>
      </c>
      <c r="F92" s="56">
        <v>0.5</v>
      </c>
      <c r="G92" s="56">
        <v>5.5</v>
      </c>
      <c r="H92" s="58" t="s">
        <v>38</v>
      </c>
      <c r="I92" s="122"/>
      <c r="J92" s="122"/>
      <c r="K92" s="122"/>
      <c r="L92" s="122"/>
      <c r="M92" s="122"/>
      <c r="N92" s="122"/>
      <c r="O92" s="122"/>
      <c r="P92" s="122"/>
      <c r="Q92" s="59">
        <v>80680070496</v>
      </c>
      <c r="R92" s="59">
        <v>80680070496</v>
      </c>
    </row>
    <row r="93" spans="1:32" x14ac:dyDescent="0.25">
      <c r="A93" s="53">
        <v>2</v>
      </c>
      <c r="B93" s="54" t="s">
        <v>83</v>
      </c>
      <c r="C93" s="65" t="s">
        <v>3</v>
      </c>
      <c r="D93" s="121">
        <v>0</v>
      </c>
      <c r="E93" s="56">
        <v>2</v>
      </c>
      <c r="F93" s="56">
        <v>2</v>
      </c>
      <c r="G93" s="56">
        <v>4.5</v>
      </c>
      <c r="H93" s="58" t="s">
        <v>40</v>
      </c>
      <c r="I93" s="122"/>
      <c r="J93" s="122"/>
      <c r="K93" s="122"/>
      <c r="L93" s="122"/>
      <c r="M93" s="122"/>
      <c r="N93" s="122"/>
      <c r="O93" s="122"/>
      <c r="P93" s="122"/>
      <c r="Q93" s="59">
        <v>80680020259</v>
      </c>
      <c r="R93" s="59">
        <v>80680040066</v>
      </c>
    </row>
    <row r="94" spans="1:32" x14ac:dyDescent="0.25">
      <c r="A94" s="103"/>
      <c r="B94" s="104"/>
      <c r="C94" s="65" t="s">
        <v>3</v>
      </c>
      <c r="D94" s="121">
        <v>2</v>
      </c>
      <c r="E94" s="56">
        <v>3.12</v>
      </c>
      <c r="F94" s="56">
        <v>1.1200000000000001</v>
      </c>
      <c r="G94" s="56">
        <v>5</v>
      </c>
      <c r="H94" s="58" t="s">
        <v>40</v>
      </c>
      <c r="I94" s="122"/>
      <c r="J94" s="122"/>
      <c r="K94" s="122"/>
      <c r="L94" s="122"/>
      <c r="M94" s="122"/>
      <c r="N94" s="122"/>
      <c r="O94" s="122"/>
      <c r="P94" s="122"/>
      <c r="Q94" s="59">
        <v>80680020259</v>
      </c>
      <c r="R94" s="59">
        <v>80680030084</v>
      </c>
    </row>
    <row r="95" spans="1:32" x14ac:dyDescent="0.25">
      <c r="A95" s="103"/>
      <c r="B95" s="104"/>
      <c r="C95" s="65" t="s">
        <v>3</v>
      </c>
      <c r="D95" s="121">
        <v>3.52</v>
      </c>
      <c r="E95" s="56">
        <v>3.72</v>
      </c>
      <c r="F95" s="56">
        <v>0.2</v>
      </c>
      <c r="G95" s="56">
        <v>5</v>
      </c>
      <c r="H95" s="58" t="s">
        <v>40</v>
      </c>
      <c r="I95" s="122"/>
      <c r="J95" s="122"/>
      <c r="K95" s="122"/>
      <c r="L95" s="122"/>
      <c r="M95" s="122"/>
      <c r="N95" s="122"/>
      <c r="O95" s="122"/>
      <c r="P95" s="122"/>
      <c r="Q95" s="59">
        <v>80680020259</v>
      </c>
      <c r="R95" s="59">
        <v>80680030113</v>
      </c>
    </row>
    <row r="96" spans="1:32" x14ac:dyDescent="0.25">
      <c r="A96" s="62"/>
      <c r="B96" s="63"/>
      <c r="C96" s="65" t="s">
        <v>3</v>
      </c>
      <c r="D96" s="121">
        <v>3.72</v>
      </c>
      <c r="E96" s="56">
        <v>5.0500000000000007</v>
      </c>
      <c r="F96" s="56">
        <v>1.33</v>
      </c>
      <c r="G96" s="56">
        <v>5.3</v>
      </c>
      <c r="H96" s="58" t="s">
        <v>40</v>
      </c>
      <c r="I96" s="122"/>
      <c r="J96" s="122"/>
      <c r="K96" s="122"/>
      <c r="L96" s="122"/>
      <c r="M96" s="122"/>
      <c r="N96" s="122"/>
      <c r="O96" s="122"/>
      <c r="P96" s="122"/>
      <c r="Q96" s="59">
        <v>80680020259</v>
      </c>
      <c r="R96" s="59">
        <v>80680020259</v>
      </c>
    </row>
    <row r="97" spans="1:25" ht="23.25" x14ac:dyDescent="0.25">
      <c r="A97" s="103">
        <v>3</v>
      </c>
      <c r="B97" s="130" t="s">
        <v>84</v>
      </c>
      <c r="C97" s="131" t="s">
        <v>4</v>
      </c>
      <c r="D97" s="56">
        <v>0</v>
      </c>
      <c r="E97" s="56">
        <v>0.88</v>
      </c>
      <c r="F97" s="56">
        <v>0.88</v>
      </c>
      <c r="G97" s="56">
        <v>5</v>
      </c>
      <c r="H97" s="58" t="s">
        <v>38</v>
      </c>
      <c r="I97" s="122"/>
      <c r="J97" s="122"/>
      <c r="K97" s="122"/>
      <c r="L97" s="122"/>
      <c r="M97" s="122"/>
      <c r="N97" s="122"/>
      <c r="O97" s="122"/>
      <c r="P97" s="122"/>
      <c r="Q97" s="59">
        <v>80680030118</v>
      </c>
      <c r="R97" s="59">
        <v>80680030118</v>
      </c>
    </row>
    <row r="98" spans="1:25" ht="23.25" x14ac:dyDescent="0.25">
      <c r="A98" s="53">
        <v>4</v>
      </c>
      <c r="B98" s="54" t="s">
        <v>85</v>
      </c>
      <c r="C98" s="65" t="s">
        <v>4</v>
      </c>
      <c r="D98" s="121">
        <v>0</v>
      </c>
      <c r="E98" s="56">
        <v>0.78</v>
      </c>
      <c r="F98" s="56">
        <v>0.78</v>
      </c>
      <c r="G98" s="56">
        <v>4.8</v>
      </c>
      <c r="H98" s="58" t="s">
        <v>38</v>
      </c>
      <c r="I98" s="122"/>
      <c r="J98" s="122"/>
      <c r="K98" s="122"/>
      <c r="L98" s="122"/>
      <c r="M98" s="122"/>
      <c r="N98" s="122"/>
      <c r="O98" s="122"/>
      <c r="P98" s="122"/>
      <c r="Q98" s="59">
        <v>80680050313</v>
      </c>
      <c r="R98" s="59">
        <v>80680050287</v>
      </c>
    </row>
    <row r="99" spans="1:25" x14ac:dyDescent="0.25">
      <c r="A99" s="62"/>
      <c r="B99" s="63"/>
      <c r="C99" s="65" t="s">
        <v>4</v>
      </c>
      <c r="D99" s="121">
        <v>0.78</v>
      </c>
      <c r="E99" s="56">
        <v>1.01</v>
      </c>
      <c r="F99" s="56">
        <v>0.23</v>
      </c>
      <c r="G99" s="56">
        <v>4.5</v>
      </c>
      <c r="H99" s="58" t="s">
        <v>38</v>
      </c>
      <c r="I99" s="122"/>
      <c r="J99" s="122"/>
      <c r="K99" s="122"/>
      <c r="L99" s="122"/>
      <c r="M99" s="122"/>
      <c r="N99" s="122"/>
      <c r="O99" s="122"/>
      <c r="P99" s="122"/>
      <c r="Q99" s="59">
        <v>80680050313</v>
      </c>
      <c r="R99" s="59">
        <v>80680050313</v>
      </c>
    </row>
    <row r="100" spans="1:25" ht="23.25" x14ac:dyDescent="0.25">
      <c r="A100" s="103">
        <v>5</v>
      </c>
      <c r="B100" s="130" t="s">
        <v>86</v>
      </c>
      <c r="C100" s="131" t="s">
        <v>4</v>
      </c>
      <c r="D100" s="56">
        <v>0</v>
      </c>
      <c r="E100" s="56">
        <v>0.96</v>
      </c>
      <c r="F100" s="56">
        <v>0.96</v>
      </c>
      <c r="G100" s="56">
        <v>3.5</v>
      </c>
      <c r="H100" s="58" t="s">
        <v>38</v>
      </c>
      <c r="I100" s="122"/>
      <c r="J100" s="122"/>
      <c r="K100" s="122"/>
      <c r="L100" s="122"/>
      <c r="M100" s="122"/>
      <c r="N100" s="122"/>
      <c r="O100" s="122"/>
      <c r="P100" s="122"/>
      <c r="Q100" s="59">
        <v>80680090402</v>
      </c>
      <c r="R100" s="59">
        <v>80680090402</v>
      </c>
    </row>
    <row r="101" spans="1:25" ht="23.25" x14ac:dyDescent="0.25">
      <c r="A101" s="53">
        <v>6</v>
      </c>
      <c r="B101" s="54" t="s">
        <v>87</v>
      </c>
      <c r="C101" s="65" t="s">
        <v>3</v>
      </c>
      <c r="D101" s="121">
        <v>0</v>
      </c>
      <c r="E101" s="56">
        <v>0.54</v>
      </c>
      <c r="F101" s="56">
        <v>0.54</v>
      </c>
      <c r="G101" s="56">
        <v>4</v>
      </c>
      <c r="H101" s="58" t="s">
        <v>40</v>
      </c>
      <c r="I101" s="132"/>
      <c r="J101" s="132"/>
      <c r="K101" s="132"/>
      <c r="L101" s="132"/>
      <c r="M101" s="132"/>
      <c r="N101" s="132"/>
      <c r="O101" s="132"/>
      <c r="P101" s="132"/>
      <c r="Q101" s="59">
        <v>80680100119</v>
      </c>
      <c r="R101" s="59">
        <v>80680100119</v>
      </c>
    </row>
    <row r="102" spans="1:25" ht="15" customHeight="1" x14ac:dyDescent="0.25">
      <c r="A102" s="133"/>
      <c r="B102" s="104"/>
      <c r="C102" s="65" t="s">
        <v>3</v>
      </c>
      <c r="D102" s="121">
        <v>0.54</v>
      </c>
      <c r="E102" s="56">
        <v>2.14</v>
      </c>
      <c r="F102" s="56">
        <v>1.6</v>
      </c>
      <c r="G102" s="56">
        <v>4</v>
      </c>
      <c r="H102" s="58" t="s">
        <v>38</v>
      </c>
      <c r="I102" s="134"/>
      <c r="J102" s="134"/>
      <c r="K102" s="135"/>
      <c r="L102" s="134"/>
      <c r="M102" s="134"/>
      <c r="N102" s="134"/>
      <c r="O102" s="134"/>
      <c r="P102" s="134"/>
      <c r="Q102" s="59">
        <v>80680100119</v>
      </c>
      <c r="R102" s="59">
        <v>80680100119</v>
      </c>
    </row>
    <row r="103" spans="1:25" ht="22.5" x14ac:dyDescent="0.25">
      <c r="A103" s="136"/>
      <c r="B103" s="63"/>
      <c r="C103" s="65" t="s">
        <v>3</v>
      </c>
      <c r="D103" s="121">
        <v>2.14</v>
      </c>
      <c r="E103" s="56">
        <v>4.3499999999999996</v>
      </c>
      <c r="F103" s="56">
        <v>2.21</v>
      </c>
      <c r="G103" s="56">
        <v>4</v>
      </c>
      <c r="H103" s="58" t="s">
        <v>38</v>
      </c>
      <c r="I103" s="134" t="s">
        <v>88</v>
      </c>
      <c r="J103" s="134">
        <v>4.3620000000000001</v>
      </c>
      <c r="K103" s="137" t="s">
        <v>89</v>
      </c>
      <c r="L103" s="134">
        <v>23.4</v>
      </c>
      <c r="M103" s="134">
        <v>77</v>
      </c>
      <c r="N103" s="134"/>
      <c r="O103" s="134" t="s">
        <v>90</v>
      </c>
      <c r="P103" s="134"/>
      <c r="Q103" s="59">
        <v>80680100119</v>
      </c>
      <c r="R103" s="59">
        <v>80680110110</v>
      </c>
    </row>
    <row r="104" spans="1:25" ht="23.25" x14ac:dyDescent="0.25">
      <c r="C104" s="138"/>
      <c r="K104" s="80" t="s">
        <v>50</v>
      </c>
      <c r="L104" s="76">
        <f>SUM(L91:L103)</f>
        <v>23.4</v>
      </c>
      <c r="M104" s="76">
        <f>SUM(M91:M103)</f>
        <v>77</v>
      </c>
      <c r="O104" s="80" t="s">
        <v>48</v>
      </c>
      <c r="P104" s="76">
        <f>SUM(P91:P103)</f>
        <v>0</v>
      </c>
      <c r="S104" s="70"/>
      <c r="T104" s="71" t="s">
        <v>43</v>
      </c>
      <c r="U104" s="71" t="s">
        <v>44</v>
      </c>
      <c r="V104" s="71" t="s">
        <v>45</v>
      </c>
      <c r="W104" s="71" t="s">
        <v>46</v>
      </c>
      <c r="X104" s="71" t="s">
        <v>47</v>
      </c>
      <c r="Y104" s="72" t="s">
        <v>48</v>
      </c>
    </row>
    <row r="105" spans="1:25" s="61" customFormat="1" ht="11.25" x14ac:dyDescent="0.2">
      <c r="A105" s="73" t="s">
        <v>91</v>
      </c>
      <c r="B105" s="74"/>
      <c r="C105" s="74"/>
      <c r="D105" s="75"/>
      <c r="E105" s="75"/>
      <c r="F105" s="76">
        <f>SUM(F91:F103)</f>
        <v>13.099999999999998</v>
      </c>
      <c r="G105" s="77"/>
      <c r="H105" s="78"/>
      <c r="I105" s="27"/>
      <c r="J105" s="79"/>
      <c r="N105" s="82"/>
      <c r="Q105" s="82"/>
      <c r="S105" s="83" t="s">
        <v>32</v>
      </c>
      <c r="T105" s="71" t="s">
        <v>35</v>
      </c>
      <c r="U105" s="71" t="s">
        <v>35</v>
      </c>
      <c r="V105" s="71" t="s">
        <v>35</v>
      </c>
      <c r="W105" s="71" t="s">
        <v>35</v>
      </c>
      <c r="X105" s="71" t="s">
        <v>35</v>
      </c>
      <c r="Y105" s="72" t="s">
        <v>35</v>
      </c>
    </row>
    <row r="106" spans="1:25" s="61" customFormat="1" ht="11.25" x14ac:dyDescent="0.2">
      <c r="A106" s="84" t="s">
        <v>51</v>
      </c>
      <c r="B106" s="85"/>
      <c r="C106" s="85"/>
      <c r="D106" s="86"/>
      <c r="E106" s="86"/>
      <c r="F106" s="87">
        <f>F101+F96+F95+F94+F93+F91</f>
        <v>5.94</v>
      </c>
      <c r="G106" s="88"/>
      <c r="H106" s="89"/>
      <c r="I106" s="90"/>
      <c r="J106" s="82"/>
      <c r="K106" s="82"/>
      <c r="L106" s="91"/>
      <c r="M106" s="91"/>
      <c r="N106" s="82"/>
      <c r="O106" s="82"/>
      <c r="P106" s="82"/>
      <c r="Q106" s="82"/>
      <c r="S106" s="92" t="s">
        <v>1</v>
      </c>
      <c r="T106" s="93">
        <f>SUMIFS(F91:F103,C91:C103,"A",H91:H103,"melnais")</f>
        <v>0</v>
      </c>
      <c r="U106" s="93">
        <f>SUMIFS(F91:F103,C91:C103,"A",H91:H103,"dubultā virsma")</f>
        <v>0</v>
      </c>
      <c r="V106" s="93">
        <f>SUMIFS(F91:F103,C91:C103,"A",H91:H103,"bruģis")</f>
        <v>0</v>
      </c>
      <c r="W106" s="93">
        <f>SUMIFS(F91:F103,C91:C103,"A",H91:H103,"grants")</f>
        <v>0</v>
      </c>
      <c r="X106" s="93">
        <f>SUMIFS(F91:F103,C91:C103,"A",H91:H103,"cits segums")</f>
        <v>0</v>
      </c>
      <c r="Y106" s="93">
        <f>SUMIFS(F91:F103,C91:C103,"A")</f>
        <v>0</v>
      </c>
    </row>
    <row r="107" spans="1:25" s="61" customFormat="1" ht="11.25" x14ac:dyDescent="0.2">
      <c r="A107" s="84" t="s">
        <v>52</v>
      </c>
      <c r="B107" s="85"/>
      <c r="C107" s="85"/>
      <c r="D107" s="86"/>
      <c r="E107" s="86"/>
      <c r="F107" s="87">
        <v>0</v>
      </c>
      <c r="G107" s="88"/>
      <c r="H107" s="27"/>
      <c r="I107" s="27"/>
      <c r="J107" s="82"/>
      <c r="K107" s="94"/>
      <c r="L107" s="94"/>
      <c r="M107" s="94"/>
      <c r="N107" s="82"/>
      <c r="O107" s="82"/>
      <c r="P107" s="82"/>
      <c r="Q107" s="82"/>
      <c r="S107" s="95" t="s">
        <v>2</v>
      </c>
      <c r="T107" s="93">
        <f>SUMIFS(F91:F103,C91:C103,"B",H91:H103,"melnais")</f>
        <v>0</v>
      </c>
      <c r="U107" s="93">
        <f>SUMIFS(F91:F103,C91:C103,"B",H91:H103,"dubultā virsma")</f>
        <v>0</v>
      </c>
      <c r="V107" s="93">
        <f>SUMIFS(F91:F103,C91:C103,"B",H91:H103,"bruģis")</f>
        <v>0</v>
      </c>
      <c r="W107" s="93">
        <f>SUMIFS(F91:F103,C91:C103,"B",H91:H103,"grants")</f>
        <v>0</v>
      </c>
      <c r="X107" s="93">
        <f>SUMIFS(F91:F103,C91:C103,"B",H91:H103,"cits segums")</f>
        <v>0</v>
      </c>
      <c r="Y107" s="93">
        <f>SUMIFS(F91:F103,C91:C103,"B")</f>
        <v>0</v>
      </c>
    </row>
    <row r="108" spans="1:25" s="61" customFormat="1" ht="11.25" x14ac:dyDescent="0.2">
      <c r="A108" s="84" t="s">
        <v>53</v>
      </c>
      <c r="B108" s="85"/>
      <c r="C108" s="85"/>
      <c r="D108" s="86"/>
      <c r="E108" s="86"/>
      <c r="F108" s="87">
        <f>F105-F106-F109-F107</f>
        <v>7.1599999999999975</v>
      </c>
      <c r="G108" s="88"/>
      <c r="H108" s="27"/>
      <c r="I108" s="27"/>
      <c r="J108" s="82"/>
      <c r="K108" s="94"/>
      <c r="L108" s="94"/>
      <c r="M108" s="94"/>
      <c r="N108" s="82"/>
      <c r="O108" s="82"/>
      <c r="P108" s="82"/>
      <c r="Q108" s="82"/>
      <c r="S108" s="96" t="s">
        <v>3</v>
      </c>
      <c r="T108" s="93">
        <f>SUMIFS(F91:F103,C91:C103,"C",H91:H103,"melnais")</f>
        <v>5.94</v>
      </c>
      <c r="U108" s="93">
        <f>SUMIFS(F91:F103,C91:C103,"C",H91:H103,"dubultā virsma")</f>
        <v>0</v>
      </c>
      <c r="V108" s="93">
        <f>SUMIFS(F91:F103,C91:C103,"C",H91:H103,"bruģis")</f>
        <v>0</v>
      </c>
      <c r="W108" s="93">
        <f>SUMIFS(F91:F103,C91:C103,"C",H91:H103,"grants")</f>
        <v>4.3100000000000005</v>
      </c>
      <c r="X108" s="93">
        <f>SUMIFS(F91:F103,C91:C103,"C",H91:H103,"cits segums")</f>
        <v>0</v>
      </c>
      <c r="Y108" s="93">
        <f>SUMIFS(F91:F103,C91:C103,"C")</f>
        <v>10.25</v>
      </c>
    </row>
    <row r="109" spans="1:25" s="61" customFormat="1" ht="11.25" x14ac:dyDescent="0.2">
      <c r="A109" s="84" t="s">
        <v>54</v>
      </c>
      <c r="B109" s="85"/>
      <c r="C109" s="85"/>
      <c r="D109" s="86"/>
      <c r="E109" s="86"/>
      <c r="F109" s="87">
        <v>0</v>
      </c>
      <c r="G109" s="88"/>
      <c r="H109" s="90"/>
      <c r="I109" s="27"/>
      <c r="J109" s="97"/>
      <c r="K109" s="94"/>
      <c r="L109" s="94"/>
      <c r="M109" s="94"/>
      <c r="N109" s="82"/>
      <c r="O109" s="82"/>
      <c r="P109" s="82"/>
      <c r="Q109" s="82"/>
      <c r="S109" s="92" t="s">
        <v>4</v>
      </c>
      <c r="T109" s="93">
        <f>SUMIFS(F91:F103,C91:C103,"D",H91:H103,"melnais")</f>
        <v>0</v>
      </c>
      <c r="U109" s="93">
        <f>SUMIFS(F91:F103,C91:C103,"D",H91:H103,"dubultā virsma")</f>
        <v>0</v>
      </c>
      <c r="V109" s="93">
        <f>SUMIFS(F91:F103,C91:C103,"D",H91:H103,"bruģis")</f>
        <v>0</v>
      </c>
      <c r="W109" s="93">
        <f>SUMIFS(F91:F103,C91:C103,"D",H91:H103,"grants")</f>
        <v>2.85</v>
      </c>
      <c r="X109" s="93">
        <f>SUMIFS(F91:F103,C91:C103,"D",H91:H103,"cits segums")</f>
        <v>0</v>
      </c>
      <c r="Y109" s="93">
        <f>SUMIFS(F91:F103,C91:C103,"D")</f>
        <v>2.85</v>
      </c>
    </row>
    <row r="110" spans="1:25" x14ac:dyDescent="0.25">
      <c r="C110" s="138"/>
      <c r="T110" s="98">
        <f>SUM(T106:T109)</f>
        <v>5.94</v>
      </c>
      <c r="U110" s="98">
        <f t="shared" ref="U110:Y110" si="15">SUM(U106:U109)</f>
        <v>0</v>
      </c>
      <c r="V110" s="98">
        <f t="shared" si="15"/>
        <v>0</v>
      </c>
      <c r="W110" s="98">
        <f t="shared" si="15"/>
        <v>7.16</v>
      </c>
      <c r="X110" s="98">
        <f t="shared" si="15"/>
        <v>0</v>
      </c>
      <c r="Y110" s="98">
        <f t="shared" si="15"/>
        <v>13.1</v>
      </c>
    </row>
    <row r="111" spans="1:25" s="5" customFormat="1" ht="15" customHeight="1" x14ac:dyDescent="0.25">
      <c r="A111" s="1"/>
      <c r="B111" s="1"/>
      <c r="C111" s="1"/>
      <c r="D111" s="19" t="s">
        <v>92</v>
      </c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3"/>
      <c r="R111" s="14"/>
    </row>
    <row r="112" spans="1:25" s="5" customFormat="1" ht="11.25" x14ac:dyDescent="0.25">
      <c r="A112" s="1"/>
      <c r="B112" s="1"/>
      <c r="C112" s="1"/>
      <c r="D112" s="25"/>
      <c r="E112" s="25"/>
      <c r="F112" s="25"/>
      <c r="G112" s="25"/>
      <c r="H112" s="3"/>
      <c r="I112" s="1"/>
      <c r="J112" s="1"/>
      <c r="K112" s="1"/>
      <c r="L112" s="1"/>
      <c r="M112" s="1"/>
      <c r="N112" s="26"/>
      <c r="O112" s="26"/>
      <c r="P112" s="1"/>
      <c r="Q112" s="1"/>
      <c r="R112" s="14"/>
    </row>
    <row r="113" spans="1:25" s="27" customFormat="1" ht="5.25" customHeight="1" x14ac:dyDescent="0.2">
      <c r="C113" s="26"/>
    </row>
    <row r="114" spans="1:25" s="27" customFormat="1" ht="12.75" customHeight="1" x14ac:dyDescent="0.2">
      <c r="A114" s="28" t="s">
        <v>13</v>
      </c>
      <c r="B114" s="111" t="s">
        <v>14</v>
      </c>
      <c r="C114" s="112"/>
      <c r="D114" s="33" t="s">
        <v>15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28" t="s">
        <v>16</v>
      </c>
      <c r="R114" s="28"/>
    </row>
    <row r="115" spans="1:25" s="27" customFormat="1" ht="12.75" customHeight="1" x14ac:dyDescent="0.2">
      <c r="A115" s="28"/>
      <c r="B115" s="111"/>
      <c r="C115" s="37"/>
      <c r="D115" s="33" t="s">
        <v>17</v>
      </c>
      <c r="E115" s="38"/>
      <c r="F115" s="38"/>
      <c r="G115" s="38"/>
      <c r="H115" s="38"/>
      <c r="I115" s="39" t="s">
        <v>18</v>
      </c>
      <c r="J115" s="39"/>
      <c r="K115" s="39"/>
      <c r="L115" s="39"/>
      <c r="M115" s="39"/>
      <c r="N115" s="39"/>
      <c r="O115" s="39"/>
      <c r="P115" s="43" t="s">
        <v>19</v>
      </c>
      <c r="Q115" s="28"/>
      <c r="R115" s="28"/>
    </row>
    <row r="116" spans="1:25" s="27" customFormat="1" ht="15.2" customHeight="1" x14ac:dyDescent="0.2">
      <c r="A116" s="28"/>
      <c r="B116" s="111"/>
      <c r="C116" s="37"/>
      <c r="D116" s="33" t="s">
        <v>20</v>
      </c>
      <c r="E116" s="38"/>
      <c r="F116" s="28" t="s">
        <v>21</v>
      </c>
      <c r="G116" s="28" t="s">
        <v>22</v>
      </c>
      <c r="H116" s="28" t="s">
        <v>23</v>
      </c>
      <c r="I116" s="39" t="s">
        <v>24</v>
      </c>
      <c r="J116" s="39" t="s">
        <v>25</v>
      </c>
      <c r="K116" s="39"/>
      <c r="L116" s="43" t="s">
        <v>26</v>
      </c>
      <c r="M116" s="43" t="s">
        <v>27</v>
      </c>
      <c r="N116" s="43" t="s">
        <v>28</v>
      </c>
      <c r="O116" s="43" t="s">
        <v>29</v>
      </c>
      <c r="P116" s="43"/>
      <c r="Q116" s="43" t="s">
        <v>30</v>
      </c>
      <c r="R116" s="28" t="s">
        <v>31</v>
      </c>
    </row>
    <row r="117" spans="1:25" s="27" customFormat="1" ht="33.75" customHeight="1" x14ac:dyDescent="0.2">
      <c r="A117" s="28"/>
      <c r="B117" s="111"/>
      <c r="C117" s="46" t="s">
        <v>32</v>
      </c>
      <c r="D117" s="113" t="s">
        <v>33</v>
      </c>
      <c r="E117" s="47" t="s">
        <v>34</v>
      </c>
      <c r="F117" s="28"/>
      <c r="G117" s="28"/>
      <c r="H117" s="28"/>
      <c r="I117" s="39"/>
      <c r="J117" s="48" t="s">
        <v>35</v>
      </c>
      <c r="K117" s="48" t="s">
        <v>36</v>
      </c>
      <c r="L117" s="43"/>
      <c r="M117" s="43"/>
      <c r="N117" s="43"/>
      <c r="O117" s="43"/>
      <c r="P117" s="43"/>
      <c r="Q117" s="43"/>
      <c r="R117" s="28"/>
    </row>
    <row r="118" spans="1:25" s="52" customFormat="1" ht="12" customHeight="1" x14ac:dyDescent="0.25">
      <c r="A118" s="99">
        <v>1</v>
      </c>
      <c r="B118" s="99">
        <v>2</v>
      </c>
      <c r="C118" s="118"/>
      <c r="D118" s="50">
        <v>3</v>
      </c>
      <c r="E118" s="50">
        <v>4</v>
      </c>
      <c r="F118" s="50">
        <v>5</v>
      </c>
      <c r="G118" s="50">
        <v>5.0999999999999996</v>
      </c>
      <c r="H118" s="50">
        <v>6</v>
      </c>
      <c r="I118" s="51">
        <v>7</v>
      </c>
      <c r="J118" s="51">
        <v>8</v>
      </c>
      <c r="K118" s="51">
        <v>9</v>
      </c>
      <c r="L118" s="51">
        <v>10</v>
      </c>
      <c r="M118" s="51">
        <v>11</v>
      </c>
      <c r="N118" s="51">
        <v>12</v>
      </c>
      <c r="O118" s="51">
        <v>13</v>
      </c>
      <c r="P118" s="51">
        <v>14</v>
      </c>
      <c r="Q118" s="51">
        <v>15</v>
      </c>
      <c r="R118" s="50">
        <v>16</v>
      </c>
    </row>
    <row r="119" spans="1:25" x14ac:dyDescent="0.25">
      <c r="A119" s="53">
        <v>1</v>
      </c>
      <c r="B119" s="139" t="s">
        <v>93</v>
      </c>
      <c r="C119" s="140" t="s">
        <v>4</v>
      </c>
      <c r="D119" s="141">
        <v>0</v>
      </c>
      <c r="E119" s="142">
        <v>0.02</v>
      </c>
      <c r="F119" s="142">
        <v>0.02</v>
      </c>
      <c r="G119" s="142">
        <v>4.5</v>
      </c>
      <c r="H119" s="143" t="s">
        <v>40</v>
      </c>
      <c r="I119" s="143"/>
      <c r="J119" s="143"/>
      <c r="K119" s="143"/>
      <c r="L119" s="143"/>
      <c r="M119" s="143"/>
      <c r="N119" s="143"/>
      <c r="O119" s="143"/>
      <c r="P119" s="143"/>
      <c r="Q119" s="134">
        <v>66560020555</v>
      </c>
      <c r="R119" s="134">
        <v>66560020555</v>
      </c>
    </row>
    <row r="120" spans="1:25" x14ac:dyDescent="0.25">
      <c r="A120" s="103"/>
      <c r="B120" s="144"/>
      <c r="C120" s="140" t="s">
        <v>4</v>
      </c>
      <c r="D120" s="141">
        <v>0.02</v>
      </c>
      <c r="E120" s="142">
        <v>2.4</v>
      </c>
      <c r="F120" s="142">
        <v>2.38</v>
      </c>
      <c r="G120" s="142">
        <v>4</v>
      </c>
      <c r="H120" s="143" t="s">
        <v>38</v>
      </c>
      <c r="I120" s="143"/>
      <c r="J120" s="143"/>
      <c r="K120" s="143"/>
      <c r="L120" s="143"/>
      <c r="M120" s="143"/>
      <c r="N120" s="143"/>
      <c r="O120" s="143"/>
      <c r="P120" s="143"/>
      <c r="Q120" s="134">
        <v>66560020555</v>
      </c>
      <c r="R120" s="134">
        <v>66560020555</v>
      </c>
    </row>
    <row r="121" spans="1:25" ht="22.5" x14ac:dyDescent="0.25">
      <c r="A121" s="53">
        <v>2</v>
      </c>
      <c r="B121" s="139" t="s">
        <v>94</v>
      </c>
      <c r="C121" s="140" t="s">
        <v>3</v>
      </c>
      <c r="D121" s="141">
        <v>0</v>
      </c>
      <c r="E121" s="142">
        <v>1.34</v>
      </c>
      <c r="F121" s="142">
        <v>1.32</v>
      </c>
      <c r="G121" s="142">
        <v>5</v>
      </c>
      <c r="H121" s="143" t="s">
        <v>38</v>
      </c>
      <c r="I121" s="134" t="s">
        <v>95</v>
      </c>
      <c r="J121" s="145">
        <v>0.8</v>
      </c>
      <c r="K121" s="135" t="s">
        <v>96</v>
      </c>
      <c r="L121" s="134">
        <v>18</v>
      </c>
      <c r="M121" s="134">
        <v>124</v>
      </c>
      <c r="N121" s="134"/>
      <c r="O121" s="134" t="s">
        <v>90</v>
      </c>
      <c r="P121" s="134"/>
      <c r="Q121" s="134">
        <v>66560030066</v>
      </c>
      <c r="R121" s="134">
        <v>66560030066</v>
      </c>
    </row>
    <row r="122" spans="1:25" x14ac:dyDescent="0.25">
      <c r="A122" s="62"/>
      <c r="B122" s="146"/>
      <c r="C122" s="140" t="s">
        <v>3</v>
      </c>
      <c r="D122" s="141">
        <v>1.34</v>
      </c>
      <c r="E122" s="142">
        <v>2.0100000000000002</v>
      </c>
      <c r="F122" s="142">
        <v>0.67</v>
      </c>
      <c r="G122" s="142">
        <v>4.5</v>
      </c>
      <c r="H122" s="143" t="s">
        <v>38</v>
      </c>
      <c r="I122" s="134"/>
      <c r="J122" s="134"/>
      <c r="K122" s="135"/>
      <c r="L122" s="134"/>
      <c r="M122" s="134"/>
      <c r="N122" s="134"/>
      <c r="O122" s="134"/>
      <c r="P122" s="134"/>
      <c r="Q122" s="134">
        <v>66560030066</v>
      </c>
      <c r="R122" s="134">
        <v>66560040069</v>
      </c>
    </row>
    <row r="123" spans="1:25" x14ac:dyDescent="0.25">
      <c r="A123" s="62">
        <v>3</v>
      </c>
      <c r="B123" s="147" t="s">
        <v>97</v>
      </c>
      <c r="C123" s="148" t="s">
        <v>4</v>
      </c>
      <c r="D123" s="142">
        <v>0</v>
      </c>
      <c r="E123" s="142">
        <v>2.14</v>
      </c>
      <c r="F123" s="142">
        <v>2.14</v>
      </c>
      <c r="G123" s="142">
        <v>4</v>
      </c>
      <c r="H123" s="143" t="s">
        <v>38</v>
      </c>
      <c r="I123" s="134"/>
      <c r="J123" s="134"/>
      <c r="K123" s="134"/>
      <c r="L123" s="134"/>
      <c r="M123" s="134"/>
      <c r="N123" s="134"/>
      <c r="O123" s="134"/>
      <c r="P123" s="134"/>
      <c r="Q123" s="134">
        <v>66560060183</v>
      </c>
      <c r="R123" s="134">
        <v>66560060183</v>
      </c>
    </row>
    <row r="124" spans="1:25" ht="23.25" x14ac:dyDescent="0.25">
      <c r="K124" s="80" t="s">
        <v>50</v>
      </c>
      <c r="L124" s="76">
        <f>SUM(L119:L123)</f>
        <v>18</v>
      </c>
      <c r="M124" s="76">
        <f>SUM(M119:M123)</f>
        <v>124</v>
      </c>
      <c r="O124" s="80" t="s">
        <v>48</v>
      </c>
      <c r="P124" s="76">
        <f>SUM(P119:P123)</f>
        <v>0</v>
      </c>
      <c r="S124" s="70"/>
      <c r="T124" s="71" t="s">
        <v>43</v>
      </c>
      <c r="U124" s="71" t="s">
        <v>44</v>
      </c>
      <c r="V124" s="71" t="s">
        <v>45</v>
      </c>
      <c r="W124" s="71" t="s">
        <v>46</v>
      </c>
      <c r="X124" s="71" t="s">
        <v>47</v>
      </c>
      <c r="Y124" s="72" t="s">
        <v>48</v>
      </c>
    </row>
    <row r="125" spans="1:25" s="61" customFormat="1" ht="11.25" x14ac:dyDescent="0.2">
      <c r="A125" s="73" t="s">
        <v>98</v>
      </c>
      <c r="B125" s="74"/>
      <c r="C125" s="74"/>
      <c r="D125" s="75"/>
      <c r="E125" s="75"/>
      <c r="F125" s="76">
        <f>SUM(F119:F123)</f>
        <v>6.5299999999999994</v>
      </c>
      <c r="G125" s="77"/>
      <c r="H125" s="78"/>
      <c r="I125" s="27"/>
      <c r="J125" s="79"/>
      <c r="N125" s="82"/>
      <c r="Q125" s="82"/>
      <c r="S125" s="83" t="s">
        <v>32</v>
      </c>
      <c r="T125" s="71" t="s">
        <v>35</v>
      </c>
      <c r="U125" s="71" t="s">
        <v>35</v>
      </c>
      <c r="V125" s="71" t="s">
        <v>35</v>
      </c>
      <c r="W125" s="71" t="s">
        <v>35</v>
      </c>
      <c r="X125" s="71" t="s">
        <v>35</v>
      </c>
      <c r="Y125" s="72" t="s">
        <v>35</v>
      </c>
    </row>
    <row r="126" spans="1:25" s="61" customFormat="1" ht="11.25" x14ac:dyDescent="0.2">
      <c r="A126" s="84" t="s">
        <v>51</v>
      </c>
      <c r="B126" s="85"/>
      <c r="C126" s="85"/>
      <c r="D126" s="86"/>
      <c r="E126" s="86"/>
      <c r="F126" s="87">
        <f>F119</f>
        <v>0.02</v>
      </c>
      <c r="G126" s="88"/>
      <c r="H126" s="89"/>
      <c r="I126" s="90"/>
      <c r="J126" s="82"/>
      <c r="K126" s="82"/>
      <c r="L126" s="91"/>
      <c r="M126" s="91"/>
      <c r="N126" s="82"/>
      <c r="O126" s="82"/>
      <c r="P126" s="82"/>
      <c r="Q126" s="82"/>
      <c r="S126" s="92" t="s">
        <v>1</v>
      </c>
      <c r="T126" s="93">
        <f>SUMIFS(F119:F123,C119:C123,"A",H119:H123,"melnais")</f>
        <v>0</v>
      </c>
      <c r="U126" s="93">
        <f>SUMIFS(F119:F123,C119:C123,"A",H119:H123,"dubultā virsma")</f>
        <v>0</v>
      </c>
      <c r="V126" s="93">
        <f>SUMIFS(F119:F123,C119:C123,"A",H119:H123,"bruģis")</f>
        <v>0</v>
      </c>
      <c r="W126" s="93">
        <f>SUMIFS(F119:F123,C119:C123,"A",H119:H123,"grants")</f>
        <v>0</v>
      </c>
      <c r="X126" s="93">
        <f>SUMIFS(F119:F123,C119:C123,"A",H119:H123,"cits segums")</f>
        <v>0</v>
      </c>
      <c r="Y126" s="93">
        <f>SUMIFS(F119:F123,C119:C123,"A")</f>
        <v>0</v>
      </c>
    </row>
    <row r="127" spans="1:25" s="61" customFormat="1" ht="11.25" x14ac:dyDescent="0.2">
      <c r="A127" s="84" t="s">
        <v>52</v>
      </c>
      <c r="B127" s="85"/>
      <c r="C127" s="85"/>
      <c r="D127" s="86"/>
      <c r="E127" s="86"/>
      <c r="F127" s="87">
        <v>0</v>
      </c>
      <c r="G127" s="88"/>
      <c r="H127" s="27"/>
      <c r="I127" s="27"/>
      <c r="J127" s="82"/>
      <c r="K127" s="80" t="s">
        <v>50</v>
      </c>
      <c r="L127" s="76">
        <f>L124+L104+L76+L53+L35+L15</f>
        <v>61.4</v>
      </c>
      <c r="M127" s="76">
        <f>M124+M104+M76+M53+M35+M15</f>
        <v>363</v>
      </c>
      <c r="N127" s="82"/>
      <c r="O127" s="80" t="s">
        <v>48</v>
      </c>
      <c r="P127" s="76">
        <f>P124+P104+P76+P53+P35+P15</f>
        <v>0</v>
      </c>
      <c r="Q127" s="82"/>
      <c r="S127" s="95" t="s">
        <v>2</v>
      </c>
      <c r="T127" s="93">
        <f>SUMIFS(F119:F123,C119:C123,"B",H119:H123,"melnais")</f>
        <v>0</v>
      </c>
      <c r="U127" s="93">
        <f>SUMIFS(F119:F123,C119:C123,"B",H119:H123,"dubultā virsma")</f>
        <v>0</v>
      </c>
      <c r="V127" s="93">
        <f>SUMIFS(F119:F123,C119:C123,"B",H119:H123,"bruģis")</f>
        <v>0</v>
      </c>
      <c r="W127" s="93">
        <f>SUMIFS(F119:F123,C119:C123,"B",H119:H123,"grants")</f>
        <v>0</v>
      </c>
      <c r="X127" s="93">
        <f>SUMIFS(F119:F123,C119:C123,"B",H119:H123,"cits segums")</f>
        <v>0</v>
      </c>
      <c r="Y127" s="93">
        <f>SUMIFS(F119:F123,C119:C123,"B")</f>
        <v>0</v>
      </c>
    </row>
    <row r="128" spans="1:25" s="61" customFormat="1" ht="11.25" x14ac:dyDescent="0.2">
      <c r="A128" s="84" t="s">
        <v>53</v>
      </c>
      <c r="B128" s="85"/>
      <c r="C128" s="85"/>
      <c r="D128" s="86"/>
      <c r="E128" s="86"/>
      <c r="F128" s="87">
        <f>F123+F122+F121+F120</f>
        <v>6.51</v>
      </c>
      <c r="G128" s="88"/>
      <c r="H128" s="27"/>
      <c r="I128" s="27"/>
      <c r="J128" s="82"/>
      <c r="K128" s="94"/>
      <c r="L128" s="94"/>
      <c r="M128" s="94"/>
      <c r="N128" s="82"/>
      <c r="O128" s="82"/>
      <c r="P128" s="82"/>
      <c r="Q128" s="82"/>
      <c r="S128" s="96" t="s">
        <v>3</v>
      </c>
      <c r="T128" s="93">
        <f>SUMIFS(F119:F123,C119:C123,"C",H119:H123,"melnais")</f>
        <v>0</v>
      </c>
      <c r="U128" s="93">
        <f>SUMIFS(F119:F123,C119:C123,"C",H119:H123,"dubultā virsma")</f>
        <v>0</v>
      </c>
      <c r="V128" s="93">
        <f>SUMIFS(F119:F123,C119:C123,"C",H119:H123,"bruģis")</f>
        <v>0</v>
      </c>
      <c r="W128" s="93">
        <f>SUMIFS(F119:F123,C119:C123,"C",H119:H123,"grants")</f>
        <v>1.9900000000000002</v>
      </c>
      <c r="X128" s="93">
        <f>SUMIFS(F119:F123,C119:C123,"C",H119:H123,"cits segums")</f>
        <v>0</v>
      </c>
      <c r="Y128" s="93">
        <f>SUMIFS(F119:F123,C119:C123,"C")</f>
        <v>1.9900000000000002</v>
      </c>
    </row>
    <row r="129" spans="1:25" s="61" customFormat="1" ht="11.25" x14ac:dyDescent="0.2">
      <c r="A129" s="84" t="s">
        <v>54</v>
      </c>
      <c r="B129" s="85"/>
      <c r="C129" s="85"/>
      <c r="D129" s="86"/>
      <c r="E129" s="86"/>
      <c r="F129" s="87">
        <v>0</v>
      </c>
      <c r="G129" s="88"/>
      <c r="H129" s="90"/>
      <c r="I129" s="27"/>
      <c r="J129" s="97"/>
      <c r="K129" s="94"/>
      <c r="L129" s="94"/>
      <c r="M129" s="94"/>
      <c r="N129" s="82"/>
      <c r="O129" s="82"/>
      <c r="P129" s="82"/>
      <c r="Q129" s="82"/>
      <c r="S129" s="92" t="s">
        <v>4</v>
      </c>
      <c r="T129" s="93">
        <f>SUMIFS(F119:F123,C119:C123,"D",H119:H123,"melnais")</f>
        <v>0.02</v>
      </c>
      <c r="U129" s="93">
        <f>SUMIFS(F119:F123,C119:C123,"D",H119:H123,"dubultā virsma")</f>
        <v>0</v>
      </c>
      <c r="V129" s="93">
        <f>SUMIFS(F119:F123,C119:C123,"D",H119:H123,"bruģis")</f>
        <v>0</v>
      </c>
      <c r="W129" s="93">
        <f>SUMIFS(F119:F123,C119:C123,"D",H119:H123,"grants")</f>
        <v>4.5199999999999996</v>
      </c>
      <c r="X129" s="93">
        <f>SUMIFS(F119:F123,C119:C123,"D",H119:H123,"cits segums")</f>
        <v>0</v>
      </c>
      <c r="Y129" s="93">
        <f>SUMIFS(F119:F123,C119:C123,"D")</f>
        <v>4.54</v>
      </c>
    </row>
    <row r="130" spans="1:25" x14ac:dyDescent="0.25">
      <c r="T130" s="98">
        <f>SUM(T126:T129)</f>
        <v>0.02</v>
      </c>
      <c r="U130" s="98">
        <f t="shared" ref="U130:Y130" si="16">SUM(U126:U129)</f>
        <v>0</v>
      </c>
      <c r="V130" s="98">
        <f t="shared" si="16"/>
        <v>0</v>
      </c>
      <c r="W130" s="98">
        <f t="shared" si="16"/>
        <v>6.51</v>
      </c>
      <c r="X130" s="98">
        <f t="shared" si="16"/>
        <v>0</v>
      </c>
      <c r="Y130" s="98">
        <f t="shared" si="16"/>
        <v>6.53</v>
      </c>
    </row>
    <row r="131" spans="1:25" x14ac:dyDescent="0.25">
      <c r="A131" s="73" t="s">
        <v>99</v>
      </c>
      <c r="B131" s="74"/>
      <c r="C131" s="74"/>
      <c r="D131" s="75"/>
      <c r="E131" s="75"/>
      <c r="F131" s="76">
        <f>F125+F105+F77+F54+F36+F16</f>
        <v>47.3</v>
      </c>
      <c r="G131" s="77"/>
      <c r="N131" s="82"/>
    </row>
    <row r="132" spans="1:25" x14ac:dyDescent="0.25">
      <c r="A132" s="84" t="s">
        <v>51</v>
      </c>
      <c r="B132" s="85"/>
      <c r="C132" s="85"/>
      <c r="D132" s="86"/>
      <c r="E132" s="86"/>
      <c r="F132" s="87">
        <f>F126+F106+F78+F55+F37+F17</f>
        <v>8.35</v>
      </c>
      <c r="G132" s="88"/>
    </row>
    <row r="133" spans="1:25" x14ac:dyDescent="0.25">
      <c r="A133" s="84" t="s">
        <v>52</v>
      </c>
      <c r="B133" s="85"/>
      <c r="C133" s="85"/>
      <c r="D133" s="86"/>
      <c r="E133" s="86"/>
      <c r="F133" s="87">
        <f>F127+F107+F79+F56+F38+F18</f>
        <v>0</v>
      </c>
      <c r="G133" s="88"/>
    </row>
    <row r="134" spans="1:25" x14ac:dyDescent="0.25">
      <c r="A134" s="84" t="s">
        <v>53</v>
      </c>
      <c r="B134" s="85"/>
      <c r="C134" s="85"/>
      <c r="D134" s="86"/>
      <c r="E134" s="86"/>
      <c r="F134" s="87">
        <f>F128+F108+F80+F57+F39+F19</f>
        <v>38.949999999999996</v>
      </c>
      <c r="G134" s="88"/>
    </row>
    <row r="135" spans="1:25" x14ac:dyDescent="0.25">
      <c r="A135" s="84" t="s">
        <v>54</v>
      </c>
      <c r="B135" s="85"/>
      <c r="C135" s="85"/>
      <c r="D135" s="86"/>
      <c r="E135" s="86"/>
      <c r="F135" s="87">
        <f>F129+F109+F81+F58+F40+F20</f>
        <v>0</v>
      </c>
      <c r="G135" s="88"/>
    </row>
    <row r="140" spans="1:25" x14ac:dyDescent="0.25">
      <c r="B140" s="14" t="s">
        <v>100</v>
      </c>
      <c r="C140" s="14"/>
      <c r="D140" s="149"/>
      <c r="E140" s="149"/>
      <c r="F140" s="149"/>
      <c r="G140" s="150"/>
      <c r="H140" s="70"/>
      <c r="I140" s="70"/>
      <c r="J140" s="151"/>
      <c r="K140" s="151"/>
      <c r="L140" s="94"/>
      <c r="M140" s="94"/>
      <c r="N140" s="94"/>
      <c r="O140" s="82"/>
    </row>
    <row r="141" spans="1:25" x14ac:dyDescent="0.25">
      <c r="B141" s="14" t="s">
        <v>101</v>
      </c>
      <c r="C141" s="14"/>
      <c r="D141" s="152" t="s">
        <v>102</v>
      </c>
      <c r="E141" s="152"/>
      <c r="F141" s="152"/>
      <c r="G141" s="152"/>
      <c r="H141" s="152"/>
      <c r="I141" s="152"/>
      <c r="J141" s="152"/>
      <c r="K141" s="152"/>
      <c r="L141" s="70"/>
      <c r="M141" s="153"/>
      <c r="N141" s="153"/>
      <c r="O141" s="82"/>
    </row>
    <row r="142" spans="1:25" x14ac:dyDescent="0.25">
      <c r="B142" s="14"/>
      <c r="C142" s="14"/>
      <c r="D142" s="154" t="s">
        <v>103</v>
      </c>
      <c r="E142" s="154"/>
      <c r="F142" s="154"/>
      <c r="G142" s="154"/>
      <c r="H142" s="154"/>
      <c r="I142" s="154"/>
      <c r="J142" s="154"/>
      <c r="K142" s="154"/>
      <c r="L142" s="94"/>
      <c r="M142" s="155" t="s">
        <v>104</v>
      </c>
      <c r="N142" s="155"/>
      <c r="O142" s="82"/>
    </row>
    <row r="143" spans="1:25" x14ac:dyDescent="0.25">
      <c r="B143" s="14" t="s">
        <v>100</v>
      </c>
      <c r="C143" s="14"/>
      <c r="D143" s="149"/>
      <c r="E143" s="149"/>
      <c r="F143" s="149"/>
      <c r="G143" s="150"/>
      <c r="H143" s="70"/>
      <c r="I143" s="70"/>
      <c r="J143" s="151"/>
      <c r="K143" s="151"/>
      <c r="L143" s="94"/>
      <c r="M143" s="94"/>
      <c r="N143" s="94"/>
      <c r="O143" s="82"/>
    </row>
    <row r="144" spans="1:25" x14ac:dyDescent="0.25">
      <c r="B144" s="14" t="s">
        <v>105</v>
      </c>
      <c r="C144" s="14"/>
      <c r="D144" s="149" t="s">
        <v>106</v>
      </c>
      <c r="E144" s="149"/>
      <c r="F144" s="149"/>
      <c r="G144" s="149"/>
      <c r="H144" s="149"/>
      <c r="I144" s="149"/>
      <c r="J144" s="149"/>
      <c r="K144" s="149"/>
      <c r="L144" s="94"/>
      <c r="M144" s="153"/>
      <c r="N144" s="153"/>
      <c r="O144" s="82"/>
    </row>
    <row r="145" spans="2:15" x14ac:dyDescent="0.25">
      <c r="B145" s="14"/>
      <c r="C145" s="14"/>
      <c r="D145" s="154" t="s">
        <v>103</v>
      </c>
      <c r="E145" s="154"/>
      <c r="F145" s="154"/>
      <c r="G145" s="154"/>
      <c r="H145" s="154"/>
      <c r="I145" s="154"/>
      <c r="J145" s="154"/>
      <c r="K145" s="154"/>
      <c r="L145" s="94"/>
      <c r="M145" s="155" t="s">
        <v>104</v>
      </c>
      <c r="N145" s="155"/>
      <c r="O145" s="82"/>
    </row>
    <row r="146" spans="2:15" x14ac:dyDescent="0.25">
      <c r="B146" s="5"/>
      <c r="C146" s="5"/>
      <c r="D146" s="27"/>
      <c r="E146" s="27"/>
      <c r="F146" s="156"/>
      <c r="G146" s="156"/>
      <c r="H146" s="27"/>
      <c r="I146" s="157"/>
      <c r="J146" s="94"/>
      <c r="K146" s="94"/>
      <c r="L146" s="94"/>
      <c r="M146" s="94"/>
      <c r="N146" s="94"/>
      <c r="O146" s="94"/>
    </row>
  </sheetData>
  <mergeCells count="128">
    <mergeCell ref="D143:F143"/>
    <mergeCell ref="D144:K144"/>
    <mergeCell ref="D145:K145"/>
    <mergeCell ref="M145:N145"/>
    <mergeCell ref="O116:O117"/>
    <mergeCell ref="Q116:Q117"/>
    <mergeCell ref="R116:R117"/>
    <mergeCell ref="D140:F140"/>
    <mergeCell ref="D142:K142"/>
    <mergeCell ref="M142:N142"/>
    <mergeCell ref="P115:P117"/>
    <mergeCell ref="D116:E116"/>
    <mergeCell ref="F116:F117"/>
    <mergeCell ref="G116:G117"/>
    <mergeCell ref="H116:H117"/>
    <mergeCell ref="I116:I117"/>
    <mergeCell ref="J116:K116"/>
    <mergeCell ref="L116:L117"/>
    <mergeCell ref="M116:M117"/>
    <mergeCell ref="N116:N117"/>
    <mergeCell ref="O88:O89"/>
    <mergeCell ref="Q88:Q89"/>
    <mergeCell ref="R88:R89"/>
    <mergeCell ref="D111:P111"/>
    <mergeCell ref="A114:A117"/>
    <mergeCell ref="B114:B117"/>
    <mergeCell ref="D114:P114"/>
    <mergeCell ref="Q114:R115"/>
    <mergeCell ref="D115:H115"/>
    <mergeCell ref="I115:O115"/>
    <mergeCell ref="P87:P89"/>
    <mergeCell ref="D88:E88"/>
    <mergeCell ref="F88:F89"/>
    <mergeCell ref="G88:G89"/>
    <mergeCell ref="H88:H89"/>
    <mergeCell ref="I88:I89"/>
    <mergeCell ref="J88:K88"/>
    <mergeCell ref="L88:L89"/>
    <mergeCell ref="M88:M89"/>
    <mergeCell ref="N88:N89"/>
    <mergeCell ref="O65:O66"/>
    <mergeCell ref="Q65:Q66"/>
    <mergeCell ref="R65:R66"/>
    <mergeCell ref="D83:P83"/>
    <mergeCell ref="A86:A89"/>
    <mergeCell ref="B86:B89"/>
    <mergeCell ref="D86:P86"/>
    <mergeCell ref="Q86:R87"/>
    <mergeCell ref="D87:H87"/>
    <mergeCell ref="I87:O87"/>
    <mergeCell ref="P64:P66"/>
    <mergeCell ref="D65:E65"/>
    <mergeCell ref="F65:F66"/>
    <mergeCell ref="G65:G66"/>
    <mergeCell ref="H65:H66"/>
    <mergeCell ref="I65:I66"/>
    <mergeCell ref="J65:K65"/>
    <mergeCell ref="L65:L66"/>
    <mergeCell ref="M65:M66"/>
    <mergeCell ref="N65:N66"/>
    <mergeCell ref="O47:O48"/>
    <mergeCell ref="Q47:Q48"/>
    <mergeCell ref="R47:R48"/>
    <mergeCell ref="D60:P60"/>
    <mergeCell ref="A63:A66"/>
    <mergeCell ref="B63:B66"/>
    <mergeCell ref="D63:P63"/>
    <mergeCell ref="Q63:R64"/>
    <mergeCell ref="D64:H64"/>
    <mergeCell ref="I64:O64"/>
    <mergeCell ref="P46:P48"/>
    <mergeCell ref="D47:E47"/>
    <mergeCell ref="F47:F48"/>
    <mergeCell ref="G47:G48"/>
    <mergeCell ref="H47:H48"/>
    <mergeCell ref="I47:I48"/>
    <mergeCell ref="J47:K47"/>
    <mergeCell ref="L47:L48"/>
    <mergeCell ref="M47:M48"/>
    <mergeCell ref="N47:N48"/>
    <mergeCell ref="O27:O28"/>
    <mergeCell ref="Q27:Q28"/>
    <mergeCell ref="R27:R28"/>
    <mergeCell ref="D42:P42"/>
    <mergeCell ref="A45:A48"/>
    <mergeCell ref="B45:B48"/>
    <mergeCell ref="D45:P45"/>
    <mergeCell ref="Q45:R46"/>
    <mergeCell ref="D46:H46"/>
    <mergeCell ref="I46:O46"/>
    <mergeCell ref="H27:H28"/>
    <mergeCell ref="I27:I28"/>
    <mergeCell ref="J27:K27"/>
    <mergeCell ref="L27:L28"/>
    <mergeCell ref="M27:M28"/>
    <mergeCell ref="N27:N28"/>
    <mergeCell ref="A25:A28"/>
    <mergeCell ref="B25:B28"/>
    <mergeCell ref="D25:P25"/>
    <mergeCell ref="Q25:R26"/>
    <mergeCell ref="D26:H26"/>
    <mergeCell ref="I26:O26"/>
    <mergeCell ref="P26:P28"/>
    <mergeCell ref="D27:E27"/>
    <mergeCell ref="F27:F28"/>
    <mergeCell ref="G27:G28"/>
    <mergeCell ref="M8:M9"/>
    <mergeCell ref="N8:N9"/>
    <mergeCell ref="O8:O9"/>
    <mergeCell ref="Q8:Q9"/>
    <mergeCell ref="R8:R9"/>
    <mergeCell ref="D22:P22"/>
    <mergeCell ref="F8:F9"/>
    <mergeCell ref="G8:G9"/>
    <mergeCell ref="H8:H9"/>
    <mergeCell ref="I8:I9"/>
    <mergeCell ref="J8:K8"/>
    <mergeCell ref="L8:L9"/>
    <mergeCell ref="D1:P1"/>
    <mergeCell ref="D3:P3"/>
    <mergeCell ref="A6:A9"/>
    <mergeCell ref="B6:B9"/>
    <mergeCell ref="D6:P6"/>
    <mergeCell ref="Q6:R7"/>
    <mergeCell ref="D7:H7"/>
    <mergeCell ref="I7:O7"/>
    <mergeCell ref="P7:P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 grupas ceļi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Grosa</dc:creator>
  <cp:lastModifiedBy>Regina Grosa</cp:lastModifiedBy>
  <dcterms:created xsi:type="dcterms:W3CDTF">2021-12-01T09:00:51Z</dcterms:created>
  <dcterms:modified xsi:type="dcterms:W3CDTF">2021-12-01T09:08:53Z</dcterms:modified>
</cp:coreProperties>
</file>