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8_{CFA158BC-BFDF-46E1-B756-5FC42FC0AB8E}" xr6:coauthVersionLast="47" xr6:coauthVersionMax="47" xr10:uidLastSave="{00000000-0000-0000-0000-000000000000}"/>
  <bookViews>
    <workbookView xWindow="-120" yWindow="-120" windowWidth="20730" windowHeight="11160" tabRatio="603" firstSheet="3" activeTab="5" xr2:uid="{00000000-000D-0000-FFFF-FFFF00000000}"/>
  </bookViews>
  <sheets>
    <sheet name="KOPĀ" sheetId="28" r:id="rId1"/>
    <sheet name="Kopā ielas" sheetId="27" r:id="rId2"/>
    <sheet name="Kopā ceļi" sheetId="26" r:id="rId3"/>
    <sheet name="A ceļi" sheetId="21" r:id="rId4"/>
    <sheet name="B ceļi" sheetId="22" r:id="rId5"/>
    <sheet name="C ceļi" sheetId="23" r:id="rId6"/>
    <sheet name="Ielas" sheetId="20" r:id="rId7"/>
    <sheet name="Nepiederošās ielas" sheetId="24" r:id="rId8"/>
    <sheet name="LAUKUMI" sheetId="25" r:id="rId9"/>
    <sheet name="Kapsētu ceļi un laukumi" sheetId="29" r:id="rId10"/>
  </sheets>
  <definedNames>
    <definedName name="_xlnm._FilterDatabase" localSheetId="6" hidden="1">Ielas!$H$7:$H$500</definedName>
    <definedName name="_xlnm._FilterDatabase" localSheetId="7" hidden="1">'Nepiederošās ielas'!#REF!</definedName>
    <definedName name="_xlnm.Print_Area" localSheetId="3">'A ceļi'!$A$1:$R$41</definedName>
    <definedName name="_xlnm.Print_Area" localSheetId="8">LAUKUMI!$A$1:$K$114</definedName>
    <definedName name="_xlnm.Print_Area" localSheetId="7">'Nepiederošās ielas'!$A$1:$K$36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764" i="20" l="1"/>
  <c r="AE763" i="20"/>
  <c r="AE762" i="20"/>
  <c r="AE761" i="20"/>
  <c r="AD763" i="20"/>
  <c r="AD762" i="20"/>
  <c r="AD761" i="20"/>
  <c r="AC764" i="20"/>
  <c r="AC763" i="20"/>
  <c r="AC762" i="20"/>
  <c r="AC761" i="20"/>
  <c r="AB764" i="20"/>
  <c r="AB763" i="20"/>
  <c r="AB762" i="20"/>
  <c r="AB761" i="20"/>
  <c r="AA764" i="20"/>
  <c r="AA763" i="20"/>
  <c r="AA762" i="20"/>
  <c r="AA761" i="20"/>
  <c r="X764" i="20"/>
  <c r="X763" i="20"/>
  <c r="X762" i="20"/>
  <c r="X761" i="20"/>
  <c r="W763" i="20"/>
  <c r="W762" i="20"/>
  <c r="W761" i="20"/>
  <c r="V764" i="20"/>
  <c r="V763" i="20"/>
  <c r="V762" i="20"/>
  <c r="V761" i="20"/>
  <c r="U764" i="20"/>
  <c r="U763" i="20"/>
  <c r="U762" i="20"/>
  <c r="U761" i="20"/>
  <c r="T764" i="20"/>
  <c r="T763" i="20"/>
  <c r="T762" i="20"/>
  <c r="T761" i="20"/>
  <c r="P760" i="20"/>
  <c r="M760" i="20"/>
  <c r="L760" i="20"/>
  <c r="G764" i="20"/>
  <c r="F764" i="20"/>
  <c r="G762" i="20"/>
  <c r="F762" i="20"/>
  <c r="G761" i="20"/>
  <c r="F761" i="20"/>
  <c r="G754" i="20"/>
  <c r="G750" i="20"/>
  <c r="G745" i="20"/>
  <c r="G744" i="20"/>
  <c r="G742" i="20"/>
  <c r="G741" i="20"/>
  <c r="G739" i="20"/>
  <c r="G733" i="20"/>
  <c r="F726" i="20"/>
  <c r="E724" i="20"/>
  <c r="G723" i="20"/>
  <c r="G722" i="20"/>
  <c r="E722" i="20"/>
  <c r="G721" i="20"/>
  <c r="E720" i="20"/>
  <c r="G719" i="20"/>
  <c r="G718" i="20"/>
  <c r="E718" i="20"/>
  <c r="G717" i="20"/>
  <c r="G716" i="20"/>
  <c r="E716" i="20"/>
  <c r="G715" i="20"/>
  <c r="G714" i="20"/>
  <c r="G9" i="29" l="1"/>
  <c r="M61" i="28" l="1"/>
  <c r="N53" i="28"/>
  <c r="M53" i="28"/>
  <c r="E61" i="28"/>
  <c r="E53" i="28"/>
  <c r="F53" i="28"/>
  <c r="U304" i="22"/>
  <c r="U305" i="22" s="1"/>
  <c r="T253" i="22" l="1"/>
  <c r="U253" i="22" s="1"/>
  <c r="E211" i="22" l="1"/>
  <c r="D16" i="22" l="1"/>
  <c r="E16" i="22" s="1"/>
  <c r="D17" i="22" s="1"/>
  <c r="E17" i="22" s="1"/>
  <c r="F913" i="20" l="1"/>
  <c r="F915" i="20" l="1"/>
  <c r="F914" i="20"/>
  <c r="F912" i="20"/>
  <c r="I62" i="28" l="1"/>
  <c r="P45" i="28"/>
  <c r="O45" i="28"/>
  <c r="N45" i="28"/>
  <c r="M45" i="28"/>
  <c r="L45" i="28"/>
  <c r="H45" i="28"/>
  <c r="G45" i="28"/>
  <c r="F45" i="28"/>
  <c r="E45" i="28"/>
  <c r="D45" i="28"/>
  <c r="P44" i="28"/>
  <c r="O44" i="28"/>
  <c r="N44" i="28"/>
  <c r="M44" i="28"/>
  <c r="L44" i="28"/>
  <c r="H44" i="28"/>
  <c r="G44" i="28"/>
  <c r="F44" i="28"/>
  <c r="E44" i="28"/>
  <c r="D44" i="28"/>
  <c r="Q62" i="28"/>
  <c r="T62" i="28" l="1"/>
  <c r="F248" i="20"/>
  <c r="G248" i="20"/>
  <c r="G296" i="20"/>
  <c r="F296" i="20"/>
  <c r="G340" i="20"/>
  <c r="F340" i="20"/>
  <c r="G336" i="20"/>
  <c r="F336" i="20"/>
  <c r="AB67" i="26"/>
  <c r="AA67" i="26"/>
  <c r="Z67" i="26"/>
  <c r="Y67" i="26"/>
  <c r="X67" i="26"/>
  <c r="W67" i="26"/>
  <c r="AB66" i="26"/>
  <c r="AA66" i="26"/>
  <c r="Z66" i="26"/>
  <c r="Y66" i="26"/>
  <c r="X66" i="26"/>
  <c r="W66" i="26"/>
  <c r="AB65" i="26"/>
  <c r="AA65" i="26"/>
  <c r="Z65" i="26"/>
  <c r="Y65" i="26"/>
  <c r="X65" i="26"/>
  <c r="W65" i="26"/>
  <c r="AB64" i="26"/>
  <c r="AA64" i="26"/>
  <c r="Z64" i="26"/>
  <c r="Y64" i="26"/>
  <c r="X64" i="26"/>
  <c r="W64" i="26"/>
  <c r="AB63" i="26"/>
  <c r="AA63" i="26"/>
  <c r="Z63" i="26"/>
  <c r="Y63" i="26"/>
  <c r="X63" i="26"/>
  <c r="W63" i="26"/>
  <c r="AB58" i="26"/>
  <c r="AA58" i="26"/>
  <c r="Z58" i="26"/>
  <c r="Y58" i="26"/>
  <c r="X58" i="26"/>
  <c r="W58" i="26"/>
  <c r="AB57" i="26"/>
  <c r="AA57" i="26"/>
  <c r="Z57" i="26"/>
  <c r="Y57" i="26"/>
  <c r="X57" i="26"/>
  <c r="W57" i="26"/>
  <c r="AB56" i="26"/>
  <c r="AA56" i="26"/>
  <c r="Z56" i="26"/>
  <c r="Y56" i="26"/>
  <c r="X56" i="26"/>
  <c r="W56" i="26"/>
  <c r="AB55" i="26"/>
  <c r="AA55" i="26"/>
  <c r="Z55" i="26"/>
  <c r="Y55" i="26"/>
  <c r="X55" i="26"/>
  <c r="W55" i="26"/>
  <c r="AB54" i="26"/>
  <c r="AA54" i="26"/>
  <c r="Z54" i="26"/>
  <c r="Y54" i="26"/>
  <c r="X54" i="26"/>
  <c r="W54" i="26"/>
  <c r="AE979" i="20" l="1"/>
  <c r="V183" i="27" s="1"/>
  <c r="AE978" i="20"/>
  <c r="V182" i="27" s="1"/>
  <c r="AE977" i="20"/>
  <c r="V181" i="27" s="1"/>
  <c r="AE976" i="20"/>
  <c r="V180" i="27" s="1"/>
  <c r="AD979" i="20"/>
  <c r="U183" i="27" s="1"/>
  <c r="AD978" i="20"/>
  <c r="U182" i="27" s="1"/>
  <c r="AD977" i="20"/>
  <c r="U181" i="27" s="1"/>
  <c r="AD976" i="20"/>
  <c r="U180" i="27" s="1"/>
  <c r="AC979" i="20"/>
  <c r="T183" i="27" s="1"/>
  <c r="AC978" i="20"/>
  <c r="T182" i="27" s="1"/>
  <c r="AC977" i="20"/>
  <c r="T181" i="27" s="1"/>
  <c r="AC976" i="20"/>
  <c r="T180" i="27" s="1"/>
  <c r="AB979" i="20"/>
  <c r="S183" i="27" s="1"/>
  <c r="AB978" i="20"/>
  <c r="S182" i="27" s="1"/>
  <c r="AB977" i="20"/>
  <c r="S181" i="27" s="1"/>
  <c r="AB976" i="20"/>
  <c r="S180" i="27" s="1"/>
  <c r="AA979" i="20"/>
  <c r="R183" i="27" s="1"/>
  <c r="AA978" i="20"/>
  <c r="R182" i="27" s="1"/>
  <c r="AA977" i="20"/>
  <c r="R181" i="27" s="1"/>
  <c r="AA976" i="20"/>
  <c r="R180" i="27" s="1"/>
  <c r="X979" i="20"/>
  <c r="O183" i="27" s="1"/>
  <c r="G183" i="27" s="1"/>
  <c r="BW183" i="27" s="1"/>
  <c r="X978" i="20"/>
  <c r="O182" i="27" s="1"/>
  <c r="G182" i="27" s="1"/>
  <c r="BW182" i="27" s="1"/>
  <c r="X977" i="20"/>
  <c r="O181" i="27" s="1"/>
  <c r="G181" i="27" s="1"/>
  <c r="BW181" i="27" s="1"/>
  <c r="X976" i="20"/>
  <c r="O180" i="27" s="1"/>
  <c r="G180" i="27" s="1"/>
  <c r="BW180" i="27" s="1"/>
  <c r="W979" i="20"/>
  <c r="N183" i="27" s="1"/>
  <c r="F183" i="27" s="1"/>
  <c r="BV183" i="27" s="1"/>
  <c r="W978" i="20"/>
  <c r="N182" i="27" s="1"/>
  <c r="F182" i="27" s="1"/>
  <c r="BV182" i="27" s="1"/>
  <c r="W977" i="20"/>
  <c r="N181" i="27" s="1"/>
  <c r="F181" i="27" s="1"/>
  <c r="BV181" i="27" s="1"/>
  <c r="W976" i="20"/>
  <c r="N180" i="27" s="1"/>
  <c r="F180" i="27" s="1"/>
  <c r="BV180" i="27" s="1"/>
  <c r="V979" i="20"/>
  <c r="M183" i="27" s="1"/>
  <c r="E183" i="27" s="1"/>
  <c r="BU183" i="27" s="1"/>
  <c r="V978" i="20"/>
  <c r="M182" i="27" s="1"/>
  <c r="E182" i="27" s="1"/>
  <c r="BU182" i="27" s="1"/>
  <c r="V977" i="20"/>
  <c r="M181" i="27" s="1"/>
  <c r="E181" i="27" s="1"/>
  <c r="BU181" i="27" s="1"/>
  <c r="V976" i="20"/>
  <c r="M180" i="27" s="1"/>
  <c r="E180" i="27" s="1"/>
  <c r="BU180" i="27" s="1"/>
  <c r="U979" i="20"/>
  <c r="L183" i="27" s="1"/>
  <c r="D183" i="27" s="1"/>
  <c r="BT183" i="27" s="1"/>
  <c r="U978" i="20"/>
  <c r="L182" i="27" s="1"/>
  <c r="D182" i="27" s="1"/>
  <c r="BT182" i="27" s="1"/>
  <c r="U977" i="20"/>
  <c r="L181" i="27" s="1"/>
  <c r="D181" i="27" s="1"/>
  <c r="BT181" i="27" s="1"/>
  <c r="U976" i="20"/>
  <c r="L180" i="27" s="1"/>
  <c r="D180" i="27" s="1"/>
  <c r="BT180" i="27" s="1"/>
  <c r="T979" i="20"/>
  <c r="K183" i="27" s="1"/>
  <c r="C183" i="27" s="1"/>
  <c r="BS183" i="27" s="1"/>
  <c r="T978" i="20"/>
  <c r="K182" i="27" s="1"/>
  <c r="C182" i="27" s="1"/>
  <c r="BS182" i="27" s="1"/>
  <c r="T977" i="20"/>
  <c r="K181" i="27" s="1"/>
  <c r="C181" i="27" s="1"/>
  <c r="BS181" i="27" s="1"/>
  <c r="T976" i="20"/>
  <c r="K180" i="27" s="1"/>
  <c r="C180" i="27" s="1"/>
  <c r="BS180" i="27" s="1"/>
  <c r="T991" i="20"/>
  <c r="K189" i="27" s="1"/>
  <c r="C189" i="27" s="1"/>
  <c r="U991" i="20"/>
  <c r="L189" i="27" s="1"/>
  <c r="D189" i="27" s="1"/>
  <c r="V991" i="20"/>
  <c r="M189" i="27" s="1"/>
  <c r="E189" i="27" s="1"/>
  <c r="W991" i="20"/>
  <c r="X991" i="20"/>
  <c r="O189" i="27" s="1"/>
  <c r="G189" i="27" s="1"/>
  <c r="AA991" i="20"/>
  <c r="R189" i="27" s="1"/>
  <c r="AB991" i="20"/>
  <c r="S189" i="27" s="1"/>
  <c r="AC991" i="20"/>
  <c r="AD991" i="20"/>
  <c r="U189" i="27" s="1"/>
  <c r="AE991" i="20"/>
  <c r="V189" i="27" s="1"/>
  <c r="T992" i="20"/>
  <c r="K190" i="27" s="1"/>
  <c r="C190" i="27" s="1"/>
  <c r="U992" i="20"/>
  <c r="V992" i="20"/>
  <c r="W992" i="20"/>
  <c r="N190" i="27" s="1"/>
  <c r="F190" i="27" s="1"/>
  <c r="X992" i="20"/>
  <c r="O190" i="27" s="1"/>
  <c r="G190" i="27" s="1"/>
  <c r="AA992" i="20"/>
  <c r="AB992" i="20"/>
  <c r="S190" i="27" s="1"/>
  <c r="AC992" i="20"/>
  <c r="T190" i="27" s="1"/>
  <c r="AD992" i="20"/>
  <c r="U190" i="27" s="1"/>
  <c r="AE992" i="20"/>
  <c r="V190" i="27" s="1"/>
  <c r="T993" i="20"/>
  <c r="K191" i="27" s="1"/>
  <c r="C191" i="27" s="1"/>
  <c r="U993" i="20"/>
  <c r="L191" i="27" s="1"/>
  <c r="D191" i="27" s="1"/>
  <c r="V993" i="20"/>
  <c r="M191" i="27" s="1"/>
  <c r="E191" i="27" s="1"/>
  <c r="W993" i="20"/>
  <c r="N191" i="27" s="1"/>
  <c r="F191" i="27" s="1"/>
  <c r="X993" i="20"/>
  <c r="O191" i="27" s="1"/>
  <c r="G191" i="27" s="1"/>
  <c r="AA993" i="20"/>
  <c r="R191" i="27" s="1"/>
  <c r="AB993" i="20"/>
  <c r="S191" i="27" s="1"/>
  <c r="AC993" i="20"/>
  <c r="T191" i="27" s="1"/>
  <c r="AD993" i="20"/>
  <c r="AE993" i="20"/>
  <c r="V191" i="27" s="1"/>
  <c r="T994" i="20"/>
  <c r="K192" i="27" s="1"/>
  <c r="C192" i="27" s="1"/>
  <c r="U994" i="20"/>
  <c r="L192" i="27" s="1"/>
  <c r="D192" i="27" s="1"/>
  <c r="V994" i="20"/>
  <c r="M192" i="27" s="1"/>
  <c r="E192" i="27" s="1"/>
  <c r="W994" i="20"/>
  <c r="N192" i="27" s="1"/>
  <c r="F192" i="27" s="1"/>
  <c r="X994" i="20"/>
  <c r="O192" i="27" s="1"/>
  <c r="G192" i="27" s="1"/>
  <c r="AA994" i="20"/>
  <c r="R192" i="27" s="1"/>
  <c r="AB994" i="20"/>
  <c r="S192" i="27" s="1"/>
  <c r="AC994" i="20"/>
  <c r="T192" i="27" s="1"/>
  <c r="AD994" i="20"/>
  <c r="U192" i="27" s="1"/>
  <c r="AE994" i="20"/>
  <c r="T822" i="20"/>
  <c r="AE921" i="20"/>
  <c r="V165" i="27" s="1"/>
  <c r="AD921" i="20"/>
  <c r="U165" i="27" s="1"/>
  <c r="AC921" i="20"/>
  <c r="T165" i="27" s="1"/>
  <c r="AB921" i="20"/>
  <c r="S165" i="27" s="1"/>
  <c r="AA921" i="20"/>
  <c r="R165" i="27" s="1"/>
  <c r="X921" i="20"/>
  <c r="O165" i="27" s="1"/>
  <c r="G165" i="27" s="1"/>
  <c r="W921" i="20"/>
  <c r="N165" i="27" s="1"/>
  <c r="F165" i="27" s="1"/>
  <c r="V921" i="20"/>
  <c r="M165" i="27" s="1"/>
  <c r="E165" i="27" s="1"/>
  <c r="U921" i="20"/>
  <c r="L165" i="27" s="1"/>
  <c r="D165" i="27" s="1"/>
  <c r="T921" i="20"/>
  <c r="K165" i="27" s="1"/>
  <c r="C165" i="27" s="1"/>
  <c r="AE920" i="20"/>
  <c r="V164" i="27" s="1"/>
  <c r="AD920" i="20"/>
  <c r="U164" i="27" s="1"/>
  <c r="AC920" i="20"/>
  <c r="T164" i="27" s="1"/>
  <c r="AB920" i="20"/>
  <c r="S164" i="27" s="1"/>
  <c r="AA920" i="20"/>
  <c r="R164" i="27" s="1"/>
  <c r="X920" i="20"/>
  <c r="O164" i="27" s="1"/>
  <c r="G164" i="27" s="1"/>
  <c r="W920" i="20"/>
  <c r="N164" i="27" s="1"/>
  <c r="F164" i="27" s="1"/>
  <c r="V920" i="20"/>
  <c r="M164" i="27" s="1"/>
  <c r="E164" i="27" s="1"/>
  <c r="U920" i="20"/>
  <c r="L164" i="27" s="1"/>
  <c r="D164" i="27" s="1"/>
  <c r="T920" i="20"/>
  <c r="AE919" i="20"/>
  <c r="V163" i="27" s="1"/>
  <c r="AD919" i="20"/>
  <c r="U163" i="27" s="1"/>
  <c r="AC919" i="20"/>
  <c r="T163" i="27" s="1"/>
  <c r="AB919" i="20"/>
  <c r="S163" i="27" s="1"/>
  <c r="AA919" i="20"/>
  <c r="R163" i="27" s="1"/>
  <c r="X919" i="20"/>
  <c r="O163" i="27" s="1"/>
  <c r="G163" i="27" s="1"/>
  <c r="W919" i="20"/>
  <c r="N163" i="27" s="1"/>
  <c r="F163" i="27" s="1"/>
  <c r="V919" i="20"/>
  <c r="M163" i="27" s="1"/>
  <c r="E163" i="27" s="1"/>
  <c r="U919" i="20"/>
  <c r="L163" i="27" s="1"/>
  <c r="D163" i="27" s="1"/>
  <c r="T919" i="20"/>
  <c r="K163" i="27" s="1"/>
  <c r="C163" i="27" s="1"/>
  <c r="AE918" i="20"/>
  <c r="V162" i="27" s="1"/>
  <c r="AD918" i="20"/>
  <c r="AC918" i="20"/>
  <c r="AB918" i="20"/>
  <c r="S162" i="27" s="1"/>
  <c r="AA918" i="20"/>
  <c r="R162" i="27" s="1"/>
  <c r="X918" i="20"/>
  <c r="W918" i="20"/>
  <c r="V918" i="20"/>
  <c r="M162" i="27" s="1"/>
  <c r="E162" i="27" s="1"/>
  <c r="U918" i="20"/>
  <c r="L162" i="27" s="1"/>
  <c r="D162" i="27" s="1"/>
  <c r="T918" i="20"/>
  <c r="AE900" i="20"/>
  <c r="V156" i="27" s="1"/>
  <c r="AD900" i="20"/>
  <c r="U156" i="27" s="1"/>
  <c r="AC900" i="20"/>
  <c r="T156" i="27" s="1"/>
  <c r="AB900" i="20"/>
  <c r="S156" i="27" s="1"/>
  <c r="AA900" i="20"/>
  <c r="R156" i="27" s="1"/>
  <c r="X900" i="20"/>
  <c r="O156" i="27" s="1"/>
  <c r="G156" i="27" s="1"/>
  <c r="W900" i="20"/>
  <c r="N156" i="27" s="1"/>
  <c r="F156" i="27" s="1"/>
  <c r="V900" i="20"/>
  <c r="M156" i="27" s="1"/>
  <c r="E156" i="27" s="1"/>
  <c r="U900" i="20"/>
  <c r="L156" i="27" s="1"/>
  <c r="D156" i="27" s="1"/>
  <c r="T900" i="20"/>
  <c r="K156" i="27" s="1"/>
  <c r="C156" i="27" s="1"/>
  <c r="AE899" i="20"/>
  <c r="V155" i="27" s="1"/>
  <c r="AD899" i="20"/>
  <c r="U155" i="27" s="1"/>
  <c r="AC899" i="20"/>
  <c r="T155" i="27" s="1"/>
  <c r="AB899" i="20"/>
  <c r="S155" i="27" s="1"/>
  <c r="AA899" i="20"/>
  <c r="R155" i="27" s="1"/>
  <c r="X899" i="20"/>
  <c r="O155" i="27" s="1"/>
  <c r="G155" i="27" s="1"/>
  <c r="W899" i="20"/>
  <c r="N155" i="27" s="1"/>
  <c r="F155" i="27" s="1"/>
  <c r="V899" i="20"/>
  <c r="M155" i="27" s="1"/>
  <c r="E155" i="27" s="1"/>
  <c r="U899" i="20"/>
  <c r="L155" i="27" s="1"/>
  <c r="D155" i="27" s="1"/>
  <c r="T899" i="20"/>
  <c r="AE898" i="20"/>
  <c r="V154" i="27" s="1"/>
  <c r="AD898" i="20"/>
  <c r="U154" i="27" s="1"/>
  <c r="AC898" i="20"/>
  <c r="T154" i="27" s="1"/>
  <c r="AB898" i="20"/>
  <c r="S154" i="27" s="1"/>
  <c r="AA898" i="20"/>
  <c r="R154" i="27" s="1"/>
  <c r="X898" i="20"/>
  <c r="O154" i="27" s="1"/>
  <c r="G154" i="27" s="1"/>
  <c r="W898" i="20"/>
  <c r="N154" i="27" s="1"/>
  <c r="F154" i="27" s="1"/>
  <c r="V898" i="20"/>
  <c r="M154" i="27" s="1"/>
  <c r="E154" i="27" s="1"/>
  <c r="U898" i="20"/>
  <c r="L154" i="27" s="1"/>
  <c r="D154" i="27" s="1"/>
  <c r="T898" i="20"/>
  <c r="K154" i="27" s="1"/>
  <c r="C154" i="27" s="1"/>
  <c r="AE897" i="20"/>
  <c r="V153" i="27" s="1"/>
  <c r="AD897" i="20"/>
  <c r="AC897" i="20"/>
  <c r="AB897" i="20"/>
  <c r="S153" i="27" s="1"/>
  <c r="AA897" i="20"/>
  <c r="R153" i="27" s="1"/>
  <c r="X897" i="20"/>
  <c r="W897" i="20"/>
  <c r="V897" i="20"/>
  <c r="M153" i="27" s="1"/>
  <c r="E153" i="27" s="1"/>
  <c r="U897" i="20"/>
  <c r="L153" i="27" s="1"/>
  <c r="D153" i="27" s="1"/>
  <c r="T897" i="20"/>
  <c r="AE868" i="20"/>
  <c r="V147" i="27" s="1"/>
  <c r="AD868" i="20"/>
  <c r="U147" i="27" s="1"/>
  <c r="AC868" i="20"/>
  <c r="T147" i="27" s="1"/>
  <c r="AB868" i="20"/>
  <c r="S147" i="27" s="1"/>
  <c r="AA868" i="20"/>
  <c r="R147" i="27" s="1"/>
  <c r="X868" i="20"/>
  <c r="O147" i="27" s="1"/>
  <c r="G147" i="27" s="1"/>
  <c r="W868" i="20"/>
  <c r="N147" i="27" s="1"/>
  <c r="F147" i="27" s="1"/>
  <c r="V868" i="20"/>
  <c r="M147" i="27" s="1"/>
  <c r="E147" i="27" s="1"/>
  <c r="U868" i="20"/>
  <c r="L147" i="27" s="1"/>
  <c r="D147" i="27" s="1"/>
  <c r="T868" i="20"/>
  <c r="K147" i="27" s="1"/>
  <c r="C147" i="27" s="1"/>
  <c r="AE867" i="20"/>
  <c r="V146" i="27" s="1"/>
  <c r="AD867" i="20"/>
  <c r="U146" i="27" s="1"/>
  <c r="AC867" i="20"/>
  <c r="T146" i="27" s="1"/>
  <c r="AB867" i="20"/>
  <c r="S146" i="27" s="1"/>
  <c r="AA867" i="20"/>
  <c r="R146" i="27" s="1"/>
  <c r="X867" i="20"/>
  <c r="O146" i="27" s="1"/>
  <c r="G146" i="27" s="1"/>
  <c r="W867" i="20"/>
  <c r="N146" i="27" s="1"/>
  <c r="F146" i="27" s="1"/>
  <c r="V867" i="20"/>
  <c r="M146" i="27" s="1"/>
  <c r="E146" i="27" s="1"/>
  <c r="U867" i="20"/>
  <c r="L146" i="27" s="1"/>
  <c r="D146" i="27" s="1"/>
  <c r="T867" i="20"/>
  <c r="AE866" i="20"/>
  <c r="V145" i="27" s="1"/>
  <c r="AD866" i="20"/>
  <c r="U145" i="27" s="1"/>
  <c r="AC866" i="20"/>
  <c r="T145" i="27" s="1"/>
  <c r="AB866" i="20"/>
  <c r="S145" i="27" s="1"/>
  <c r="AA866" i="20"/>
  <c r="R145" i="27" s="1"/>
  <c r="X866" i="20"/>
  <c r="O145" i="27" s="1"/>
  <c r="G145" i="27" s="1"/>
  <c r="W866" i="20"/>
  <c r="N145" i="27" s="1"/>
  <c r="F145" i="27" s="1"/>
  <c r="V866" i="20"/>
  <c r="M145" i="27" s="1"/>
  <c r="E145" i="27" s="1"/>
  <c r="U866" i="20"/>
  <c r="L145" i="27" s="1"/>
  <c r="D145" i="27" s="1"/>
  <c r="T866" i="20"/>
  <c r="K145" i="27" s="1"/>
  <c r="C145" i="27" s="1"/>
  <c r="AE865" i="20"/>
  <c r="V144" i="27" s="1"/>
  <c r="AD865" i="20"/>
  <c r="AC865" i="20"/>
  <c r="AB865" i="20"/>
  <c r="S144" i="27" s="1"/>
  <c r="AA865" i="20"/>
  <c r="R144" i="27" s="1"/>
  <c r="X865" i="20"/>
  <c r="W865" i="20"/>
  <c r="V865" i="20"/>
  <c r="M144" i="27" s="1"/>
  <c r="E144" i="27" s="1"/>
  <c r="U865" i="20"/>
  <c r="L144" i="27" s="1"/>
  <c r="D144" i="27" s="1"/>
  <c r="T865" i="20"/>
  <c r="AE825" i="20"/>
  <c r="V138" i="27" s="1"/>
  <c r="AD825" i="20"/>
  <c r="U138" i="27" s="1"/>
  <c r="AC825" i="20"/>
  <c r="T138" i="27" s="1"/>
  <c r="AB825" i="20"/>
  <c r="S138" i="27" s="1"/>
  <c r="AA825" i="20"/>
  <c r="R138" i="27" s="1"/>
  <c r="X825" i="20"/>
  <c r="O138" i="27" s="1"/>
  <c r="G138" i="27" s="1"/>
  <c r="W825" i="20"/>
  <c r="N138" i="27" s="1"/>
  <c r="F138" i="27" s="1"/>
  <c r="V825" i="20"/>
  <c r="M138" i="27" s="1"/>
  <c r="E138" i="27" s="1"/>
  <c r="U825" i="20"/>
  <c r="L138" i="27" s="1"/>
  <c r="D138" i="27" s="1"/>
  <c r="T825" i="20"/>
  <c r="K138" i="27" s="1"/>
  <c r="C138" i="27" s="1"/>
  <c r="AE824" i="20"/>
  <c r="V137" i="27" s="1"/>
  <c r="AD824" i="20"/>
  <c r="U137" i="27" s="1"/>
  <c r="AC824" i="20"/>
  <c r="T137" i="27" s="1"/>
  <c r="AB824" i="20"/>
  <c r="S137" i="27" s="1"/>
  <c r="AA824" i="20"/>
  <c r="X824" i="20"/>
  <c r="O137" i="27" s="1"/>
  <c r="G137" i="27" s="1"/>
  <c r="W824" i="20"/>
  <c r="N137" i="27" s="1"/>
  <c r="F137" i="27" s="1"/>
  <c r="V824" i="20"/>
  <c r="M137" i="27" s="1"/>
  <c r="E137" i="27" s="1"/>
  <c r="U824" i="20"/>
  <c r="T824" i="20"/>
  <c r="K137" i="27" s="1"/>
  <c r="C137" i="27" s="1"/>
  <c r="AE823" i="20"/>
  <c r="V136" i="27" s="1"/>
  <c r="AD823" i="20"/>
  <c r="U136" i="27" s="1"/>
  <c r="AC823" i="20"/>
  <c r="T136" i="27" s="1"/>
  <c r="AB823" i="20"/>
  <c r="S136" i="27" s="1"/>
  <c r="AA823" i="20"/>
  <c r="R136" i="27" s="1"/>
  <c r="X823" i="20"/>
  <c r="O136" i="27" s="1"/>
  <c r="G136" i="27" s="1"/>
  <c r="W823" i="20"/>
  <c r="N136" i="27" s="1"/>
  <c r="F136" i="27" s="1"/>
  <c r="V823" i="20"/>
  <c r="M136" i="27" s="1"/>
  <c r="E136" i="27" s="1"/>
  <c r="U823" i="20"/>
  <c r="L136" i="27" s="1"/>
  <c r="D136" i="27" s="1"/>
  <c r="T823" i="20"/>
  <c r="K136" i="27" s="1"/>
  <c r="C136" i="27" s="1"/>
  <c r="AE822" i="20"/>
  <c r="AD822" i="20"/>
  <c r="AC822" i="20"/>
  <c r="T135" i="27" s="1"/>
  <c r="AB822" i="20"/>
  <c r="S135" i="27" s="1"/>
  <c r="AA822" i="20"/>
  <c r="X822" i="20"/>
  <c r="W822" i="20"/>
  <c r="N135" i="27" s="1"/>
  <c r="F135" i="27" s="1"/>
  <c r="V822" i="20"/>
  <c r="U822" i="20"/>
  <c r="BT192" i="27" l="1"/>
  <c r="BU192" i="27"/>
  <c r="BW191" i="27"/>
  <c r="BS191" i="27"/>
  <c r="BW189" i="27"/>
  <c r="BT136" i="27"/>
  <c r="BV137" i="27"/>
  <c r="BT138" i="27"/>
  <c r="BT145" i="27"/>
  <c r="BV146" i="27"/>
  <c r="BT147" i="27"/>
  <c r="BT154" i="27"/>
  <c r="BV155" i="27"/>
  <c r="BT156" i="27"/>
  <c r="BT163" i="27"/>
  <c r="BV164" i="27"/>
  <c r="BT165" i="27"/>
  <c r="BU136" i="27"/>
  <c r="BW137" i="27"/>
  <c r="BU138" i="27"/>
  <c r="BU145" i="27"/>
  <c r="BW146" i="27"/>
  <c r="BU147" i="27"/>
  <c r="BU154" i="27"/>
  <c r="BW155" i="27"/>
  <c r="BU156" i="27"/>
  <c r="BU163" i="27"/>
  <c r="BW164" i="27"/>
  <c r="BU165" i="27"/>
  <c r="BS189" i="27"/>
  <c r="W869" i="20"/>
  <c r="N148" i="27" s="1"/>
  <c r="F148" i="27" s="1"/>
  <c r="N144" i="27"/>
  <c r="F144" i="27" s="1"/>
  <c r="Y899" i="20"/>
  <c r="P155" i="27" s="1"/>
  <c r="H155" i="27" s="1"/>
  <c r="K155" i="27"/>
  <c r="C155" i="27" s="1"/>
  <c r="BS155" i="27" s="1"/>
  <c r="T826" i="20"/>
  <c r="K139" i="27" s="1"/>
  <c r="C139" i="27" s="1"/>
  <c r="K135" i="27"/>
  <c r="C135" i="27" s="1"/>
  <c r="BS192" i="27"/>
  <c r="BU191" i="27"/>
  <c r="BW190" i="27"/>
  <c r="AC901" i="20"/>
  <c r="T157" i="27" s="1"/>
  <c r="T153" i="27"/>
  <c r="BU153" i="27" s="1"/>
  <c r="AE995" i="20"/>
  <c r="V193" i="27" s="1"/>
  <c r="V192" i="27"/>
  <c r="BW192" i="27" s="1"/>
  <c r="AA995" i="20"/>
  <c r="R193" i="27" s="1"/>
  <c r="R190" i="27"/>
  <c r="BS190" i="27" s="1"/>
  <c r="AC995" i="20"/>
  <c r="T193" i="27" s="1"/>
  <c r="T189" i="27"/>
  <c r="BU189" i="27" s="1"/>
  <c r="Y991" i="20"/>
  <c r="P189" i="27" s="1"/>
  <c r="H189" i="27" s="1"/>
  <c r="N189" i="27"/>
  <c r="F189" i="27" s="1"/>
  <c r="BV189" i="27" s="1"/>
  <c r="AD826" i="20"/>
  <c r="U139" i="27" s="1"/>
  <c r="U135" i="27"/>
  <c r="BV135" i="27" s="1"/>
  <c r="Y865" i="20"/>
  <c r="P144" i="27" s="1"/>
  <c r="H144" i="27" s="1"/>
  <c r="K144" i="27"/>
  <c r="C144" i="27" s="1"/>
  <c r="BS144" i="27" s="1"/>
  <c r="X869" i="20"/>
  <c r="O148" i="27" s="1"/>
  <c r="G148" i="27" s="1"/>
  <c r="O144" i="27"/>
  <c r="G144" i="27" s="1"/>
  <c r="BW144" i="27" s="1"/>
  <c r="AD869" i="20"/>
  <c r="U148" i="27" s="1"/>
  <c r="U144" i="27"/>
  <c r="Y867" i="20"/>
  <c r="P146" i="27" s="1"/>
  <c r="H146" i="27" s="1"/>
  <c r="K146" i="27"/>
  <c r="C146" i="27" s="1"/>
  <c r="BS146" i="27" s="1"/>
  <c r="Y897" i="20"/>
  <c r="P153" i="27" s="1"/>
  <c r="H153" i="27" s="1"/>
  <c r="K153" i="27"/>
  <c r="C153" i="27" s="1"/>
  <c r="BS153" i="27" s="1"/>
  <c r="X901" i="20"/>
  <c r="O157" i="27" s="1"/>
  <c r="G157" i="27" s="1"/>
  <c r="O153" i="27"/>
  <c r="G153" i="27" s="1"/>
  <c r="BW153" i="27" s="1"/>
  <c r="AD901" i="20"/>
  <c r="U157" i="27" s="1"/>
  <c r="U153" i="27"/>
  <c r="Y822" i="20"/>
  <c r="P135" i="27" s="1"/>
  <c r="H135" i="27" s="1"/>
  <c r="L135" i="27"/>
  <c r="D135" i="27" s="1"/>
  <c r="BT135" i="27" s="1"/>
  <c r="AF822" i="20"/>
  <c r="W135" i="27" s="1"/>
  <c r="R135" i="27"/>
  <c r="AE826" i="20"/>
  <c r="V139" i="27" s="1"/>
  <c r="V135" i="27"/>
  <c r="BV136" i="27"/>
  <c r="Y824" i="20"/>
  <c r="P137" i="27" s="1"/>
  <c r="H137" i="27" s="1"/>
  <c r="L137" i="27"/>
  <c r="D137" i="27" s="1"/>
  <c r="BT137" i="27" s="1"/>
  <c r="AF824" i="20"/>
  <c r="W137" i="27" s="1"/>
  <c r="R137" i="27"/>
  <c r="BS137" i="27" s="1"/>
  <c r="BV138" i="27"/>
  <c r="BT144" i="27"/>
  <c r="BV145" i="27"/>
  <c r="BT146" i="27"/>
  <c r="BV147" i="27"/>
  <c r="BT153" i="27"/>
  <c r="BV154" i="27"/>
  <c r="BT155" i="27"/>
  <c r="BV156" i="27"/>
  <c r="BV165" i="27"/>
  <c r="X995" i="20"/>
  <c r="O193" i="27" s="1"/>
  <c r="G193" i="27" s="1"/>
  <c r="BV192" i="27"/>
  <c r="BT191" i="27"/>
  <c r="BV190" i="27"/>
  <c r="BT189" i="27"/>
  <c r="AC869" i="20"/>
  <c r="T148" i="27" s="1"/>
  <c r="T144" i="27"/>
  <c r="BU144" i="27" s="1"/>
  <c r="W901" i="20"/>
  <c r="N157" i="27" s="1"/>
  <c r="F157" i="27" s="1"/>
  <c r="N153" i="27"/>
  <c r="F153" i="27" s="1"/>
  <c r="U995" i="20"/>
  <c r="L193" i="27" s="1"/>
  <c r="D193" i="27" s="1"/>
  <c r="L190" i="27"/>
  <c r="D190" i="27" s="1"/>
  <c r="BT190" i="27" s="1"/>
  <c r="X826" i="20"/>
  <c r="O139" i="27" s="1"/>
  <c r="G139" i="27" s="1"/>
  <c r="O135" i="27"/>
  <c r="G135" i="27" s="1"/>
  <c r="V826" i="20"/>
  <c r="M139" i="27" s="1"/>
  <c r="E139" i="27" s="1"/>
  <c r="M135" i="27"/>
  <c r="E135" i="27" s="1"/>
  <c r="BU135" i="27" s="1"/>
  <c r="BS136" i="27"/>
  <c r="BW136" i="27"/>
  <c r="BU137" i="27"/>
  <c r="BS138" i="27"/>
  <c r="BW138" i="27"/>
  <c r="BS145" i="27"/>
  <c r="BW145" i="27"/>
  <c r="BU146" i="27"/>
  <c r="BS147" i="27"/>
  <c r="BW147" i="27"/>
  <c r="BS154" i="27"/>
  <c r="BW154" i="27"/>
  <c r="BU155" i="27"/>
  <c r="BS156" i="27"/>
  <c r="BW156" i="27"/>
  <c r="T995" i="20"/>
  <c r="K193" i="27" s="1"/>
  <c r="C193" i="27" s="1"/>
  <c r="AD995" i="20"/>
  <c r="U193" i="27" s="1"/>
  <c r="U191" i="27"/>
  <c r="BV191" i="27" s="1"/>
  <c r="V995" i="20"/>
  <c r="M193" i="27" s="1"/>
  <c r="E193" i="27" s="1"/>
  <c r="M190" i="27"/>
  <c r="E190" i="27" s="1"/>
  <c r="BU190" i="27" s="1"/>
  <c r="BS163" i="27"/>
  <c r="BW163" i="27"/>
  <c r="BU164" i="27"/>
  <c r="BS165" i="27"/>
  <c r="AC922" i="20"/>
  <c r="T166" i="27" s="1"/>
  <c r="T162" i="27"/>
  <c r="BU162" i="27" s="1"/>
  <c r="Y918" i="20"/>
  <c r="P162" i="27" s="1"/>
  <c r="H162" i="27" s="1"/>
  <c r="K162" i="27"/>
  <c r="C162" i="27" s="1"/>
  <c r="BS162" i="27" s="1"/>
  <c r="AD922" i="20"/>
  <c r="U166" i="27" s="1"/>
  <c r="U162" i="27"/>
  <c r="Y920" i="20"/>
  <c r="P164" i="27" s="1"/>
  <c r="H164" i="27" s="1"/>
  <c r="K164" i="27"/>
  <c r="C164" i="27" s="1"/>
  <c r="BS164" i="27" s="1"/>
  <c r="W922" i="20"/>
  <c r="N166" i="27" s="1"/>
  <c r="F166" i="27" s="1"/>
  <c r="N162" i="27"/>
  <c r="F162" i="27" s="1"/>
  <c r="X922" i="20"/>
  <c r="O166" i="27" s="1"/>
  <c r="G166" i="27" s="1"/>
  <c r="O162" i="27"/>
  <c r="G162" i="27" s="1"/>
  <c r="BW162" i="27" s="1"/>
  <c r="BT162" i="27"/>
  <c r="BV163" i="27"/>
  <c r="BT164" i="27"/>
  <c r="BW165" i="27"/>
  <c r="AB826" i="20"/>
  <c r="S139" i="27" s="1"/>
  <c r="U869" i="20"/>
  <c r="L148" i="27" s="1"/>
  <c r="D148" i="27" s="1"/>
  <c r="AF865" i="20"/>
  <c r="W144" i="27" s="1"/>
  <c r="AE869" i="20"/>
  <c r="V148" i="27" s="1"/>
  <c r="AF867" i="20"/>
  <c r="W146" i="27" s="1"/>
  <c r="U901" i="20"/>
  <c r="L157" i="27" s="1"/>
  <c r="D157" i="27" s="1"/>
  <c r="AF897" i="20"/>
  <c r="W153" i="27" s="1"/>
  <c r="AE901" i="20"/>
  <c r="V157" i="27" s="1"/>
  <c r="AF899" i="20"/>
  <c r="W155" i="27" s="1"/>
  <c r="U922" i="20"/>
  <c r="L166" i="27" s="1"/>
  <c r="D166" i="27" s="1"/>
  <c r="AF918" i="20"/>
  <c r="W162" i="27" s="1"/>
  <c r="AE922" i="20"/>
  <c r="V166" i="27" s="1"/>
  <c r="AF920" i="20"/>
  <c r="W164" i="27" s="1"/>
  <c r="Y994" i="20"/>
  <c r="P192" i="27" s="1"/>
  <c r="H192" i="27" s="1"/>
  <c r="AF993" i="20"/>
  <c r="W191" i="27" s="1"/>
  <c r="AF991" i="20"/>
  <c r="W189" i="27" s="1"/>
  <c r="W826" i="20"/>
  <c r="N139" i="27" s="1"/>
  <c r="F139" i="27" s="1"/>
  <c r="AC826" i="20"/>
  <c r="T139" i="27" s="1"/>
  <c r="Y823" i="20"/>
  <c r="P136" i="27" s="1"/>
  <c r="H136" i="27" s="1"/>
  <c r="AF823" i="20"/>
  <c r="Y825" i="20"/>
  <c r="P138" i="27" s="1"/>
  <c r="H138" i="27" s="1"/>
  <c r="AF825" i="20"/>
  <c r="W138" i="27" s="1"/>
  <c r="V869" i="20"/>
  <c r="M148" i="27" s="1"/>
  <c r="E148" i="27" s="1"/>
  <c r="AB869" i="20"/>
  <c r="S148" i="27" s="1"/>
  <c r="Y866" i="20"/>
  <c r="Y868" i="20"/>
  <c r="P147" i="27" s="1"/>
  <c r="H147" i="27" s="1"/>
  <c r="V901" i="20"/>
  <c r="M157" i="27" s="1"/>
  <c r="E157" i="27" s="1"/>
  <c r="AB901" i="20"/>
  <c r="S157" i="27" s="1"/>
  <c r="Y898" i="20"/>
  <c r="Y900" i="20"/>
  <c r="P156" i="27" s="1"/>
  <c r="H156" i="27" s="1"/>
  <c r="V922" i="20"/>
  <c r="M166" i="27" s="1"/>
  <c r="E166" i="27" s="1"/>
  <c r="AB922" i="20"/>
  <c r="S166" i="27" s="1"/>
  <c r="Y919" i="20"/>
  <c r="P163" i="27" s="1"/>
  <c r="H163" i="27" s="1"/>
  <c r="Y921" i="20"/>
  <c r="P165" i="27" s="1"/>
  <c r="H165" i="27" s="1"/>
  <c r="W995" i="20"/>
  <c r="N193" i="27" s="1"/>
  <c r="F193" i="27" s="1"/>
  <c r="AF866" i="20"/>
  <c r="W145" i="27" s="1"/>
  <c r="AF868" i="20"/>
  <c r="W147" i="27" s="1"/>
  <c r="AF898" i="20"/>
  <c r="W154" i="27" s="1"/>
  <c r="AF900" i="20"/>
  <c r="W156" i="27" s="1"/>
  <c r="AF919" i="20"/>
  <c r="W163" i="27" s="1"/>
  <c r="AF921" i="20"/>
  <c r="W165" i="27" s="1"/>
  <c r="AF994" i="20"/>
  <c r="Y993" i="20"/>
  <c r="P191" i="27" s="1"/>
  <c r="H191" i="27" s="1"/>
  <c r="BX191" i="27" s="1"/>
  <c r="AF992" i="20"/>
  <c r="W190" i="27" s="1"/>
  <c r="Y992" i="20"/>
  <c r="AE980" i="20"/>
  <c r="V184" i="27" s="1"/>
  <c r="AD980" i="20"/>
  <c r="U184" i="27" s="1"/>
  <c r="AC980" i="20"/>
  <c r="T184" i="27" s="1"/>
  <c r="AF976" i="20"/>
  <c r="W180" i="27" s="1"/>
  <c r="AF979" i="20"/>
  <c r="W183" i="27" s="1"/>
  <c r="AF978" i="20"/>
  <c r="W182" i="27" s="1"/>
  <c r="AB980" i="20"/>
  <c r="S184" i="27" s="1"/>
  <c r="AF977" i="20"/>
  <c r="W181" i="27" s="1"/>
  <c r="X980" i="20"/>
  <c r="O184" i="27" s="1"/>
  <c r="G184" i="27" s="1"/>
  <c r="BW184" i="27" s="1"/>
  <c r="W980" i="20"/>
  <c r="N184" i="27" s="1"/>
  <c r="F184" i="27" s="1"/>
  <c r="BV184" i="27" s="1"/>
  <c r="V980" i="20"/>
  <c r="M184" i="27" s="1"/>
  <c r="E184" i="27" s="1"/>
  <c r="BU184" i="27" s="1"/>
  <c r="Y979" i="20"/>
  <c r="P183" i="27" s="1"/>
  <c r="H183" i="27" s="1"/>
  <c r="Y978" i="20"/>
  <c r="P182" i="27" s="1"/>
  <c r="H182" i="27" s="1"/>
  <c r="Y977" i="20"/>
  <c r="P181" i="27" s="1"/>
  <c r="H181" i="27" s="1"/>
  <c r="U980" i="20"/>
  <c r="L184" i="27" s="1"/>
  <c r="D184" i="27" s="1"/>
  <c r="BT184" i="27" s="1"/>
  <c r="Y976" i="20"/>
  <c r="P180" i="27" s="1"/>
  <c r="H180" i="27" s="1"/>
  <c r="BX180" i="27" s="1"/>
  <c r="T980" i="20"/>
  <c r="K184" i="27" s="1"/>
  <c r="C184" i="27" s="1"/>
  <c r="AA980" i="20"/>
  <c r="R184" i="27" s="1"/>
  <c r="AB995" i="20"/>
  <c r="S193" i="27" s="1"/>
  <c r="T922" i="20"/>
  <c r="K166" i="27" s="1"/>
  <c r="C166" i="27" s="1"/>
  <c r="AA922" i="20"/>
  <c r="R166" i="27" s="1"/>
  <c r="T901" i="20"/>
  <c r="K157" i="27" s="1"/>
  <c r="C157" i="27" s="1"/>
  <c r="AA901" i="20"/>
  <c r="R157" i="27" s="1"/>
  <c r="T869" i="20"/>
  <c r="K148" i="27" s="1"/>
  <c r="C148" i="27" s="1"/>
  <c r="AA869" i="20"/>
  <c r="R148" i="27" s="1"/>
  <c r="U826" i="20"/>
  <c r="L139" i="27" s="1"/>
  <c r="D139" i="27" s="1"/>
  <c r="AA826" i="20"/>
  <c r="R139" i="27" s="1"/>
  <c r="BW193" i="27" l="1"/>
  <c r="BW135" i="27"/>
  <c r="BV153" i="27"/>
  <c r="BU148" i="27"/>
  <c r="BT139" i="27"/>
  <c r="BX181" i="27"/>
  <c r="BU157" i="27"/>
  <c r="BS193" i="27"/>
  <c r="BV157" i="27"/>
  <c r="BS184" i="27"/>
  <c r="BX182" i="27"/>
  <c r="BX135" i="27"/>
  <c r="BX155" i="27"/>
  <c r="BU139" i="27"/>
  <c r="BX137" i="27"/>
  <c r="BW148" i="27"/>
  <c r="BS157" i="27"/>
  <c r="BV193" i="27"/>
  <c r="BU166" i="27"/>
  <c r="BT193" i="27"/>
  <c r="BW157" i="27"/>
  <c r="AF995" i="20"/>
  <c r="W193" i="27" s="1"/>
  <c r="W192" i="27"/>
  <c r="BX192" i="27" s="1"/>
  <c r="BT157" i="27"/>
  <c r="BT148" i="27"/>
  <c r="BU193" i="27"/>
  <c r="BX153" i="27"/>
  <c r="BX144" i="27"/>
  <c r="BX189" i="27"/>
  <c r="BS135" i="27"/>
  <c r="BV144" i="27"/>
  <c r="BS148" i="27"/>
  <c r="BX183" i="27"/>
  <c r="Y995" i="20"/>
  <c r="P193" i="27" s="1"/>
  <c r="H193" i="27" s="1"/>
  <c r="BX193" i="27" s="1"/>
  <c r="P190" i="27"/>
  <c r="H190" i="27" s="1"/>
  <c r="BX190" i="27" s="1"/>
  <c r="BV139" i="27"/>
  <c r="BX146" i="27"/>
  <c r="BW139" i="27"/>
  <c r="BS139" i="27"/>
  <c r="BV148" i="27"/>
  <c r="BV162" i="27"/>
  <c r="BV166" i="27"/>
  <c r="BX138" i="27"/>
  <c r="Y826" i="20"/>
  <c r="P139" i="27" s="1"/>
  <c r="H139" i="27" s="1"/>
  <c r="BX162" i="27"/>
  <c r="Y922" i="20"/>
  <c r="P166" i="27" s="1"/>
  <c r="H166" i="27" s="1"/>
  <c r="BX164" i="27"/>
  <c r="BS166" i="27"/>
  <c r="BX165" i="27"/>
  <c r="BX156" i="27"/>
  <c r="BX147" i="27"/>
  <c r="BW166" i="27"/>
  <c r="AF826" i="20"/>
  <c r="W139" i="27" s="1"/>
  <c r="W136" i="27"/>
  <c r="BX136" i="27" s="1"/>
  <c r="BX163" i="27"/>
  <c r="Y901" i="20"/>
  <c r="P157" i="27" s="1"/>
  <c r="H157" i="27" s="1"/>
  <c r="P154" i="27"/>
  <c r="H154" i="27" s="1"/>
  <c r="BX154" i="27" s="1"/>
  <c r="Y869" i="20"/>
  <c r="P148" i="27" s="1"/>
  <c r="H148" i="27" s="1"/>
  <c r="P145" i="27"/>
  <c r="H145" i="27" s="1"/>
  <c r="BX145" i="27" s="1"/>
  <c r="BT166" i="27"/>
  <c r="AF922" i="20"/>
  <c r="W166" i="27" s="1"/>
  <c r="AF901" i="20"/>
  <c r="W157" i="27" s="1"/>
  <c r="AF869" i="20"/>
  <c r="W148" i="27" s="1"/>
  <c r="AF980" i="20"/>
  <c r="W184" i="27" s="1"/>
  <c r="Y980" i="20"/>
  <c r="P184" i="27" s="1"/>
  <c r="H184" i="27" s="1"/>
  <c r="BX184" i="27" l="1"/>
  <c r="BX166" i="27"/>
  <c r="BX139" i="27"/>
  <c r="BX148" i="27"/>
  <c r="BX157" i="27"/>
  <c r="AE681" i="20"/>
  <c r="V102" i="27" s="1"/>
  <c r="AE680" i="20"/>
  <c r="V101" i="27" s="1"/>
  <c r="AE679" i="20"/>
  <c r="V100" i="27" s="1"/>
  <c r="AE678" i="20"/>
  <c r="V99" i="27" s="1"/>
  <c r="AD681" i="20"/>
  <c r="U102" i="27" s="1"/>
  <c r="AD680" i="20"/>
  <c r="U101" i="27" s="1"/>
  <c r="AD679" i="20"/>
  <c r="U100" i="27" s="1"/>
  <c r="AD678" i="20"/>
  <c r="U99" i="27" s="1"/>
  <c r="AC681" i="20"/>
  <c r="T102" i="27" s="1"/>
  <c r="AC680" i="20"/>
  <c r="T101" i="27" s="1"/>
  <c r="AC679" i="20"/>
  <c r="T100" i="27" s="1"/>
  <c r="AC678" i="20"/>
  <c r="T99" i="27" s="1"/>
  <c r="AB681" i="20"/>
  <c r="S102" i="27" s="1"/>
  <c r="AB680" i="20"/>
  <c r="S101" i="27" s="1"/>
  <c r="AB679" i="20"/>
  <c r="S100" i="27" s="1"/>
  <c r="AB678" i="20"/>
  <c r="S99" i="27" s="1"/>
  <c r="AA681" i="20"/>
  <c r="R102" i="27" s="1"/>
  <c r="AA680" i="20"/>
  <c r="R101" i="27" s="1"/>
  <c r="AA679" i="20"/>
  <c r="R100" i="27" s="1"/>
  <c r="AA678" i="20"/>
  <c r="R99" i="27" s="1"/>
  <c r="X681" i="20"/>
  <c r="O102" i="27" s="1"/>
  <c r="G102" i="27" s="1"/>
  <c r="BW102" i="27" s="1"/>
  <c r="X680" i="20"/>
  <c r="O101" i="27" s="1"/>
  <c r="G101" i="27" s="1"/>
  <c r="BW101" i="27" s="1"/>
  <c r="X679" i="20"/>
  <c r="O100" i="27" s="1"/>
  <c r="G100" i="27" s="1"/>
  <c r="BW100" i="27" s="1"/>
  <c r="X678" i="20"/>
  <c r="O99" i="27" s="1"/>
  <c r="G99" i="27" s="1"/>
  <c r="BW99" i="27" s="1"/>
  <c r="W681" i="20"/>
  <c r="N102" i="27" s="1"/>
  <c r="F102" i="27" s="1"/>
  <c r="W680" i="20"/>
  <c r="N101" i="27" s="1"/>
  <c r="F101" i="27" s="1"/>
  <c r="BV101" i="27" s="1"/>
  <c r="W679" i="20"/>
  <c r="N100" i="27" s="1"/>
  <c r="F100" i="27" s="1"/>
  <c r="BV100" i="27" s="1"/>
  <c r="W678" i="20"/>
  <c r="N99" i="27" s="1"/>
  <c r="F99" i="27" s="1"/>
  <c r="BV99" i="27" s="1"/>
  <c r="V681" i="20"/>
  <c r="M102" i="27" s="1"/>
  <c r="E102" i="27" s="1"/>
  <c r="V680" i="20"/>
  <c r="M101" i="27" s="1"/>
  <c r="E101" i="27" s="1"/>
  <c r="BU101" i="27" s="1"/>
  <c r="V679" i="20"/>
  <c r="M100" i="27" s="1"/>
  <c r="E100" i="27" s="1"/>
  <c r="BU100" i="27" s="1"/>
  <c r="V678" i="20"/>
  <c r="M99" i="27" s="1"/>
  <c r="E99" i="27" s="1"/>
  <c r="BU99" i="27" s="1"/>
  <c r="U681" i="20"/>
  <c r="L102" i="27" s="1"/>
  <c r="D102" i="27" s="1"/>
  <c r="BT102" i="27" s="1"/>
  <c r="U680" i="20"/>
  <c r="L101" i="27" s="1"/>
  <c r="D101" i="27" s="1"/>
  <c r="BT101" i="27" s="1"/>
  <c r="U679" i="20"/>
  <c r="L100" i="27" s="1"/>
  <c r="D100" i="27" s="1"/>
  <c r="BT100" i="27" s="1"/>
  <c r="U678" i="20"/>
  <c r="L99" i="27" s="1"/>
  <c r="D99" i="27" s="1"/>
  <c r="BT99" i="27" s="1"/>
  <c r="T681" i="20"/>
  <c r="K102" i="27" s="1"/>
  <c r="C102" i="27" s="1"/>
  <c r="T680" i="20"/>
  <c r="K101" i="27" s="1"/>
  <c r="C101" i="27" s="1"/>
  <c r="BS101" i="27" s="1"/>
  <c r="T679" i="20"/>
  <c r="K100" i="27" s="1"/>
  <c r="C100" i="27" s="1"/>
  <c r="BS100" i="27" s="1"/>
  <c r="T678" i="20"/>
  <c r="K99" i="27" s="1"/>
  <c r="C99" i="27" s="1"/>
  <c r="BS99" i="27" s="1"/>
  <c r="AE570" i="20"/>
  <c r="V75" i="27" s="1"/>
  <c r="AE569" i="20"/>
  <c r="V74" i="27" s="1"/>
  <c r="AE568" i="20"/>
  <c r="V73" i="27" s="1"/>
  <c r="AE567" i="20"/>
  <c r="V72" i="27" s="1"/>
  <c r="AD570" i="20"/>
  <c r="U75" i="27" s="1"/>
  <c r="AD569" i="20"/>
  <c r="U74" i="27" s="1"/>
  <c r="AD568" i="20"/>
  <c r="U73" i="27" s="1"/>
  <c r="AD567" i="20"/>
  <c r="U72" i="27" s="1"/>
  <c r="AC570" i="20"/>
  <c r="T75" i="27" s="1"/>
  <c r="AC569" i="20"/>
  <c r="T74" i="27" s="1"/>
  <c r="AC568" i="20"/>
  <c r="T73" i="27" s="1"/>
  <c r="AC567" i="20"/>
  <c r="T72" i="27" s="1"/>
  <c r="AB570" i="20"/>
  <c r="S75" i="27" s="1"/>
  <c r="AB569" i="20"/>
  <c r="S74" i="27" s="1"/>
  <c r="AB568" i="20"/>
  <c r="S73" i="27" s="1"/>
  <c r="AB567" i="20"/>
  <c r="S72" i="27" s="1"/>
  <c r="AA570" i="20"/>
  <c r="R75" i="27" s="1"/>
  <c r="AA569" i="20"/>
  <c r="R74" i="27" s="1"/>
  <c r="BV102" i="27" l="1"/>
  <c r="BU102" i="27"/>
  <c r="BS102" i="27"/>
  <c r="AE682" i="20"/>
  <c r="V103" i="27" s="1"/>
  <c r="AD682" i="20"/>
  <c r="U103" i="27" s="1"/>
  <c r="AC682" i="20"/>
  <c r="T103" i="27" s="1"/>
  <c r="AF681" i="20"/>
  <c r="W102" i="27" s="1"/>
  <c r="AB682" i="20"/>
  <c r="S103" i="27" s="1"/>
  <c r="AF680" i="20"/>
  <c r="W101" i="27" s="1"/>
  <c r="AF679" i="20"/>
  <c r="W100" i="27" s="1"/>
  <c r="AA682" i="20"/>
  <c r="R103" i="27" s="1"/>
  <c r="X682" i="20"/>
  <c r="O103" i="27" s="1"/>
  <c r="G103" i="27" s="1"/>
  <c r="W682" i="20"/>
  <c r="N103" i="27" s="1"/>
  <c r="F103" i="27" s="1"/>
  <c r="V682" i="20"/>
  <c r="M103" i="27" s="1"/>
  <c r="E103" i="27" s="1"/>
  <c r="Y681" i="20"/>
  <c r="P102" i="27" s="1"/>
  <c r="H102" i="27" s="1"/>
  <c r="Y680" i="20"/>
  <c r="P101" i="27" s="1"/>
  <c r="H101" i="27" s="1"/>
  <c r="Y679" i="20"/>
  <c r="P100" i="27" s="1"/>
  <c r="H100" i="27" s="1"/>
  <c r="U682" i="20"/>
  <c r="L103" i="27" s="1"/>
  <c r="D103" i="27" s="1"/>
  <c r="Y678" i="20"/>
  <c r="P99" i="27" s="1"/>
  <c r="H99" i="27" s="1"/>
  <c r="AF678" i="20"/>
  <c r="W99" i="27" s="1"/>
  <c r="T682" i="20"/>
  <c r="K103" i="27" s="1"/>
  <c r="C103" i="27" s="1"/>
  <c r="AA568" i="20"/>
  <c r="R73" i="27" s="1"/>
  <c r="AA567" i="20"/>
  <c r="R72" i="27" s="1"/>
  <c r="X570" i="20"/>
  <c r="O75" i="27" s="1"/>
  <c r="G75" i="27" s="1"/>
  <c r="BW75" i="27" s="1"/>
  <c r="X569" i="20"/>
  <c r="O74" i="27" s="1"/>
  <c r="G74" i="27" s="1"/>
  <c r="BW74" i="27" s="1"/>
  <c r="X568" i="20"/>
  <c r="O73" i="27" s="1"/>
  <c r="G73" i="27" s="1"/>
  <c r="BW73" i="27" s="1"/>
  <c r="X567" i="20"/>
  <c r="W569" i="20"/>
  <c r="N74" i="27" s="1"/>
  <c r="F74" i="27" s="1"/>
  <c r="BV74" i="27" s="1"/>
  <c r="W568" i="20"/>
  <c r="N73" i="27" s="1"/>
  <c r="F73" i="27" s="1"/>
  <c r="BV73" i="27" s="1"/>
  <c r="W567" i="20"/>
  <c r="N72" i="27" s="1"/>
  <c r="F72" i="27" s="1"/>
  <c r="BV72" i="27" s="1"/>
  <c r="V570" i="20"/>
  <c r="M75" i="27" s="1"/>
  <c r="E75" i="27" s="1"/>
  <c r="BU75" i="27" s="1"/>
  <c r="V569" i="20"/>
  <c r="M74" i="27" s="1"/>
  <c r="E74" i="27" s="1"/>
  <c r="BU74" i="27" s="1"/>
  <c r="V568" i="20"/>
  <c r="M73" i="27" s="1"/>
  <c r="E73" i="27" s="1"/>
  <c r="BU73" i="27" s="1"/>
  <c r="V567" i="20"/>
  <c r="M72" i="27" s="1"/>
  <c r="E72" i="27" s="1"/>
  <c r="BU72" i="27" s="1"/>
  <c r="U570" i="20"/>
  <c r="L75" i="27" s="1"/>
  <c r="D75" i="27" s="1"/>
  <c r="BT75" i="27" s="1"/>
  <c r="U569" i="20"/>
  <c r="L74" i="27" s="1"/>
  <c r="D74" i="27" s="1"/>
  <c r="BT74" i="27" s="1"/>
  <c r="U568" i="20"/>
  <c r="L73" i="27" s="1"/>
  <c r="D73" i="27" s="1"/>
  <c r="BT73" i="27" s="1"/>
  <c r="U567" i="20"/>
  <c r="L72" i="27" s="1"/>
  <c r="D72" i="27" s="1"/>
  <c r="BT72" i="27" s="1"/>
  <c r="T568" i="20"/>
  <c r="K73" i="27" s="1"/>
  <c r="C73" i="27" s="1"/>
  <c r="T570" i="20"/>
  <c r="K75" i="27" s="1"/>
  <c r="C75" i="27" s="1"/>
  <c r="BS75" i="27" s="1"/>
  <c r="T569" i="20"/>
  <c r="K74" i="27" s="1"/>
  <c r="C74" i="27" s="1"/>
  <c r="BS74" i="27" s="1"/>
  <c r="T567" i="20"/>
  <c r="K72" i="27" s="1"/>
  <c r="C72" i="27" s="1"/>
  <c r="AE945" i="20"/>
  <c r="V174" i="27" s="1"/>
  <c r="AD945" i="20"/>
  <c r="U174" i="27" s="1"/>
  <c r="AC945" i="20"/>
  <c r="T174" i="27" s="1"/>
  <c r="AB945" i="20"/>
  <c r="S174" i="27" s="1"/>
  <c r="AA945" i="20"/>
  <c r="R174" i="27" s="1"/>
  <c r="X945" i="20"/>
  <c r="O174" i="27" s="1"/>
  <c r="G174" i="27" s="1"/>
  <c r="W945" i="20"/>
  <c r="N174" i="27" s="1"/>
  <c r="F174" i="27" s="1"/>
  <c r="V945" i="20"/>
  <c r="M174" i="27" s="1"/>
  <c r="E174" i="27" s="1"/>
  <c r="U945" i="20"/>
  <c r="L174" i="27" s="1"/>
  <c r="D174" i="27" s="1"/>
  <c r="T945" i="20"/>
  <c r="K174" i="27" s="1"/>
  <c r="C174" i="27" s="1"/>
  <c r="AE944" i="20"/>
  <c r="V173" i="27" s="1"/>
  <c r="AD944" i="20"/>
  <c r="U173" i="27" s="1"/>
  <c r="AC944" i="20"/>
  <c r="T173" i="27" s="1"/>
  <c r="AB944" i="20"/>
  <c r="S173" i="27" s="1"/>
  <c r="AA944" i="20"/>
  <c r="R173" i="27" s="1"/>
  <c r="X944" i="20"/>
  <c r="O173" i="27" s="1"/>
  <c r="G173" i="27" s="1"/>
  <c r="W944" i="20"/>
  <c r="N173" i="27" s="1"/>
  <c r="F173" i="27" s="1"/>
  <c r="V944" i="20"/>
  <c r="M173" i="27" s="1"/>
  <c r="E173" i="27" s="1"/>
  <c r="U944" i="20"/>
  <c r="L173" i="27" s="1"/>
  <c r="D173" i="27" s="1"/>
  <c r="T944" i="20"/>
  <c r="AE943" i="20"/>
  <c r="V172" i="27" s="1"/>
  <c r="AD943" i="20"/>
  <c r="U172" i="27" s="1"/>
  <c r="AC943" i="20"/>
  <c r="T172" i="27" s="1"/>
  <c r="AB943" i="20"/>
  <c r="AA943" i="20"/>
  <c r="R172" i="27" s="1"/>
  <c r="X943" i="20"/>
  <c r="O172" i="27" s="1"/>
  <c r="G172" i="27" s="1"/>
  <c r="W943" i="20"/>
  <c r="N172" i="27" s="1"/>
  <c r="F172" i="27" s="1"/>
  <c r="V943" i="20"/>
  <c r="M172" i="27" s="1"/>
  <c r="E172" i="27" s="1"/>
  <c r="U943" i="20"/>
  <c r="L172" i="27" s="1"/>
  <c r="D172" i="27" s="1"/>
  <c r="T943" i="20"/>
  <c r="K172" i="27" s="1"/>
  <c r="C172" i="27" s="1"/>
  <c r="AE942" i="20"/>
  <c r="AD942" i="20"/>
  <c r="AC942" i="20"/>
  <c r="AB942" i="20"/>
  <c r="S171" i="27" s="1"/>
  <c r="AA942" i="20"/>
  <c r="X942" i="20"/>
  <c r="W942" i="20"/>
  <c r="V942" i="20"/>
  <c r="M171" i="27" s="1"/>
  <c r="E171" i="27" s="1"/>
  <c r="U942" i="20"/>
  <c r="T942" i="20"/>
  <c r="AE790" i="20"/>
  <c r="V129" i="27" s="1"/>
  <c r="AD790" i="20"/>
  <c r="U129" i="27" s="1"/>
  <c r="AC790" i="20"/>
  <c r="T129" i="27" s="1"/>
  <c r="AB790" i="20"/>
  <c r="S129" i="27" s="1"/>
  <c r="AA790" i="20"/>
  <c r="R129" i="27" s="1"/>
  <c r="X790" i="20"/>
  <c r="O129" i="27" s="1"/>
  <c r="G129" i="27" s="1"/>
  <c r="W790" i="20"/>
  <c r="N129" i="27" s="1"/>
  <c r="F129" i="27" s="1"/>
  <c r="V790" i="20"/>
  <c r="M129" i="27" s="1"/>
  <c r="E129" i="27" s="1"/>
  <c r="U790" i="20"/>
  <c r="L129" i="27" s="1"/>
  <c r="D129" i="27" s="1"/>
  <c r="T790" i="20"/>
  <c r="K129" i="27" s="1"/>
  <c r="C129" i="27" s="1"/>
  <c r="AE789" i="20"/>
  <c r="V128" i="27" s="1"/>
  <c r="AD789" i="20"/>
  <c r="U128" i="27" s="1"/>
  <c r="AC789" i="20"/>
  <c r="T128" i="27" s="1"/>
  <c r="AB789" i="20"/>
  <c r="S128" i="27" s="1"/>
  <c r="AA789" i="20"/>
  <c r="R128" i="27" s="1"/>
  <c r="X789" i="20"/>
  <c r="O128" i="27" s="1"/>
  <c r="G128" i="27" s="1"/>
  <c r="W789" i="20"/>
  <c r="N128" i="27" s="1"/>
  <c r="F128" i="27" s="1"/>
  <c r="V789" i="20"/>
  <c r="M128" i="27" s="1"/>
  <c r="E128" i="27" s="1"/>
  <c r="U789" i="20"/>
  <c r="L128" i="27" s="1"/>
  <c r="D128" i="27" s="1"/>
  <c r="T789" i="20"/>
  <c r="AE788" i="20"/>
  <c r="V127" i="27" s="1"/>
  <c r="AD788" i="20"/>
  <c r="U127" i="27" s="1"/>
  <c r="AC788" i="20"/>
  <c r="T127" i="27" s="1"/>
  <c r="AB788" i="20"/>
  <c r="S127" i="27" s="1"/>
  <c r="AA788" i="20"/>
  <c r="R127" i="27" s="1"/>
  <c r="X788" i="20"/>
  <c r="O127" i="27" s="1"/>
  <c r="G127" i="27" s="1"/>
  <c r="W788" i="20"/>
  <c r="N127" i="27" s="1"/>
  <c r="F127" i="27" s="1"/>
  <c r="V788" i="20"/>
  <c r="M127" i="27" s="1"/>
  <c r="E127" i="27" s="1"/>
  <c r="U788" i="20"/>
  <c r="L127" i="27" s="1"/>
  <c r="D127" i="27" s="1"/>
  <c r="T788" i="20"/>
  <c r="K127" i="27" s="1"/>
  <c r="C127" i="27" s="1"/>
  <c r="AE787" i="20"/>
  <c r="AD787" i="20"/>
  <c r="AC787" i="20"/>
  <c r="AB787" i="20"/>
  <c r="S126" i="27" s="1"/>
  <c r="AA787" i="20"/>
  <c r="R126" i="27" s="1"/>
  <c r="X787" i="20"/>
  <c r="W787" i="20"/>
  <c r="V787" i="20"/>
  <c r="M126" i="27" s="1"/>
  <c r="E126" i="27" s="1"/>
  <c r="U787" i="20"/>
  <c r="T787" i="20"/>
  <c r="V120" i="27"/>
  <c r="T120" i="27"/>
  <c r="S120" i="27"/>
  <c r="R120" i="27"/>
  <c r="O120" i="27"/>
  <c r="G120" i="27" s="1"/>
  <c r="M120" i="27"/>
  <c r="E120" i="27" s="1"/>
  <c r="L120" i="27"/>
  <c r="D120" i="27" s="1"/>
  <c r="K120" i="27"/>
  <c r="C120" i="27" s="1"/>
  <c r="V119" i="27"/>
  <c r="U119" i="27"/>
  <c r="T119" i="27"/>
  <c r="S119" i="27"/>
  <c r="R119" i="27"/>
  <c r="O119" i="27"/>
  <c r="G119" i="27" s="1"/>
  <c r="N119" i="27"/>
  <c r="F119" i="27" s="1"/>
  <c r="M119" i="27"/>
  <c r="E119" i="27" s="1"/>
  <c r="L119" i="27"/>
  <c r="D119" i="27" s="1"/>
  <c r="V118" i="27"/>
  <c r="U118" i="27"/>
  <c r="T118" i="27"/>
  <c r="S118" i="27"/>
  <c r="R118" i="27"/>
  <c r="O118" i="27"/>
  <c r="G118" i="27" s="1"/>
  <c r="N118" i="27"/>
  <c r="F118" i="27" s="1"/>
  <c r="M118" i="27"/>
  <c r="E118" i="27" s="1"/>
  <c r="L118" i="27"/>
  <c r="D118" i="27" s="1"/>
  <c r="K118" i="27"/>
  <c r="C118" i="27" s="1"/>
  <c r="U117" i="27"/>
  <c r="S117" i="27"/>
  <c r="R117" i="27"/>
  <c r="N117" i="27"/>
  <c r="F117" i="27" s="1"/>
  <c r="M117" i="27"/>
  <c r="E117" i="27" s="1"/>
  <c r="AE700" i="20"/>
  <c r="V111" i="27" s="1"/>
  <c r="AD700" i="20"/>
  <c r="U111" i="27" s="1"/>
  <c r="AC700" i="20"/>
  <c r="T111" i="27" s="1"/>
  <c r="AB700" i="20"/>
  <c r="AA700" i="20"/>
  <c r="R111" i="27" s="1"/>
  <c r="X700" i="20"/>
  <c r="O111" i="27" s="1"/>
  <c r="G111" i="27" s="1"/>
  <c r="W700" i="20"/>
  <c r="N111" i="27" s="1"/>
  <c r="F111" i="27" s="1"/>
  <c r="V700" i="20"/>
  <c r="M111" i="27" s="1"/>
  <c r="E111" i="27" s="1"/>
  <c r="U700" i="20"/>
  <c r="L111" i="27" s="1"/>
  <c r="D111" i="27" s="1"/>
  <c r="T700" i="20"/>
  <c r="K111" i="27" s="1"/>
  <c r="C111" i="27" s="1"/>
  <c r="AE699" i="20"/>
  <c r="V110" i="27" s="1"/>
  <c r="AD699" i="20"/>
  <c r="U110" i="27" s="1"/>
  <c r="AC699" i="20"/>
  <c r="T110" i="27" s="1"/>
  <c r="AB699" i="20"/>
  <c r="S110" i="27" s="1"/>
  <c r="AA699" i="20"/>
  <c r="R110" i="27" s="1"/>
  <c r="X699" i="20"/>
  <c r="O110" i="27" s="1"/>
  <c r="G110" i="27" s="1"/>
  <c r="W699" i="20"/>
  <c r="N110" i="27" s="1"/>
  <c r="F110" i="27" s="1"/>
  <c r="V699" i="20"/>
  <c r="M110" i="27" s="1"/>
  <c r="E110" i="27" s="1"/>
  <c r="U699" i="20"/>
  <c r="L110" i="27" s="1"/>
  <c r="D110" i="27" s="1"/>
  <c r="T699" i="20"/>
  <c r="AE698" i="20"/>
  <c r="V109" i="27" s="1"/>
  <c r="AD698" i="20"/>
  <c r="U109" i="27" s="1"/>
  <c r="AC698" i="20"/>
  <c r="T109" i="27" s="1"/>
  <c r="AB698" i="20"/>
  <c r="AA698" i="20"/>
  <c r="R109" i="27" s="1"/>
  <c r="X698" i="20"/>
  <c r="O109" i="27" s="1"/>
  <c r="G109" i="27" s="1"/>
  <c r="W698" i="20"/>
  <c r="N109" i="27" s="1"/>
  <c r="F109" i="27" s="1"/>
  <c r="V698" i="20"/>
  <c r="M109" i="27" s="1"/>
  <c r="E109" i="27" s="1"/>
  <c r="U698" i="20"/>
  <c r="L109" i="27" s="1"/>
  <c r="D109" i="27" s="1"/>
  <c r="T698" i="20"/>
  <c r="K109" i="27" s="1"/>
  <c r="C109" i="27" s="1"/>
  <c r="AE697" i="20"/>
  <c r="AD697" i="20"/>
  <c r="AC697" i="20"/>
  <c r="AB697" i="20"/>
  <c r="S108" i="27" s="1"/>
  <c r="AA697" i="20"/>
  <c r="X697" i="20"/>
  <c r="W697" i="20"/>
  <c r="V697" i="20"/>
  <c r="M108" i="27" s="1"/>
  <c r="E108" i="27" s="1"/>
  <c r="U697" i="20"/>
  <c r="T697" i="20"/>
  <c r="AE608" i="20"/>
  <c r="V93" i="27" s="1"/>
  <c r="AD608" i="20"/>
  <c r="U93" i="27" s="1"/>
  <c r="AC608" i="20"/>
  <c r="T93" i="27" s="1"/>
  <c r="AB608" i="20"/>
  <c r="S93" i="27" s="1"/>
  <c r="AA608" i="20"/>
  <c r="R93" i="27" s="1"/>
  <c r="X608" i="20"/>
  <c r="O93" i="27" s="1"/>
  <c r="G93" i="27" s="1"/>
  <c r="W608" i="20"/>
  <c r="N93" i="27" s="1"/>
  <c r="F93" i="27" s="1"/>
  <c r="V608" i="20"/>
  <c r="M93" i="27" s="1"/>
  <c r="E93" i="27" s="1"/>
  <c r="U608" i="20"/>
  <c r="L93" i="27" s="1"/>
  <c r="D93" i="27" s="1"/>
  <c r="T608" i="20"/>
  <c r="K93" i="27" s="1"/>
  <c r="C93" i="27" s="1"/>
  <c r="AE607" i="20"/>
  <c r="V92" i="27" s="1"/>
  <c r="AD607" i="20"/>
  <c r="U92" i="27" s="1"/>
  <c r="AC607" i="20"/>
  <c r="T92" i="27" s="1"/>
  <c r="AB607" i="20"/>
  <c r="S92" i="27" s="1"/>
  <c r="AA607" i="20"/>
  <c r="R92" i="27" s="1"/>
  <c r="X607" i="20"/>
  <c r="O92" i="27" s="1"/>
  <c r="G92" i="27" s="1"/>
  <c r="W607" i="20"/>
  <c r="N92" i="27" s="1"/>
  <c r="F92" i="27" s="1"/>
  <c r="V607" i="20"/>
  <c r="M92" i="27" s="1"/>
  <c r="E92" i="27" s="1"/>
  <c r="U607" i="20"/>
  <c r="L92" i="27" s="1"/>
  <c r="D92" i="27" s="1"/>
  <c r="T607" i="20"/>
  <c r="AE606" i="20"/>
  <c r="V91" i="27" s="1"/>
  <c r="AD606" i="20"/>
  <c r="U91" i="27" s="1"/>
  <c r="AC606" i="20"/>
  <c r="T91" i="27" s="1"/>
  <c r="AB606" i="20"/>
  <c r="S91" i="27" s="1"/>
  <c r="AA606" i="20"/>
  <c r="R91" i="27" s="1"/>
  <c r="X606" i="20"/>
  <c r="O91" i="27" s="1"/>
  <c r="G91" i="27" s="1"/>
  <c r="W606" i="20"/>
  <c r="N91" i="27" s="1"/>
  <c r="F91" i="27" s="1"/>
  <c r="V606" i="20"/>
  <c r="M91" i="27" s="1"/>
  <c r="E91" i="27" s="1"/>
  <c r="U606" i="20"/>
  <c r="L91" i="27" s="1"/>
  <c r="D91" i="27" s="1"/>
  <c r="T606" i="20"/>
  <c r="K91" i="27" s="1"/>
  <c r="C91" i="27" s="1"/>
  <c r="AE605" i="20"/>
  <c r="AD605" i="20"/>
  <c r="AC605" i="20"/>
  <c r="AB605" i="20"/>
  <c r="S90" i="27" s="1"/>
  <c r="AA605" i="20"/>
  <c r="R90" i="27" s="1"/>
  <c r="X605" i="20"/>
  <c r="W605" i="20"/>
  <c r="V605" i="20"/>
  <c r="M90" i="27" s="1"/>
  <c r="E90" i="27" s="1"/>
  <c r="U605" i="20"/>
  <c r="T605" i="20"/>
  <c r="AE584" i="20"/>
  <c r="V84" i="27" s="1"/>
  <c r="AD584" i="20"/>
  <c r="U84" i="27" s="1"/>
  <c r="AC584" i="20"/>
  <c r="T84" i="27" s="1"/>
  <c r="AB584" i="20"/>
  <c r="S84" i="27" s="1"/>
  <c r="AA584" i="20"/>
  <c r="R84" i="27" s="1"/>
  <c r="X584" i="20"/>
  <c r="O84" i="27" s="1"/>
  <c r="G84" i="27" s="1"/>
  <c r="W584" i="20"/>
  <c r="N84" i="27" s="1"/>
  <c r="F84" i="27" s="1"/>
  <c r="V584" i="20"/>
  <c r="M84" i="27" s="1"/>
  <c r="E84" i="27" s="1"/>
  <c r="U584" i="20"/>
  <c r="L84" i="27" s="1"/>
  <c r="D84" i="27" s="1"/>
  <c r="T584" i="20"/>
  <c r="K84" i="27" s="1"/>
  <c r="C84" i="27" s="1"/>
  <c r="AE583" i="20"/>
  <c r="V83" i="27" s="1"/>
  <c r="AD583" i="20"/>
  <c r="U83" i="27" s="1"/>
  <c r="AC583" i="20"/>
  <c r="T83" i="27" s="1"/>
  <c r="AB583" i="20"/>
  <c r="S83" i="27" s="1"/>
  <c r="AA583" i="20"/>
  <c r="R83" i="27" s="1"/>
  <c r="X583" i="20"/>
  <c r="O83" i="27" s="1"/>
  <c r="G83" i="27" s="1"/>
  <c r="W583" i="20"/>
  <c r="N83" i="27" s="1"/>
  <c r="F83" i="27" s="1"/>
  <c r="V583" i="20"/>
  <c r="M83" i="27" s="1"/>
  <c r="E83" i="27" s="1"/>
  <c r="U583" i="20"/>
  <c r="L83" i="27" s="1"/>
  <c r="D83" i="27" s="1"/>
  <c r="T583" i="20"/>
  <c r="AE582" i="20"/>
  <c r="V82" i="27" s="1"/>
  <c r="AD582" i="20"/>
  <c r="U82" i="27" s="1"/>
  <c r="AC582" i="20"/>
  <c r="T82" i="27" s="1"/>
  <c r="AB582" i="20"/>
  <c r="S82" i="27" s="1"/>
  <c r="AA582" i="20"/>
  <c r="R82" i="27" s="1"/>
  <c r="X582" i="20"/>
  <c r="O82" i="27" s="1"/>
  <c r="G82" i="27" s="1"/>
  <c r="W582" i="20"/>
  <c r="N82" i="27" s="1"/>
  <c r="F82" i="27" s="1"/>
  <c r="V582" i="20"/>
  <c r="M82" i="27" s="1"/>
  <c r="E82" i="27" s="1"/>
  <c r="U582" i="20"/>
  <c r="L82" i="27" s="1"/>
  <c r="D82" i="27" s="1"/>
  <c r="T582" i="20"/>
  <c r="K82" i="27" s="1"/>
  <c r="C82" i="27" s="1"/>
  <c r="AE581" i="20"/>
  <c r="AD581" i="20"/>
  <c r="AC581" i="20"/>
  <c r="AB581" i="20"/>
  <c r="S81" i="27" s="1"/>
  <c r="AA581" i="20"/>
  <c r="R81" i="27" s="1"/>
  <c r="X581" i="20"/>
  <c r="W581" i="20"/>
  <c r="V581" i="20"/>
  <c r="M81" i="27" s="1"/>
  <c r="E81" i="27" s="1"/>
  <c r="U581" i="20"/>
  <c r="T581" i="20"/>
  <c r="AF570" i="20"/>
  <c r="W75" i="27" s="1"/>
  <c r="AF569" i="20"/>
  <c r="W74" i="27" s="1"/>
  <c r="AE571" i="20"/>
  <c r="V76" i="27" s="1"/>
  <c r="AD571" i="20"/>
  <c r="U76" i="27" s="1"/>
  <c r="AC571" i="20"/>
  <c r="T76" i="27" s="1"/>
  <c r="AB571" i="20"/>
  <c r="S76" i="27" s="1"/>
  <c r="AE459" i="20"/>
  <c r="AE458" i="20"/>
  <c r="V56" i="27" s="1"/>
  <c r="AE457" i="20"/>
  <c r="V55" i="27" s="1"/>
  <c r="AE456" i="20"/>
  <c r="V54" i="27" s="1"/>
  <c r="AD459" i="20"/>
  <c r="U57" i="27" s="1"/>
  <c r="AD458" i="20"/>
  <c r="U56" i="27" s="1"/>
  <c r="AD457" i="20"/>
  <c r="U55" i="27" s="1"/>
  <c r="AD456" i="20"/>
  <c r="U54" i="27" s="1"/>
  <c r="AC459" i="20"/>
  <c r="AC458" i="20"/>
  <c r="T56" i="27" s="1"/>
  <c r="AC457" i="20"/>
  <c r="T55" i="27" s="1"/>
  <c r="AC456" i="20"/>
  <c r="T54" i="27" s="1"/>
  <c r="AB459" i="20"/>
  <c r="S57" i="27" s="1"/>
  <c r="AB458" i="20"/>
  <c r="S56" i="27" s="1"/>
  <c r="AB457" i="20"/>
  <c r="S55" i="27" s="1"/>
  <c r="AB456" i="20"/>
  <c r="S54" i="27" s="1"/>
  <c r="AA459" i="20"/>
  <c r="R57" i="27" s="1"/>
  <c r="AA458" i="20"/>
  <c r="R56" i="27" s="1"/>
  <c r="AA457" i="20"/>
  <c r="R55" i="27" s="1"/>
  <c r="AA456" i="20"/>
  <c r="X459" i="20"/>
  <c r="X458" i="20"/>
  <c r="O56" i="27" s="1"/>
  <c r="G56" i="27" s="1"/>
  <c r="BW56" i="27" s="1"/>
  <c r="X457" i="20"/>
  <c r="O55" i="27" s="1"/>
  <c r="G55" i="27" s="1"/>
  <c r="BW55" i="27" s="1"/>
  <c r="X456" i="20"/>
  <c r="O54" i="27" s="1"/>
  <c r="G54" i="27" s="1"/>
  <c r="BW54" i="27" s="1"/>
  <c r="W459" i="20"/>
  <c r="W458" i="20"/>
  <c r="N56" i="27" s="1"/>
  <c r="F56" i="27" s="1"/>
  <c r="BV56" i="27" s="1"/>
  <c r="W457" i="20"/>
  <c r="N55" i="27" s="1"/>
  <c r="F55" i="27" s="1"/>
  <c r="BV55" i="27" s="1"/>
  <c r="W456" i="20"/>
  <c r="N54" i="27" s="1"/>
  <c r="F54" i="27" s="1"/>
  <c r="BV54" i="27" s="1"/>
  <c r="V459" i="20"/>
  <c r="M57" i="27" s="1"/>
  <c r="E57" i="27" s="1"/>
  <c r="V458" i="20"/>
  <c r="M56" i="27" s="1"/>
  <c r="E56" i="27" s="1"/>
  <c r="BU56" i="27" s="1"/>
  <c r="V457" i="20"/>
  <c r="M55" i="27" s="1"/>
  <c r="E55" i="27" s="1"/>
  <c r="BU55" i="27" s="1"/>
  <c r="V456" i="20"/>
  <c r="M54" i="27" s="1"/>
  <c r="E54" i="27" s="1"/>
  <c r="BU54" i="27" s="1"/>
  <c r="U459" i="20"/>
  <c r="U458" i="20"/>
  <c r="L56" i="27" s="1"/>
  <c r="D56" i="27" s="1"/>
  <c r="BT56" i="27" s="1"/>
  <c r="U457" i="20"/>
  <c r="L55" i="27" s="1"/>
  <c r="D55" i="27" s="1"/>
  <c r="BT55" i="27" s="1"/>
  <c r="U456" i="20"/>
  <c r="L54" i="27" s="1"/>
  <c r="D54" i="27" s="1"/>
  <c r="BT54" i="27" s="1"/>
  <c r="T459" i="20"/>
  <c r="T458" i="20"/>
  <c r="T457" i="20"/>
  <c r="T456" i="20"/>
  <c r="K54" i="27" s="1"/>
  <c r="C54" i="27" s="1"/>
  <c r="AE411" i="20"/>
  <c r="V39" i="27" s="1"/>
  <c r="AD411" i="20"/>
  <c r="U39" i="27" s="1"/>
  <c r="AC411" i="20"/>
  <c r="T39" i="27" s="1"/>
  <c r="AB411" i="20"/>
  <c r="S39" i="27" s="1"/>
  <c r="AA411" i="20"/>
  <c r="X411" i="20"/>
  <c r="O39" i="27" s="1"/>
  <c r="G39" i="27" s="1"/>
  <c r="W411" i="20"/>
  <c r="N39" i="27" s="1"/>
  <c r="F39" i="27" s="1"/>
  <c r="V411" i="20"/>
  <c r="M39" i="27" s="1"/>
  <c r="E39" i="27" s="1"/>
  <c r="U411" i="20"/>
  <c r="L39" i="27" s="1"/>
  <c r="D39" i="27" s="1"/>
  <c r="T411" i="20"/>
  <c r="K39" i="27" s="1"/>
  <c r="C39" i="27" s="1"/>
  <c r="AE410" i="20"/>
  <c r="V38" i="27" s="1"/>
  <c r="AD410" i="20"/>
  <c r="U38" i="27" s="1"/>
  <c r="AC410" i="20"/>
  <c r="T38" i="27" s="1"/>
  <c r="AB410" i="20"/>
  <c r="S38" i="27" s="1"/>
  <c r="AA410" i="20"/>
  <c r="R38" i="27" s="1"/>
  <c r="X410" i="20"/>
  <c r="O38" i="27" s="1"/>
  <c r="G38" i="27" s="1"/>
  <c r="W410" i="20"/>
  <c r="N38" i="27" s="1"/>
  <c r="F38" i="27" s="1"/>
  <c r="V410" i="20"/>
  <c r="M38" i="27" s="1"/>
  <c r="E38" i="27" s="1"/>
  <c r="U410" i="20"/>
  <c r="L38" i="27" s="1"/>
  <c r="D38" i="27" s="1"/>
  <c r="T410" i="20"/>
  <c r="K38" i="27" s="1"/>
  <c r="C38" i="27" s="1"/>
  <c r="AE409" i="20"/>
  <c r="V37" i="27" s="1"/>
  <c r="AD409" i="20"/>
  <c r="U37" i="27" s="1"/>
  <c r="AC409" i="20"/>
  <c r="T37" i="27" s="1"/>
  <c r="AB409" i="20"/>
  <c r="S37" i="27" s="1"/>
  <c r="AA409" i="20"/>
  <c r="X409" i="20"/>
  <c r="O37" i="27" s="1"/>
  <c r="G37" i="27" s="1"/>
  <c r="W409" i="20"/>
  <c r="N37" i="27" s="1"/>
  <c r="F37" i="27" s="1"/>
  <c r="V409" i="20"/>
  <c r="M37" i="27" s="1"/>
  <c r="E37" i="27" s="1"/>
  <c r="U409" i="20"/>
  <c r="L37" i="27" s="1"/>
  <c r="D37" i="27" s="1"/>
  <c r="T409" i="20"/>
  <c r="K37" i="27" s="1"/>
  <c r="C37" i="27" s="1"/>
  <c r="AE408" i="20"/>
  <c r="V36" i="27" s="1"/>
  <c r="AD408" i="20"/>
  <c r="AC408" i="20"/>
  <c r="AB408" i="20"/>
  <c r="AA408" i="20"/>
  <c r="R36" i="27" s="1"/>
  <c r="X408" i="20"/>
  <c r="W408" i="20"/>
  <c r="V408" i="20"/>
  <c r="U408" i="20"/>
  <c r="L36" i="27" s="1"/>
  <c r="D36" i="27" s="1"/>
  <c r="T408" i="20"/>
  <c r="K36" i="27" s="1"/>
  <c r="C36" i="27" s="1"/>
  <c r="AE427" i="20"/>
  <c r="V48" i="27" s="1"/>
  <c r="AD427" i="20"/>
  <c r="U48" i="27" s="1"/>
  <c r="AC427" i="20"/>
  <c r="T48" i="27" s="1"/>
  <c r="AB427" i="20"/>
  <c r="S48" i="27" s="1"/>
  <c r="AA427" i="20"/>
  <c r="X427" i="20"/>
  <c r="O48" i="27" s="1"/>
  <c r="G48" i="27" s="1"/>
  <c r="W427" i="20"/>
  <c r="N48" i="27" s="1"/>
  <c r="F48" i="27" s="1"/>
  <c r="V427" i="20"/>
  <c r="M48" i="27" s="1"/>
  <c r="E48" i="27" s="1"/>
  <c r="U427" i="20"/>
  <c r="L48" i="27" s="1"/>
  <c r="D48" i="27" s="1"/>
  <c r="T427" i="20"/>
  <c r="K48" i="27" s="1"/>
  <c r="C48" i="27" s="1"/>
  <c r="AE426" i="20"/>
  <c r="V47" i="27" s="1"/>
  <c r="AD426" i="20"/>
  <c r="U47" i="27" s="1"/>
  <c r="AC426" i="20"/>
  <c r="T47" i="27" s="1"/>
  <c r="AB426" i="20"/>
  <c r="S47" i="27" s="1"/>
  <c r="AA426" i="20"/>
  <c r="R47" i="27" s="1"/>
  <c r="X426" i="20"/>
  <c r="O47" i="27" s="1"/>
  <c r="G47" i="27" s="1"/>
  <c r="W426" i="20"/>
  <c r="N47" i="27" s="1"/>
  <c r="F47" i="27" s="1"/>
  <c r="V426" i="20"/>
  <c r="M47" i="27" s="1"/>
  <c r="E47" i="27" s="1"/>
  <c r="U426" i="20"/>
  <c r="L47" i="27" s="1"/>
  <c r="D47" i="27" s="1"/>
  <c r="T426" i="20"/>
  <c r="K47" i="27" s="1"/>
  <c r="C47" i="27" s="1"/>
  <c r="AE425" i="20"/>
  <c r="V46" i="27" s="1"/>
  <c r="AD425" i="20"/>
  <c r="U46" i="27" s="1"/>
  <c r="AC425" i="20"/>
  <c r="T46" i="27" s="1"/>
  <c r="AB425" i="20"/>
  <c r="S46" i="27" s="1"/>
  <c r="AA425" i="20"/>
  <c r="X425" i="20"/>
  <c r="O46" i="27" s="1"/>
  <c r="G46" i="27" s="1"/>
  <c r="W425" i="20"/>
  <c r="N46" i="27" s="1"/>
  <c r="F46" i="27" s="1"/>
  <c r="V425" i="20"/>
  <c r="M46" i="27" s="1"/>
  <c r="E46" i="27" s="1"/>
  <c r="U425" i="20"/>
  <c r="L46" i="27" s="1"/>
  <c r="D46" i="27" s="1"/>
  <c r="T425" i="20"/>
  <c r="K46" i="27" s="1"/>
  <c r="C46" i="27" s="1"/>
  <c r="AE424" i="20"/>
  <c r="V45" i="27" s="1"/>
  <c r="AD424" i="20"/>
  <c r="AC424" i="20"/>
  <c r="AB424" i="20"/>
  <c r="AA424" i="20"/>
  <c r="R45" i="27" s="1"/>
  <c r="X424" i="20"/>
  <c r="W424" i="20"/>
  <c r="V424" i="20"/>
  <c r="U424" i="20"/>
  <c r="L45" i="27" s="1"/>
  <c r="D45" i="27" s="1"/>
  <c r="T424" i="20"/>
  <c r="K45" i="27" s="1"/>
  <c r="C45" i="27" s="1"/>
  <c r="AE356" i="20"/>
  <c r="BO12" i="27" s="1"/>
  <c r="AD356" i="20"/>
  <c r="BN12" i="27" s="1"/>
  <c r="AC356" i="20"/>
  <c r="BM12" i="27" s="1"/>
  <c r="AB356" i="20"/>
  <c r="BL12" i="27" s="1"/>
  <c r="AA356" i="20"/>
  <c r="X356" i="20"/>
  <c r="BH12" i="27" s="1"/>
  <c r="W356" i="20"/>
  <c r="BG12" i="27" s="1"/>
  <c r="V356" i="20"/>
  <c r="BF12" i="27" s="1"/>
  <c r="U356" i="20"/>
  <c r="BE12" i="27" s="1"/>
  <c r="T356" i="20"/>
  <c r="BD12" i="27" s="1"/>
  <c r="AE355" i="20"/>
  <c r="BO11" i="27" s="1"/>
  <c r="AD355" i="20"/>
  <c r="BN11" i="27" s="1"/>
  <c r="AC355" i="20"/>
  <c r="BM11" i="27" s="1"/>
  <c r="AB355" i="20"/>
  <c r="BL11" i="27" s="1"/>
  <c r="AA355" i="20"/>
  <c r="BK11" i="27" s="1"/>
  <c r="X355" i="20"/>
  <c r="BH11" i="27" s="1"/>
  <c r="W355" i="20"/>
  <c r="BG11" i="27" s="1"/>
  <c r="V355" i="20"/>
  <c r="BF11" i="27" s="1"/>
  <c r="U355" i="20"/>
  <c r="BE11" i="27" s="1"/>
  <c r="T355" i="20"/>
  <c r="BD11" i="27" s="1"/>
  <c r="AE354" i="20"/>
  <c r="BO10" i="27" s="1"/>
  <c r="AD354" i="20"/>
  <c r="BN10" i="27" s="1"/>
  <c r="AC354" i="20"/>
  <c r="BM10" i="27" s="1"/>
  <c r="AB354" i="20"/>
  <c r="BL10" i="27" s="1"/>
  <c r="AA354" i="20"/>
  <c r="X354" i="20"/>
  <c r="BH10" i="27" s="1"/>
  <c r="W354" i="20"/>
  <c r="BG10" i="27" s="1"/>
  <c r="V354" i="20"/>
  <c r="BF10" i="27" s="1"/>
  <c r="U354" i="20"/>
  <c r="BE10" i="27" s="1"/>
  <c r="T354" i="20"/>
  <c r="BD10" i="27" s="1"/>
  <c r="AE353" i="20"/>
  <c r="BO9" i="27" s="1"/>
  <c r="AD353" i="20"/>
  <c r="AC353" i="20"/>
  <c r="AB353" i="20"/>
  <c r="AA353" i="20"/>
  <c r="BK9" i="27" s="1"/>
  <c r="X353" i="20"/>
  <c r="W353" i="20"/>
  <c r="V353" i="20"/>
  <c r="U353" i="20"/>
  <c r="BE9" i="27" s="1"/>
  <c r="T353" i="20"/>
  <c r="AE378" i="20"/>
  <c r="V21" i="27" s="1"/>
  <c r="AD378" i="20"/>
  <c r="U21" i="27" s="1"/>
  <c r="AC378" i="20"/>
  <c r="T21" i="27" s="1"/>
  <c r="AB378" i="20"/>
  <c r="S21" i="27" s="1"/>
  <c r="AA378" i="20"/>
  <c r="X378" i="20"/>
  <c r="O21" i="27" s="1"/>
  <c r="G21" i="27" s="1"/>
  <c r="W378" i="20"/>
  <c r="N21" i="27" s="1"/>
  <c r="F21" i="27" s="1"/>
  <c r="V378" i="20"/>
  <c r="M21" i="27" s="1"/>
  <c r="E21" i="27" s="1"/>
  <c r="U378" i="20"/>
  <c r="L21" i="27" s="1"/>
  <c r="D21" i="27" s="1"/>
  <c r="T378" i="20"/>
  <c r="K21" i="27" s="1"/>
  <c r="C21" i="27" s="1"/>
  <c r="AE377" i="20"/>
  <c r="V20" i="27" s="1"/>
  <c r="AD377" i="20"/>
  <c r="U20" i="27" s="1"/>
  <c r="AC377" i="20"/>
  <c r="T20" i="27" s="1"/>
  <c r="AB377" i="20"/>
  <c r="S20" i="27" s="1"/>
  <c r="AA377" i="20"/>
  <c r="R20" i="27" s="1"/>
  <c r="X377" i="20"/>
  <c r="O20" i="27" s="1"/>
  <c r="G20" i="27" s="1"/>
  <c r="W377" i="20"/>
  <c r="N20" i="27" s="1"/>
  <c r="F20" i="27" s="1"/>
  <c r="V377" i="20"/>
  <c r="M20" i="27" s="1"/>
  <c r="E20" i="27" s="1"/>
  <c r="U377" i="20"/>
  <c r="L20" i="27" s="1"/>
  <c r="D20" i="27" s="1"/>
  <c r="T377" i="20"/>
  <c r="K20" i="27" s="1"/>
  <c r="C20" i="27" s="1"/>
  <c r="AE376" i="20"/>
  <c r="V19" i="27" s="1"/>
  <c r="AD376" i="20"/>
  <c r="U19" i="27" s="1"/>
  <c r="AC376" i="20"/>
  <c r="T19" i="27" s="1"/>
  <c r="AB376" i="20"/>
  <c r="S19" i="27" s="1"/>
  <c r="AA376" i="20"/>
  <c r="X376" i="20"/>
  <c r="O19" i="27" s="1"/>
  <c r="G19" i="27" s="1"/>
  <c r="W376" i="20"/>
  <c r="N19" i="27" s="1"/>
  <c r="F19" i="27" s="1"/>
  <c r="V376" i="20"/>
  <c r="M19" i="27" s="1"/>
  <c r="E19" i="27" s="1"/>
  <c r="U376" i="20"/>
  <c r="L19" i="27" s="1"/>
  <c r="D19" i="27" s="1"/>
  <c r="T376" i="20"/>
  <c r="K19" i="27" s="1"/>
  <c r="C19" i="27" s="1"/>
  <c r="AE375" i="20"/>
  <c r="V18" i="27" s="1"/>
  <c r="AD375" i="20"/>
  <c r="AC375" i="20"/>
  <c r="AB375" i="20"/>
  <c r="AA375" i="20"/>
  <c r="R18" i="27" s="1"/>
  <c r="X375" i="20"/>
  <c r="W375" i="20"/>
  <c r="V375" i="20"/>
  <c r="U375" i="20"/>
  <c r="L18" i="27" s="1"/>
  <c r="D18" i="27" s="1"/>
  <c r="T375" i="20"/>
  <c r="AE397" i="20"/>
  <c r="V30" i="27" s="1"/>
  <c r="AE396" i="20"/>
  <c r="V29" i="27" s="1"/>
  <c r="AE395" i="20"/>
  <c r="V28" i="27" s="1"/>
  <c r="AE394" i="20"/>
  <c r="V27" i="27" s="1"/>
  <c r="AD397" i="20"/>
  <c r="U30" i="27" s="1"/>
  <c r="AD396" i="20"/>
  <c r="U29" i="27" s="1"/>
  <c r="AD395" i="20"/>
  <c r="U28" i="27" s="1"/>
  <c r="AD394" i="20"/>
  <c r="U27" i="27" s="1"/>
  <c r="AC397" i="20"/>
  <c r="T30" i="27" s="1"/>
  <c r="AC396" i="20"/>
  <c r="T29" i="27" s="1"/>
  <c r="AC395" i="20"/>
  <c r="T28" i="27" s="1"/>
  <c r="AC394" i="20"/>
  <c r="T27" i="27" s="1"/>
  <c r="AB397" i="20"/>
  <c r="S30" i="27" s="1"/>
  <c r="AB396" i="20"/>
  <c r="S29" i="27" s="1"/>
  <c r="AB395" i="20"/>
  <c r="S28" i="27" s="1"/>
  <c r="AB394" i="20"/>
  <c r="S27" i="27" s="1"/>
  <c r="AA397" i="20"/>
  <c r="R30" i="27" s="1"/>
  <c r="AA396" i="20"/>
  <c r="R29" i="27" s="1"/>
  <c r="AA395" i="20"/>
  <c r="R28" i="27" s="1"/>
  <c r="AA394" i="20"/>
  <c r="R27" i="27" s="1"/>
  <c r="X397" i="20"/>
  <c r="X396" i="20"/>
  <c r="O29" i="27" s="1"/>
  <c r="G29" i="27" s="1"/>
  <c r="BW29" i="27" s="1"/>
  <c r="X395" i="20"/>
  <c r="O28" i="27" s="1"/>
  <c r="G28" i="27" s="1"/>
  <c r="BW28" i="27" s="1"/>
  <c r="X394" i="20"/>
  <c r="O27" i="27" s="1"/>
  <c r="G27" i="27" s="1"/>
  <c r="BW27" i="27" s="1"/>
  <c r="W397" i="20"/>
  <c r="W396" i="20"/>
  <c r="N29" i="27" s="1"/>
  <c r="F29" i="27" s="1"/>
  <c r="BV29" i="27" s="1"/>
  <c r="W395" i="20"/>
  <c r="N28" i="27" s="1"/>
  <c r="F28" i="27" s="1"/>
  <c r="BV28" i="27" s="1"/>
  <c r="W394" i="20"/>
  <c r="N27" i="27" s="1"/>
  <c r="F27" i="27" s="1"/>
  <c r="BV27" i="27" s="1"/>
  <c r="V397" i="20"/>
  <c r="M30" i="27" s="1"/>
  <c r="E30" i="27" s="1"/>
  <c r="BU30" i="27" s="1"/>
  <c r="V396" i="20"/>
  <c r="M29" i="27" s="1"/>
  <c r="E29" i="27" s="1"/>
  <c r="BU29" i="27" s="1"/>
  <c r="V395" i="20"/>
  <c r="M28" i="27" s="1"/>
  <c r="E28" i="27" s="1"/>
  <c r="BU28" i="27" s="1"/>
  <c r="V394" i="20"/>
  <c r="M27" i="27" s="1"/>
  <c r="E27" i="27" s="1"/>
  <c r="BU27" i="27" s="1"/>
  <c r="U397" i="20"/>
  <c r="L30" i="27" s="1"/>
  <c r="D30" i="27" s="1"/>
  <c r="BT30" i="27" s="1"/>
  <c r="U396" i="20"/>
  <c r="L29" i="27" s="1"/>
  <c r="D29" i="27" s="1"/>
  <c r="BT29" i="27" s="1"/>
  <c r="U395" i="20"/>
  <c r="L28" i="27" s="1"/>
  <c r="D28" i="27" s="1"/>
  <c r="BT28" i="27" s="1"/>
  <c r="U394" i="20"/>
  <c r="L27" i="27" s="1"/>
  <c r="D27" i="27" s="1"/>
  <c r="BT27" i="27" s="1"/>
  <c r="T397" i="20"/>
  <c r="T396" i="20"/>
  <c r="K29" i="27" s="1"/>
  <c r="C29" i="27" s="1"/>
  <c r="BS29" i="27" s="1"/>
  <c r="T395" i="20"/>
  <c r="K28" i="27" s="1"/>
  <c r="C28" i="27" s="1"/>
  <c r="BS28" i="27" s="1"/>
  <c r="T394" i="20"/>
  <c r="K27" i="27" s="1"/>
  <c r="C27" i="27" s="1"/>
  <c r="BS27" i="27" s="1"/>
  <c r="AE501" i="20"/>
  <c r="V66" i="27" s="1"/>
  <c r="AD501" i="20"/>
  <c r="U66" i="27" s="1"/>
  <c r="AC501" i="20"/>
  <c r="T66" i="27" s="1"/>
  <c r="AB501" i="20"/>
  <c r="S66" i="27" s="1"/>
  <c r="AA501" i="20"/>
  <c r="R66" i="27" s="1"/>
  <c r="X501" i="20"/>
  <c r="O66" i="27" s="1"/>
  <c r="G66" i="27" s="1"/>
  <c r="W501" i="20"/>
  <c r="N66" i="27" s="1"/>
  <c r="F66" i="27" s="1"/>
  <c r="V501" i="20"/>
  <c r="M66" i="27" s="1"/>
  <c r="E66" i="27" s="1"/>
  <c r="U501" i="20"/>
  <c r="L66" i="27" s="1"/>
  <c r="D66" i="27" s="1"/>
  <c r="T501" i="20"/>
  <c r="AE500" i="20"/>
  <c r="V65" i="27" s="1"/>
  <c r="AD500" i="20"/>
  <c r="U65" i="27" s="1"/>
  <c r="AC500" i="20"/>
  <c r="T65" i="27" s="1"/>
  <c r="AB500" i="20"/>
  <c r="S65" i="27" s="1"/>
  <c r="AA500" i="20"/>
  <c r="R65" i="27" s="1"/>
  <c r="X500" i="20"/>
  <c r="O65" i="27" s="1"/>
  <c r="G65" i="27" s="1"/>
  <c r="W500" i="20"/>
  <c r="N65" i="27" s="1"/>
  <c r="F65" i="27" s="1"/>
  <c r="V500" i="20"/>
  <c r="M65" i="27" s="1"/>
  <c r="E65" i="27" s="1"/>
  <c r="U500" i="20"/>
  <c r="L65" i="27" s="1"/>
  <c r="D65" i="27" s="1"/>
  <c r="T500" i="20"/>
  <c r="K65" i="27" s="1"/>
  <c r="C65" i="27" s="1"/>
  <c r="AE499" i="20"/>
  <c r="V64" i="27" s="1"/>
  <c r="AD499" i="20"/>
  <c r="U64" i="27" s="1"/>
  <c r="AC499" i="20"/>
  <c r="T64" i="27" s="1"/>
  <c r="AB499" i="20"/>
  <c r="S64" i="27" s="1"/>
  <c r="AA499" i="20"/>
  <c r="R64" i="27" s="1"/>
  <c r="X499" i="20"/>
  <c r="O64" i="27" s="1"/>
  <c r="G64" i="27" s="1"/>
  <c r="W499" i="20"/>
  <c r="N64" i="27" s="1"/>
  <c r="F64" i="27" s="1"/>
  <c r="V499" i="20"/>
  <c r="M64" i="27" s="1"/>
  <c r="E64" i="27" s="1"/>
  <c r="U499" i="20"/>
  <c r="L64" i="27" s="1"/>
  <c r="D64" i="27" s="1"/>
  <c r="T499" i="20"/>
  <c r="AE498" i="20"/>
  <c r="V63" i="27" s="1"/>
  <c r="AD498" i="20"/>
  <c r="U63" i="27" s="1"/>
  <c r="AC498" i="20"/>
  <c r="AB498" i="20"/>
  <c r="AA498" i="20"/>
  <c r="R63" i="27" s="1"/>
  <c r="X498" i="20"/>
  <c r="O63" i="27" s="1"/>
  <c r="G63" i="27" s="1"/>
  <c r="W498" i="20"/>
  <c r="V498" i="20"/>
  <c r="U498" i="20"/>
  <c r="L63" i="27" s="1"/>
  <c r="D63" i="27" s="1"/>
  <c r="T498" i="20"/>
  <c r="K63" i="27" s="1"/>
  <c r="C63" i="27" s="1"/>
  <c r="AE341" i="20"/>
  <c r="AZ12" i="27" s="1"/>
  <c r="AD341" i="20"/>
  <c r="AY12" i="27" s="1"/>
  <c r="AC341" i="20"/>
  <c r="AX12" i="27" s="1"/>
  <c r="AB341" i="20"/>
  <c r="AW12" i="27" s="1"/>
  <c r="AA341" i="20"/>
  <c r="AV12" i="27" s="1"/>
  <c r="X341" i="20"/>
  <c r="AS12" i="27" s="1"/>
  <c r="W341" i="20"/>
  <c r="AR12" i="27" s="1"/>
  <c r="V341" i="20"/>
  <c r="AQ12" i="27" s="1"/>
  <c r="U341" i="20"/>
  <c r="AP12" i="27" s="1"/>
  <c r="T341" i="20"/>
  <c r="AE340" i="20"/>
  <c r="AZ11" i="27" s="1"/>
  <c r="AD340" i="20"/>
  <c r="AY11" i="27" s="1"/>
  <c r="AC340" i="20"/>
  <c r="AX11" i="27" s="1"/>
  <c r="AB340" i="20"/>
  <c r="AW11" i="27" s="1"/>
  <c r="AA340" i="20"/>
  <c r="AV11" i="27" s="1"/>
  <c r="X340" i="20"/>
  <c r="AS11" i="27" s="1"/>
  <c r="W340" i="20"/>
  <c r="AR11" i="27" s="1"/>
  <c r="V340" i="20"/>
  <c r="AQ11" i="27" s="1"/>
  <c r="U340" i="20"/>
  <c r="AP11" i="27" s="1"/>
  <c r="T340" i="20"/>
  <c r="AO11" i="27" s="1"/>
  <c r="AE339" i="20"/>
  <c r="AZ10" i="27" s="1"/>
  <c r="AD339" i="20"/>
  <c r="AY10" i="27" s="1"/>
  <c r="AC339" i="20"/>
  <c r="AX10" i="27" s="1"/>
  <c r="AB339" i="20"/>
  <c r="AW10" i="27" s="1"/>
  <c r="AA339" i="20"/>
  <c r="AV10" i="27" s="1"/>
  <c r="X339" i="20"/>
  <c r="AS10" i="27" s="1"/>
  <c r="W339" i="20"/>
  <c r="AR10" i="27" s="1"/>
  <c r="V339" i="20"/>
  <c r="AQ10" i="27" s="1"/>
  <c r="U339" i="20"/>
  <c r="AP10" i="27" s="1"/>
  <c r="T339" i="20"/>
  <c r="AE338" i="20"/>
  <c r="AD338" i="20"/>
  <c r="AY9" i="27" s="1"/>
  <c r="AC338" i="20"/>
  <c r="AB338" i="20"/>
  <c r="AA338" i="20"/>
  <c r="AV9" i="27" s="1"/>
  <c r="X338" i="20"/>
  <c r="AS9" i="27" s="1"/>
  <c r="W338" i="20"/>
  <c r="V338" i="20"/>
  <c r="U338" i="20"/>
  <c r="T338" i="20"/>
  <c r="AO9" i="27" s="1"/>
  <c r="AE252" i="20"/>
  <c r="V12" i="27" s="1"/>
  <c r="AE251" i="20"/>
  <c r="V11" i="27" s="1"/>
  <c r="AE250" i="20"/>
  <c r="V10" i="27" s="1"/>
  <c r="AE249" i="20"/>
  <c r="V9" i="27" s="1"/>
  <c r="AD252" i="20"/>
  <c r="U12" i="27" s="1"/>
  <c r="AD251" i="20"/>
  <c r="U11" i="27" s="1"/>
  <c r="AD250" i="20"/>
  <c r="U10" i="27" s="1"/>
  <c r="AD249" i="20"/>
  <c r="U9" i="27" s="1"/>
  <c r="AC252" i="20"/>
  <c r="T12" i="27" s="1"/>
  <c r="AC251" i="20"/>
  <c r="T11" i="27" s="1"/>
  <c r="AC250" i="20"/>
  <c r="T10" i="27" s="1"/>
  <c r="AC249" i="20"/>
  <c r="T9" i="27" s="1"/>
  <c r="AB252" i="20"/>
  <c r="S12" i="27" s="1"/>
  <c r="AB251" i="20"/>
  <c r="S11" i="27" s="1"/>
  <c r="AB250" i="20"/>
  <c r="S10" i="27" s="1"/>
  <c r="AB249" i="20"/>
  <c r="S9" i="27" s="1"/>
  <c r="AA252" i="20"/>
  <c r="R12" i="27" s="1"/>
  <c r="AA251" i="20"/>
  <c r="R11" i="27" s="1"/>
  <c r="AA250" i="20"/>
  <c r="R10" i="27" s="1"/>
  <c r="AA249" i="20"/>
  <c r="R9" i="27" s="1"/>
  <c r="X252" i="20"/>
  <c r="O12" i="27" s="1"/>
  <c r="X251" i="20"/>
  <c r="O11" i="27" s="1"/>
  <c r="X250" i="20"/>
  <c r="O10" i="27" s="1"/>
  <c r="X249" i="20"/>
  <c r="O9" i="27" s="1"/>
  <c r="W252" i="20"/>
  <c r="N12" i="27" s="1"/>
  <c r="W251" i="20"/>
  <c r="N11" i="27" s="1"/>
  <c r="W250" i="20"/>
  <c r="N10" i="27" s="1"/>
  <c r="W249" i="20"/>
  <c r="N9" i="27" s="1"/>
  <c r="V252" i="20"/>
  <c r="M12" i="27" s="1"/>
  <c r="V251" i="20"/>
  <c r="M11" i="27" s="1"/>
  <c r="V250" i="20"/>
  <c r="M10" i="27" s="1"/>
  <c r="V249" i="20"/>
  <c r="M9" i="27" s="1"/>
  <c r="U252" i="20"/>
  <c r="L12" i="27" s="1"/>
  <c r="U251" i="20"/>
  <c r="L11" i="27" s="1"/>
  <c r="U250" i="20"/>
  <c r="L10" i="27" s="1"/>
  <c r="U249" i="20"/>
  <c r="L9" i="27" s="1"/>
  <c r="T252" i="20"/>
  <c r="K12" i="27" s="1"/>
  <c r="T251" i="20"/>
  <c r="K11" i="27" s="1"/>
  <c r="T249" i="20"/>
  <c r="K9" i="27" s="1"/>
  <c r="AE301" i="20"/>
  <c r="AK12" i="27" s="1"/>
  <c r="AE300" i="20"/>
  <c r="AK11" i="27" s="1"/>
  <c r="AE299" i="20"/>
  <c r="AK10" i="27" s="1"/>
  <c r="AE298" i="20"/>
  <c r="AK9" i="27" s="1"/>
  <c r="AD301" i="20"/>
  <c r="AJ12" i="27" s="1"/>
  <c r="AD300" i="20"/>
  <c r="AJ11" i="27" s="1"/>
  <c r="AD299" i="20"/>
  <c r="AJ10" i="27" s="1"/>
  <c r="AD298" i="20"/>
  <c r="AJ9" i="27" s="1"/>
  <c r="AC301" i="20"/>
  <c r="AI12" i="27" s="1"/>
  <c r="AC300" i="20"/>
  <c r="AI11" i="27" s="1"/>
  <c r="AC299" i="20"/>
  <c r="AI10" i="27" s="1"/>
  <c r="AC298" i="20"/>
  <c r="AI9" i="27" s="1"/>
  <c r="AB301" i="20"/>
  <c r="AH12" i="27" s="1"/>
  <c r="AB300" i="20"/>
  <c r="AH11" i="27" s="1"/>
  <c r="AB299" i="20"/>
  <c r="AH10" i="27" s="1"/>
  <c r="AB298" i="20"/>
  <c r="AH9" i="27" s="1"/>
  <c r="AA301" i="20"/>
  <c r="AG12" i="27" s="1"/>
  <c r="AA300" i="20"/>
  <c r="AG11" i="27" s="1"/>
  <c r="AA299" i="20"/>
  <c r="AG10" i="27" s="1"/>
  <c r="AA298" i="20"/>
  <c r="AG9" i="27" s="1"/>
  <c r="X301" i="20"/>
  <c r="AD12" i="27" s="1"/>
  <c r="X300" i="20"/>
  <c r="AD11" i="27" s="1"/>
  <c r="X299" i="20"/>
  <c r="AD10" i="27" s="1"/>
  <c r="X298" i="20"/>
  <c r="AD9" i="27" s="1"/>
  <c r="W301" i="20"/>
  <c r="AC12" i="27" s="1"/>
  <c r="W299" i="20"/>
  <c r="AC10" i="27" s="1"/>
  <c r="W298" i="20"/>
  <c r="AC9" i="27" s="1"/>
  <c r="V301" i="20"/>
  <c r="AB12" i="27" s="1"/>
  <c r="V300" i="20"/>
  <c r="AB11" i="27" s="1"/>
  <c r="V299" i="20"/>
  <c r="AB10" i="27" s="1"/>
  <c r="V298" i="20"/>
  <c r="AB9" i="27" s="1"/>
  <c r="U301" i="20"/>
  <c r="AA12" i="27" s="1"/>
  <c r="U300" i="20"/>
  <c r="AA11" i="27" s="1"/>
  <c r="U299" i="20"/>
  <c r="AA10" i="27" s="1"/>
  <c r="U298" i="20"/>
  <c r="AA9" i="27" s="1"/>
  <c r="T301" i="20"/>
  <c r="T300" i="20"/>
  <c r="Z11" i="27" s="1"/>
  <c r="T299" i="20"/>
  <c r="Z10" i="27" s="1"/>
  <c r="T298" i="20"/>
  <c r="Z9" i="27" s="1"/>
  <c r="AE216" i="23"/>
  <c r="BE66" i="26" s="1"/>
  <c r="AD216" i="23"/>
  <c r="BD66" i="26" s="1"/>
  <c r="AC216" i="23"/>
  <c r="BC66" i="26" s="1"/>
  <c r="AB216" i="23"/>
  <c r="BB66" i="26" s="1"/>
  <c r="AA216" i="23"/>
  <c r="BA66" i="26" s="1"/>
  <c r="X216" i="23"/>
  <c r="AX66" i="26" s="1"/>
  <c r="W216" i="23"/>
  <c r="AW66" i="26" s="1"/>
  <c r="V216" i="23"/>
  <c r="AV66" i="26" s="1"/>
  <c r="U216" i="23"/>
  <c r="AU66" i="26" s="1"/>
  <c r="T216" i="23"/>
  <c r="AT66" i="26" s="1"/>
  <c r="AE215" i="23"/>
  <c r="BE65" i="26" s="1"/>
  <c r="AD215" i="23"/>
  <c r="BD65" i="26" s="1"/>
  <c r="AC215" i="23"/>
  <c r="BC65" i="26" s="1"/>
  <c r="AB215" i="23"/>
  <c r="BB65" i="26" s="1"/>
  <c r="AA215" i="23"/>
  <c r="BA65" i="26" s="1"/>
  <c r="X215" i="23"/>
  <c r="AX65" i="26" s="1"/>
  <c r="W215" i="23"/>
  <c r="AW65" i="26" s="1"/>
  <c r="V215" i="23"/>
  <c r="AV65" i="26" s="1"/>
  <c r="U215" i="23"/>
  <c r="AU65" i="26" s="1"/>
  <c r="T215" i="23"/>
  <c r="AE214" i="23"/>
  <c r="BE64" i="26" s="1"/>
  <c r="AD214" i="23"/>
  <c r="BD64" i="26" s="1"/>
  <c r="AC214" i="23"/>
  <c r="BC64" i="26" s="1"/>
  <c r="AB214" i="23"/>
  <c r="BB64" i="26" s="1"/>
  <c r="AA214" i="23"/>
  <c r="BA64" i="26" s="1"/>
  <c r="X214" i="23"/>
  <c r="AX64" i="26" s="1"/>
  <c r="W214" i="23"/>
  <c r="AW64" i="26" s="1"/>
  <c r="V214" i="23"/>
  <c r="AV64" i="26" s="1"/>
  <c r="U214" i="23"/>
  <c r="AU64" i="26" s="1"/>
  <c r="T214" i="23"/>
  <c r="AT64" i="26" s="1"/>
  <c r="AE213" i="23"/>
  <c r="AD213" i="23"/>
  <c r="AC213" i="23"/>
  <c r="AB213" i="23"/>
  <c r="BB63" i="26" s="1"/>
  <c r="AA213" i="23"/>
  <c r="BA63" i="26" s="1"/>
  <c r="X213" i="23"/>
  <c r="W213" i="23"/>
  <c r="V213" i="23"/>
  <c r="AV63" i="26" s="1"/>
  <c r="U213" i="23"/>
  <c r="T213" i="23"/>
  <c r="AE186" i="23"/>
  <c r="BE57" i="26" s="1"/>
  <c r="AD186" i="23"/>
  <c r="BD57" i="26" s="1"/>
  <c r="AC186" i="23"/>
  <c r="BC57" i="26" s="1"/>
  <c r="AB186" i="23"/>
  <c r="BB57" i="26" s="1"/>
  <c r="AA186" i="23"/>
  <c r="BA57" i="26" s="1"/>
  <c r="X186" i="23"/>
  <c r="AX57" i="26" s="1"/>
  <c r="W186" i="23"/>
  <c r="AW57" i="26" s="1"/>
  <c r="V186" i="23"/>
  <c r="AV57" i="26" s="1"/>
  <c r="U186" i="23"/>
  <c r="AU57" i="26" s="1"/>
  <c r="T186" i="23"/>
  <c r="AT57" i="26" s="1"/>
  <c r="AE185" i="23"/>
  <c r="BE56" i="26" s="1"/>
  <c r="AD185" i="23"/>
  <c r="BD56" i="26" s="1"/>
  <c r="AC185" i="23"/>
  <c r="BC56" i="26" s="1"/>
  <c r="AB185" i="23"/>
  <c r="BB56" i="26" s="1"/>
  <c r="AA185" i="23"/>
  <c r="BA56" i="26" s="1"/>
  <c r="X185" i="23"/>
  <c r="AX56" i="26" s="1"/>
  <c r="W185" i="23"/>
  <c r="AW56" i="26" s="1"/>
  <c r="V185" i="23"/>
  <c r="AV56" i="26" s="1"/>
  <c r="U185" i="23"/>
  <c r="AU56" i="26" s="1"/>
  <c r="T185" i="23"/>
  <c r="AE184" i="23"/>
  <c r="BE55" i="26" s="1"/>
  <c r="AD184" i="23"/>
  <c r="BD55" i="26" s="1"/>
  <c r="AC184" i="23"/>
  <c r="BC55" i="26" s="1"/>
  <c r="AB184" i="23"/>
  <c r="BB55" i="26" s="1"/>
  <c r="AA184" i="23"/>
  <c r="BA55" i="26" s="1"/>
  <c r="X184" i="23"/>
  <c r="AX55" i="26" s="1"/>
  <c r="W184" i="23"/>
  <c r="AW55" i="26" s="1"/>
  <c r="V184" i="23"/>
  <c r="AV55" i="26" s="1"/>
  <c r="U184" i="23"/>
  <c r="AU55" i="26" s="1"/>
  <c r="T184" i="23"/>
  <c r="AT55" i="26" s="1"/>
  <c r="AE183" i="23"/>
  <c r="AD183" i="23"/>
  <c r="AC183" i="23"/>
  <c r="AB183" i="23"/>
  <c r="BB54" i="26" s="1"/>
  <c r="AA183" i="23"/>
  <c r="BA54" i="26" s="1"/>
  <c r="X183" i="23"/>
  <c r="W183" i="23"/>
  <c r="V183" i="23"/>
  <c r="AV54" i="26" s="1"/>
  <c r="U183" i="23"/>
  <c r="T183" i="23"/>
  <c r="AE141" i="23"/>
  <c r="BE39" i="26" s="1"/>
  <c r="AD141" i="23"/>
  <c r="BD39" i="26" s="1"/>
  <c r="AC141" i="23"/>
  <c r="BC39" i="26" s="1"/>
  <c r="AB141" i="23"/>
  <c r="BB39" i="26" s="1"/>
  <c r="AA141" i="23"/>
  <c r="BA39" i="26" s="1"/>
  <c r="X141" i="23"/>
  <c r="AX39" i="26" s="1"/>
  <c r="W141" i="23"/>
  <c r="AW39" i="26" s="1"/>
  <c r="V141" i="23"/>
  <c r="AV39" i="26" s="1"/>
  <c r="U141" i="23"/>
  <c r="AU39" i="26" s="1"/>
  <c r="T141" i="23"/>
  <c r="AT39" i="26" s="1"/>
  <c r="AE140" i="23"/>
  <c r="BE38" i="26" s="1"/>
  <c r="AD140" i="23"/>
  <c r="BD38" i="26" s="1"/>
  <c r="AC140" i="23"/>
  <c r="BC38" i="26" s="1"/>
  <c r="AB140" i="23"/>
  <c r="BB38" i="26" s="1"/>
  <c r="AA140" i="23"/>
  <c r="BA38" i="26" s="1"/>
  <c r="X140" i="23"/>
  <c r="AX38" i="26" s="1"/>
  <c r="W140" i="23"/>
  <c r="AW38" i="26" s="1"/>
  <c r="V140" i="23"/>
  <c r="AV38" i="26" s="1"/>
  <c r="U140" i="23"/>
  <c r="AU38" i="26" s="1"/>
  <c r="T140" i="23"/>
  <c r="AE139" i="23"/>
  <c r="BE37" i="26" s="1"/>
  <c r="AD139" i="23"/>
  <c r="BD37" i="26" s="1"/>
  <c r="AC139" i="23"/>
  <c r="BC37" i="26" s="1"/>
  <c r="AB139" i="23"/>
  <c r="BB37" i="26" s="1"/>
  <c r="AA139" i="23"/>
  <c r="BA37" i="26" s="1"/>
  <c r="X139" i="23"/>
  <c r="AX37" i="26" s="1"/>
  <c r="W139" i="23"/>
  <c r="AW37" i="26" s="1"/>
  <c r="V139" i="23"/>
  <c r="AV37" i="26" s="1"/>
  <c r="U139" i="23"/>
  <c r="AU37" i="26" s="1"/>
  <c r="T139" i="23"/>
  <c r="AT37" i="26" s="1"/>
  <c r="AE138" i="23"/>
  <c r="AD138" i="23"/>
  <c r="AC138" i="23"/>
  <c r="AB138" i="23"/>
  <c r="BB36" i="26" s="1"/>
  <c r="AA138" i="23"/>
  <c r="BA36" i="26" s="1"/>
  <c r="X138" i="23"/>
  <c r="W138" i="23"/>
  <c r="V138" i="23"/>
  <c r="AV36" i="26" s="1"/>
  <c r="U138" i="23"/>
  <c r="T138" i="23"/>
  <c r="AE109" i="23"/>
  <c r="BE21" i="26" s="1"/>
  <c r="AD109" i="23"/>
  <c r="BD21" i="26" s="1"/>
  <c r="AC109" i="23"/>
  <c r="BC21" i="26" s="1"/>
  <c r="AB109" i="23"/>
  <c r="BB21" i="26" s="1"/>
  <c r="AA109" i="23"/>
  <c r="BA21" i="26" s="1"/>
  <c r="X109" i="23"/>
  <c r="AX21" i="26" s="1"/>
  <c r="W109" i="23"/>
  <c r="AW21" i="26" s="1"/>
  <c r="V109" i="23"/>
  <c r="AV21" i="26" s="1"/>
  <c r="U109" i="23"/>
  <c r="AU21" i="26" s="1"/>
  <c r="T109" i="23"/>
  <c r="AT21" i="26" s="1"/>
  <c r="AE108" i="23"/>
  <c r="BE20" i="26" s="1"/>
  <c r="AD108" i="23"/>
  <c r="BD20" i="26" s="1"/>
  <c r="AC108" i="23"/>
  <c r="BC20" i="26" s="1"/>
  <c r="AB108" i="23"/>
  <c r="BB20" i="26" s="1"/>
  <c r="AA108" i="23"/>
  <c r="BA20" i="26" s="1"/>
  <c r="X108" i="23"/>
  <c r="AX20" i="26" s="1"/>
  <c r="W108" i="23"/>
  <c r="AW20" i="26" s="1"/>
  <c r="V108" i="23"/>
  <c r="AV20" i="26" s="1"/>
  <c r="U108" i="23"/>
  <c r="AU20" i="26" s="1"/>
  <c r="T108" i="23"/>
  <c r="AT20" i="26" s="1"/>
  <c r="AE107" i="23"/>
  <c r="BE19" i="26" s="1"/>
  <c r="AD107" i="23"/>
  <c r="BD19" i="26" s="1"/>
  <c r="AC107" i="23"/>
  <c r="BC19" i="26" s="1"/>
  <c r="AB107" i="23"/>
  <c r="BB19" i="26" s="1"/>
  <c r="AA107" i="23"/>
  <c r="BA19" i="26" s="1"/>
  <c r="X107" i="23"/>
  <c r="AX19" i="26" s="1"/>
  <c r="W107" i="23"/>
  <c r="AW19" i="26" s="1"/>
  <c r="V107" i="23"/>
  <c r="AV19" i="26" s="1"/>
  <c r="U107" i="23"/>
  <c r="AU19" i="26" s="1"/>
  <c r="T107" i="23"/>
  <c r="AT19" i="26" s="1"/>
  <c r="AE106" i="23"/>
  <c r="AD106" i="23"/>
  <c r="AC106" i="23"/>
  <c r="BC18" i="26" s="1"/>
  <c r="AB106" i="23"/>
  <c r="BB18" i="26" s="1"/>
  <c r="AA106" i="23"/>
  <c r="BA18" i="26" s="1"/>
  <c r="X106" i="23"/>
  <c r="W106" i="23"/>
  <c r="AW18" i="26" s="1"/>
  <c r="V106" i="23"/>
  <c r="AV18" i="26" s="1"/>
  <c r="U106" i="23"/>
  <c r="T106" i="23"/>
  <c r="AT18" i="26" s="1"/>
  <c r="AE43" i="23"/>
  <c r="BE12" i="26" s="1"/>
  <c r="AE42" i="23"/>
  <c r="BE11" i="26" s="1"/>
  <c r="AE41" i="23"/>
  <c r="BE10" i="26" s="1"/>
  <c r="AE40" i="23"/>
  <c r="BE9" i="26" s="1"/>
  <c r="AD42" i="23"/>
  <c r="BD11" i="26" s="1"/>
  <c r="AD41" i="23"/>
  <c r="BD10" i="26" s="1"/>
  <c r="AD40" i="23"/>
  <c r="BD9" i="26" s="1"/>
  <c r="AC43" i="23"/>
  <c r="BC12" i="26" s="1"/>
  <c r="AC42" i="23"/>
  <c r="BC11" i="26" s="1"/>
  <c r="AC41" i="23"/>
  <c r="BC10" i="26" s="1"/>
  <c r="AC40" i="23"/>
  <c r="BC9" i="26" s="1"/>
  <c r="AB43" i="23"/>
  <c r="BB12" i="26" s="1"/>
  <c r="AB42" i="23"/>
  <c r="BB11" i="26" s="1"/>
  <c r="AB41" i="23"/>
  <c r="BB10" i="26" s="1"/>
  <c r="AB40" i="23"/>
  <c r="BB9" i="26" s="1"/>
  <c r="AA43" i="23"/>
  <c r="BA12" i="26" s="1"/>
  <c r="AA42" i="23"/>
  <c r="BA11" i="26" s="1"/>
  <c r="AA41" i="23"/>
  <c r="BA10" i="26" s="1"/>
  <c r="AA40" i="23"/>
  <c r="BA9" i="26" s="1"/>
  <c r="X42" i="23"/>
  <c r="AX11" i="26" s="1"/>
  <c r="X41" i="23"/>
  <c r="AX10" i="26" s="1"/>
  <c r="X40" i="23"/>
  <c r="AX9" i="26" s="1"/>
  <c r="W41" i="23"/>
  <c r="AW10" i="26" s="1"/>
  <c r="W40" i="23"/>
  <c r="AW9" i="26" s="1"/>
  <c r="V43" i="23"/>
  <c r="AV12" i="26" s="1"/>
  <c r="V42" i="23"/>
  <c r="AV11" i="26" s="1"/>
  <c r="V41" i="23"/>
  <c r="AV10" i="26" s="1"/>
  <c r="V40" i="23"/>
  <c r="AV9" i="26" s="1"/>
  <c r="U43" i="23"/>
  <c r="AU12" i="26" s="1"/>
  <c r="U42" i="23"/>
  <c r="AU11" i="26" s="1"/>
  <c r="U41" i="23"/>
  <c r="AU10" i="26" s="1"/>
  <c r="U40" i="23"/>
  <c r="AU9" i="26" s="1"/>
  <c r="T43" i="23"/>
  <c r="AT12" i="26" s="1"/>
  <c r="T41" i="23"/>
  <c r="AT10" i="26" s="1"/>
  <c r="T40" i="23"/>
  <c r="AT9" i="26" s="1"/>
  <c r="AE66" i="23"/>
  <c r="BE30" i="26" s="1"/>
  <c r="AE65" i="23"/>
  <c r="BE29" i="26" s="1"/>
  <c r="AE64" i="23"/>
  <c r="BE28" i="26" s="1"/>
  <c r="AE63" i="23"/>
  <c r="BE27" i="26" s="1"/>
  <c r="AD66" i="23"/>
  <c r="BD30" i="26" s="1"/>
  <c r="AD65" i="23"/>
  <c r="BD29" i="26" s="1"/>
  <c r="AD64" i="23"/>
  <c r="BD28" i="26" s="1"/>
  <c r="AD63" i="23"/>
  <c r="BD27" i="26" s="1"/>
  <c r="AC66" i="23"/>
  <c r="BC30" i="26" s="1"/>
  <c r="AC65" i="23"/>
  <c r="BC29" i="26" s="1"/>
  <c r="AC64" i="23"/>
  <c r="BC28" i="26" s="1"/>
  <c r="AC63" i="23"/>
  <c r="BC27" i="26" s="1"/>
  <c r="AB66" i="23"/>
  <c r="BB30" i="26" s="1"/>
  <c r="AB65" i="23"/>
  <c r="BB29" i="26" s="1"/>
  <c r="AB64" i="23"/>
  <c r="BB28" i="26" s="1"/>
  <c r="AB63" i="23"/>
  <c r="BB27" i="26" s="1"/>
  <c r="AA66" i="23"/>
  <c r="BA30" i="26" s="1"/>
  <c r="AA65" i="23"/>
  <c r="BA29" i="26" s="1"/>
  <c r="AA64" i="23"/>
  <c r="BA28" i="26" s="1"/>
  <c r="AA63" i="23"/>
  <c r="BA27" i="26" s="1"/>
  <c r="X66" i="23"/>
  <c r="AX30" i="26" s="1"/>
  <c r="X65" i="23"/>
  <c r="AX29" i="26" s="1"/>
  <c r="X64" i="23"/>
  <c r="AX28" i="26" s="1"/>
  <c r="X63" i="23"/>
  <c r="AX27" i="26" s="1"/>
  <c r="W66" i="23"/>
  <c r="AW30" i="26" s="1"/>
  <c r="W65" i="23"/>
  <c r="AW29" i="26" s="1"/>
  <c r="W64" i="23"/>
  <c r="AW28" i="26" s="1"/>
  <c r="W63" i="23"/>
  <c r="AW27" i="26" s="1"/>
  <c r="V66" i="23"/>
  <c r="AV30" i="26" s="1"/>
  <c r="V65" i="23"/>
  <c r="AV29" i="26" s="1"/>
  <c r="V64" i="23"/>
  <c r="AV28" i="26" s="1"/>
  <c r="V63" i="23"/>
  <c r="AV27" i="26" s="1"/>
  <c r="U66" i="23"/>
  <c r="AU30" i="26" s="1"/>
  <c r="U65" i="23"/>
  <c r="AU29" i="26" s="1"/>
  <c r="U64" i="23"/>
  <c r="AU28" i="26" s="1"/>
  <c r="U63" i="23"/>
  <c r="AU27" i="26" s="1"/>
  <c r="T66" i="23"/>
  <c r="AT30" i="26" s="1"/>
  <c r="T65" i="23"/>
  <c r="AT29" i="26" s="1"/>
  <c r="T64" i="23"/>
  <c r="AT28" i="26" s="1"/>
  <c r="T63" i="23"/>
  <c r="AT27" i="26" s="1"/>
  <c r="AE455" i="22"/>
  <c r="AP66" i="26" s="1"/>
  <c r="AD455" i="22"/>
  <c r="AO66" i="26" s="1"/>
  <c r="AC455" i="22"/>
  <c r="AN66" i="26" s="1"/>
  <c r="AB455" i="22"/>
  <c r="AM66" i="26" s="1"/>
  <c r="AA455" i="22"/>
  <c r="AL66" i="26" s="1"/>
  <c r="X455" i="22"/>
  <c r="AI66" i="26" s="1"/>
  <c r="W455" i="22"/>
  <c r="AH66" i="26" s="1"/>
  <c r="V455" i="22"/>
  <c r="AG66" i="26" s="1"/>
  <c r="U455" i="22"/>
  <c r="AF66" i="26" s="1"/>
  <c r="T455" i="22"/>
  <c r="AE454" i="22"/>
  <c r="AP65" i="26" s="1"/>
  <c r="AD454" i="22"/>
  <c r="AO65" i="26" s="1"/>
  <c r="AC454" i="22"/>
  <c r="AN65" i="26" s="1"/>
  <c r="AB454" i="22"/>
  <c r="AA454" i="22"/>
  <c r="AL65" i="26" s="1"/>
  <c r="X454" i="22"/>
  <c r="AI65" i="26" s="1"/>
  <c r="W454" i="22"/>
  <c r="AH65" i="26" s="1"/>
  <c r="V454" i="22"/>
  <c r="AG65" i="26" s="1"/>
  <c r="U454" i="22"/>
  <c r="AF65" i="26" s="1"/>
  <c r="T454" i="22"/>
  <c r="AE65" i="26" s="1"/>
  <c r="AE453" i="22"/>
  <c r="AP64" i="26" s="1"/>
  <c r="AD453" i="22"/>
  <c r="AO64" i="26" s="1"/>
  <c r="AC453" i="22"/>
  <c r="AN64" i="26" s="1"/>
  <c r="AB453" i="22"/>
  <c r="AM64" i="26" s="1"/>
  <c r="AA453" i="22"/>
  <c r="AL64" i="26" s="1"/>
  <c r="X453" i="22"/>
  <c r="AI64" i="26" s="1"/>
  <c r="W453" i="22"/>
  <c r="AH64" i="26" s="1"/>
  <c r="V453" i="22"/>
  <c r="AG64" i="26" s="1"/>
  <c r="U453" i="22"/>
  <c r="AF64" i="26" s="1"/>
  <c r="T453" i="22"/>
  <c r="AE452" i="22"/>
  <c r="AD452" i="22"/>
  <c r="AO63" i="26" s="1"/>
  <c r="AC452" i="22"/>
  <c r="AB452" i="22"/>
  <c r="AA452" i="22"/>
  <c r="X452" i="22"/>
  <c r="AI63" i="26" s="1"/>
  <c r="W452" i="22"/>
  <c r="V452" i="22"/>
  <c r="U452" i="22"/>
  <c r="AF63" i="26" s="1"/>
  <c r="T452" i="22"/>
  <c r="AE63" i="26" s="1"/>
  <c r="X417" i="22"/>
  <c r="AI57" i="26" s="1"/>
  <c r="X416" i="22"/>
  <c r="AI56" i="26" s="1"/>
  <c r="X415" i="22"/>
  <c r="AI55" i="26" s="1"/>
  <c r="X414" i="22"/>
  <c r="AI54" i="26" s="1"/>
  <c r="W417" i="22"/>
  <c r="AH57" i="26" s="1"/>
  <c r="W416" i="22"/>
  <c r="AH56" i="26" s="1"/>
  <c r="W415" i="22"/>
  <c r="AH55" i="26" s="1"/>
  <c r="W414" i="22"/>
  <c r="AH54" i="26" s="1"/>
  <c r="V417" i="22"/>
  <c r="AG57" i="26" s="1"/>
  <c r="V416" i="22"/>
  <c r="AG56" i="26" s="1"/>
  <c r="V415" i="22"/>
  <c r="AG55" i="26" s="1"/>
  <c r="V414" i="22"/>
  <c r="AG54" i="26" s="1"/>
  <c r="U417" i="22"/>
  <c r="AF57" i="26" s="1"/>
  <c r="U416" i="22"/>
  <c r="AF56" i="26" s="1"/>
  <c r="U415" i="22"/>
  <c r="AF55" i="26" s="1"/>
  <c r="U414" i="22"/>
  <c r="AF54" i="26" s="1"/>
  <c r="T417" i="22"/>
  <c r="AE57" i="26" s="1"/>
  <c r="T416" i="22"/>
  <c r="AE56" i="26" s="1"/>
  <c r="T415" i="22"/>
  <c r="AE55" i="26" s="1"/>
  <c r="T414" i="22"/>
  <c r="AE54" i="26" s="1"/>
  <c r="AE417" i="22"/>
  <c r="AP57" i="26" s="1"/>
  <c r="AD417" i="22"/>
  <c r="AO57" i="26" s="1"/>
  <c r="AC417" i="22"/>
  <c r="AN57" i="26" s="1"/>
  <c r="AB417" i="22"/>
  <c r="AM57" i="26" s="1"/>
  <c r="AA417" i="22"/>
  <c r="AL57" i="26" s="1"/>
  <c r="AE416" i="22"/>
  <c r="AP56" i="26" s="1"/>
  <c r="AD416" i="22"/>
  <c r="AO56" i="26" s="1"/>
  <c r="AC416" i="22"/>
  <c r="AN56" i="26" s="1"/>
  <c r="AB416" i="22"/>
  <c r="AM56" i="26" s="1"/>
  <c r="AA416" i="22"/>
  <c r="AE415" i="22"/>
  <c r="AP55" i="26" s="1"/>
  <c r="AD415" i="22"/>
  <c r="AO55" i="26" s="1"/>
  <c r="AC415" i="22"/>
  <c r="AN55" i="26" s="1"/>
  <c r="AB415" i="22"/>
  <c r="AM55" i="26" s="1"/>
  <c r="AA415" i="22"/>
  <c r="AL55" i="26" s="1"/>
  <c r="AE414" i="22"/>
  <c r="AP54" i="26" s="1"/>
  <c r="AD414" i="22"/>
  <c r="AO54" i="26" s="1"/>
  <c r="AC414" i="22"/>
  <c r="AB414" i="22"/>
  <c r="AM54" i="26" s="1"/>
  <c r="AA414" i="22"/>
  <c r="AL54" i="26" s="1"/>
  <c r="U315" i="22"/>
  <c r="U316" i="22"/>
  <c r="AF46" i="26" s="1"/>
  <c r="U317" i="22"/>
  <c r="AF47" i="26" s="1"/>
  <c r="U318" i="22"/>
  <c r="AF48" i="26" s="1"/>
  <c r="F319" i="22"/>
  <c r="F316" i="22"/>
  <c r="AD318" i="22"/>
  <c r="AO48" i="26" s="1"/>
  <c r="W318" i="22"/>
  <c r="AH48" i="26" s="1"/>
  <c r="AE318" i="22"/>
  <c r="AP48" i="26" s="1"/>
  <c r="AC318" i="22"/>
  <c r="AN48" i="26" s="1"/>
  <c r="AB318" i="22"/>
  <c r="AM48" i="26" s="1"/>
  <c r="AA318" i="22"/>
  <c r="AL48" i="26" s="1"/>
  <c r="X318" i="22"/>
  <c r="AI48" i="26" s="1"/>
  <c r="V318" i="22"/>
  <c r="AG48" i="26" s="1"/>
  <c r="T318" i="22"/>
  <c r="AE48" i="26" s="1"/>
  <c r="AE317" i="22"/>
  <c r="AP47" i="26" s="1"/>
  <c r="AC317" i="22"/>
  <c r="AN47" i="26" s="1"/>
  <c r="AB317" i="22"/>
  <c r="AM47" i="26" s="1"/>
  <c r="AA317" i="22"/>
  <c r="AL47" i="26" s="1"/>
  <c r="X317" i="22"/>
  <c r="AI47" i="26" s="1"/>
  <c r="V317" i="22"/>
  <c r="AG47" i="26" s="1"/>
  <c r="T317" i="22"/>
  <c r="AE47" i="26" s="1"/>
  <c r="AE316" i="22"/>
  <c r="AP46" i="26" s="1"/>
  <c r="AD316" i="22"/>
  <c r="AO46" i="26" s="1"/>
  <c r="AC316" i="22"/>
  <c r="AN46" i="26" s="1"/>
  <c r="AB316" i="22"/>
  <c r="AM46" i="26" s="1"/>
  <c r="AA316" i="22"/>
  <c r="AL46" i="26" s="1"/>
  <c r="X316" i="22"/>
  <c r="AI46" i="26" s="1"/>
  <c r="W316" i="22"/>
  <c r="AH46" i="26" s="1"/>
  <c r="V316" i="22"/>
  <c r="AG46" i="26" s="1"/>
  <c r="T316" i="22"/>
  <c r="AE46" i="26" s="1"/>
  <c r="AE315" i="22"/>
  <c r="AP45" i="26" s="1"/>
  <c r="AD315" i="22"/>
  <c r="AO45" i="26" s="1"/>
  <c r="AC315" i="22"/>
  <c r="AN45" i="26" s="1"/>
  <c r="AB315" i="22"/>
  <c r="AM45" i="26" s="1"/>
  <c r="AA315" i="22"/>
  <c r="AL45" i="26" s="1"/>
  <c r="X315" i="22"/>
  <c r="AI45" i="26" s="1"/>
  <c r="W315" i="22"/>
  <c r="AH45" i="26" s="1"/>
  <c r="V315" i="22"/>
  <c r="AG45" i="26" s="1"/>
  <c r="T315" i="22"/>
  <c r="AE45" i="26" s="1"/>
  <c r="AE241" i="22"/>
  <c r="AP39" i="26" s="1"/>
  <c r="AE240" i="22"/>
  <c r="AP38" i="26" s="1"/>
  <c r="AE239" i="22"/>
  <c r="AP37" i="26" s="1"/>
  <c r="AE238" i="22"/>
  <c r="AP36" i="26" s="1"/>
  <c r="AD240" i="22"/>
  <c r="AO38" i="26" s="1"/>
  <c r="AD239" i="22"/>
  <c r="AO37" i="26" s="1"/>
  <c r="AD238" i="22"/>
  <c r="AO36" i="26" s="1"/>
  <c r="AC241" i="22"/>
  <c r="AN39" i="26" s="1"/>
  <c r="AC240" i="22"/>
  <c r="AN38" i="26" s="1"/>
  <c r="AC239" i="22"/>
  <c r="AN37" i="26" s="1"/>
  <c r="AC238" i="22"/>
  <c r="AN36" i="26" s="1"/>
  <c r="AB241" i="22"/>
  <c r="AM39" i="26" s="1"/>
  <c r="AB240" i="22"/>
  <c r="AM38" i="26" s="1"/>
  <c r="AB239" i="22"/>
  <c r="AM37" i="26" s="1"/>
  <c r="AB238" i="22"/>
  <c r="AM36" i="26" s="1"/>
  <c r="AA241" i="22"/>
  <c r="AL39" i="26" s="1"/>
  <c r="AA240" i="22"/>
  <c r="AL38" i="26" s="1"/>
  <c r="AA239" i="22"/>
  <c r="AL37" i="26" s="1"/>
  <c r="AA238" i="22"/>
  <c r="AL36" i="26" s="1"/>
  <c r="X241" i="22"/>
  <c r="AI39" i="26" s="1"/>
  <c r="X240" i="22"/>
  <c r="AI38" i="26" s="1"/>
  <c r="X239" i="22"/>
  <c r="AI37" i="26" s="1"/>
  <c r="X238" i="22"/>
  <c r="AI36" i="26" s="1"/>
  <c r="W240" i="22"/>
  <c r="AH38" i="26" s="1"/>
  <c r="W239" i="22"/>
  <c r="AH37" i="26" s="1"/>
  <c r="W238" i="22"/>
  <c r="AH36" i="26" s="1"/>
  <c r="V241" i="22"/>
  <c r="AG39" i="26" s="1"/>
  <c r="V240" i="22"/>
  <c r="AG38" i="26" s="1"/>
  <c r="V239" i="22"/>
  <c r="AG37" i="26" s="1"/>
  <c r="V238" i="22"/>
  <c r="AG36" i="26" s="1"/>
  <c r="U241" i="22"/>
  <c r="AF39" i="26" s="1"/>
  <c r="U240" i="22"/>
  <c r="AF38" i="26" s="1"/>
  <c r="U239" i="22"/>
  <c r="AF37" i="26" s="1"/>
  <c r="U238" i="22"/>
  <c r="AF36" i="26" s="1"/>
  <c r="T241" i="22"/>
  <c r="AE39" i="26" s="1"/>
  <c r="T240" i="22"/>
  <c r="AE38" i="26" s="1"/>
  <c r="T239" i="22"/>
  <c r="AE37" i="26" s="1"/>
  <c r="T238" i="22"/>
  <c r="AE36" i="26" s="1"/>
  <c r="AC53" i="22"/>
  <c r="AN11" i="26" s="1"/>
  <c r="AC54" i="22"/>
  <c r="AN12" i="26" s="1"/>
  <c r="AA456" i="22" l="1"/>
  <c r="AL67" i="26" s="1"/>
  <c r="AL63" i="26"/>
  <c r="AC418" i="22"/>
  <c r="AN58" i="26" s="1"/>
  <c r="AN54" i="26"/>
  <c r="AF416" i="22"/>
  <c r="AQ56" i="26" s="1"/>
  <c r="AL56" i="26"/>
  <c r="V456" i="22"/>
  <c r="AG67" i="26" s="1"/>
  <c r="AG63" i="26"/>
  <c r="Y453" i="22"/>
  <c r="AJ64" i="26" s="1"/>
  <c r="AE64" i="26"/>
  <c r="Y455" i="22"/>
  <c r="AJ66" i="26" s="1"/>
  <c r="AE66" i="26"/>
  <c r="AC142" i="23"/>
  <c r="BC40" i="26" s="1"/>
  <c r="BC36" i="26"/>
  <c r="AC187" i="23"/>
  <c r="BC58" i="26" s="1"/>
  <c r="BC54" i="26"/>
  <c r="AC217" i="23"/>
  <c r="BC67" i="26" s="1"/>
  <c r="BC63" i="26"/>
  <c r="U319" i="22"/>
  <c r="AF49" i="26" s="1"/>
  <c r="AF45" i="26"/>
  <c r="W456" i="22"/>
  <c r="AH67" i="26" s="1"/>
  <c r="AH63" i="26"/>
  <c r="AC456" i="22"/>
  <c r="AN67" i="26" s="1"/>
  <c r="AN63" i="26"/>
  <c r="X110" i="23"/>
  <c r="AX22" i="26" s="1"/>
  <c r="AX18" i="26"/>
  <c r="AD110" i="23"/>
  <c r="BD22" i="26" s="1"/>
  <c r="BD18" i="26"/>
  <c r="Y138" i="23"/>
  <c r="AY36" i="26" s="1"/>
  <c r="AT36" i="26"/>
  <c r="X142" i="23"/>
  <c r="AX40" i="26" s="1"/>
  <c r="AX36" i="26"/>
  <c r="AD142" i="23"/>
  <c r="BD40" i="26" s="1"/>
  <c r="BD36" i="26"/>
  <c r="Y140" i="23"/>
  <c r="AY38" i="26" s="1"/>
  <c r="AT38" i="26"/>
  <c r="Y183" i="23"/>
  <c r="AY54" i="26" s="1"/>
  <c r="AT54" i="26"/>
  <c r="X187" i="23"/>
  <c r="AX58" i="26" s="1"/>
  <c r="AX54" i="26"/>
  <c r="AD187" i="23"/>
  <c r="BD58" i="26" s="1"/>
  <c r="BD54" i="26"/>
  <c r="Y185" i="23"/>
  <c r="AY56" i="26" s="1"/>
  <c r="AT56" i="26"/>
  <c r="Y213" i="23"/>
  <c r="AY63" i="26" s="1"/>
  <c r="AT63" i="26"/>
  <c r="X217" i="23"/>
  <c r="AX67" i="26" s="1"/>
  <c r="AX63" i="26"/>
  <c r="AD217" i="23"/>
  <c r="BD67" i="26" s="1"/>
  <c r="BD63" i="26"/>
  <c r="Y215" i="23"/>
  <c r="AY65" i="26" s="1"/>
  <c r="AT65" i="26"/>
  <c r="AE456" i="22"/>
  <c r="AP67" i="26" s="1"/>
  <c r="AP63" i="26"/>
  <c r="AB456" i="22"/>
  <c r="AM67" i="26" s="1"/>
  <c r="AM63" i="26"/>
  <c r="AF454" i="22"/>
  <c r="AQ65" i="26" s="1"/>
  <c r="AM65" i="26"/>
  <c r="W142" i="23"/>
  <c r="AW40" i="26" s="1"/>
  <c r="AW36" i="26"/>
  <c r="W187" i="23"/>
  <c r="AW58" i="26" s="1"/>
  <c r="AW54" i="26"/>
  <c r="W217" i="23"/>
  <c r="AW67" i="26" s="1"/>
  <c r="AW63" i="26"/>
  <c r="U110" i="23"/>
  <c r="AU22" i="26" s="1"/>
  <c r="AU18" i="26"/>
  <c r="AE110" i="23"/>
  <c r="BE22" i="26" s="1"/>
  <c r="BE18" i="26"/>
  <c r="U142" i="23"/>
  <c r="AU40" i="26" s="1"/>
  <c r="AU36" i="26"/>
  <c r="AE142" i="23"/>
  <c r="BE40" i="26" s="1"/>
  <c r="BE36" i="26"/>
  <c r="U187" i="23"/>
  <c r="AU58" i="26" s="1"/>
  <c r="AU54" i="26"/>
  <c r="AE187" i="23"/>
  <c r="BE58" i="26" s="1"/>
  <c r="BE54" i="26"/>
  <c r="U217" i="23"/>
  <c r="AU67" i="26" s="1"/>
  <c r="AU63" i="26"/>
  <c r="AE217" i="23"/>
  <c r="BE67" i="26" s="1"/>
  <c r="BE63" i="26"/>
  <c r="BW120" i="27"/>
  <c r="BW103" i="27"/>
  <c r="BU120" i="27"/>
  <c r="BV103" i="27"/>
  <c r="BT103" i="27"/>
  <c r="BT120" i="27"/>
  <c r="BS120" i="27"/>
  <c r="BS82" i="27"/>
  <c r="BW82" i="27"/>
  <c r="BU83" i="27"/>
  <c r="BS84" i="27"/>
  <c r="BW84" i="27"/>
  <c r="BS91" i="27"/>
  <c r="BW91" i="27"/>
  <c r="BU92" i="27"/>
  <c r="BS93" i="27"/>
  <c r="BW93" i="27"/>
  <c r="BS109" i="27"/>
  <c r="BW109" i="27"/>
  <c r="BU110" i="27"/>
  <c r="BS111" i="27"/>
  <c r="BW111" i="27"/>
  <c r="BS118" i="27"/>
  <c r="BW118" i="27"/>
  <c r="BU119" i="27"/>
  <c r="BU127" i="27"/>
  <c r="BW128" i="27"/>
  <c r="BU129" i="27"/>
  <c r="BU172" i="27"/>
  <c r="BW173" i="27"/>
  <c r="BU174" i="27"/>
  <c r="BV46" i="27"/>
  <c r="BT47" i="27"/>
  <c r="BV48" i="27"/>
  <c r="BV37" i="27"/>
  <c r="BT38" i="27"/>
  <c r="BV39" i="27"/>
  <c r="BU103" i="27"/>
  <c r="AF568" i="20"/>
  <c r="W73" i="27" s="1"/>
  <c r="BV64" i="27"/>
  <c r="BT65" i="27"/>
  <c r="BV66" i="27"/>
  <c r="BV19" i="27"/>
  <c r="BT20" i="27"/>
  <c r="BV21" i="27"/>
  <c r="BV82" i="27"/>
  <c r="BT83" i="27"/>
  <c r="BV84" i="27"/>
  <c r="BV91" i="27"/>
  <c r="BT92" i="27"/>
  <c r="BV118" i="27"/>
  <c r="BT119" i="27"/>
  <c r="BT127" i="27"/>
  <c r="BT129" i="27"/>
  <c r="BV173" i="27"/>
  <c r="BT174" i="27"/>
  <c r="BS73" i="27"/>
  <c r="BX99" i="27"/>
  <c r="V460" i="20"/>
  <c r="M58" i="27" s="1"/>
  <c r="E58" i="27" s="1"/>
  <c r="BT64" i="27"/>
  <c r="BV65" i="27"/>
  <c r="BT66" i="27"/>
  <c r="BV93" i="27"/>
  <c r="BV109" i="27"/>
  <c r="BT110" i="27"/>
  <c r="BV111" i="27"/>
  <c r="BV128" i="27"/>
  <c r="BW64" i="27"/>
  <c r="BU65" i="27"/>
  <c r="BW66" i="27"/>
  <c r="BW19" i="27"/>
  <c r="BU20" i="27"/>
  <c r="BW21" i="27"/>
  <c r="BW46" i="27"/>
  <c r="BU47" i="27"/>
  <c r="BW48" i="27"/>
  <c r="BW37" i="27"/>
  <c r="BU38" i="27"/>
  <c r="BW39" i="27"/>
  <c r="T379" i="20"/>
  <c r="K22" i="27" s="1"/>
  <c r="C22" i="27" s="1"/>
  <c r="K18" i="27"/>
  <c r="C18" i="27" s="1"/>
  <c r="BS18" i="27" s="1"/>
  <c r="AB502" i="20"/>
  <c r="S67" i="27" s="1"/>
  <c r="S63" i="27"/>
  <c r="BT63" i="27" s="1"/>
  <c r="Y499" i="20"/>
  <c r="P64" i="27" s="1"/>
  <c r="H64" i="27" s="1"/>
  <c r="K64" i="27"/>
  <c r="C64" i="27" s="1"/>
  <c r="BS64" i="27" s="1"/>
  <c r="Y501" i="20"/>
  <c r="P66" i="27" s="1"/>
  <c r="H66" i="27" s="1"/>
  <c r="K66" i="27"/>
  <c r="C66" i="27" s="1"/>
  <c r="BS66" i="27" s="1"/>
  <c r="Y457" i="20"/>
  <c r="P55" i="27" s="1"/>
  <c r="H55" i="27" s="1"/>
  <c r="K55" i="27"/>
  <c r="C55" i="27" s="1"/>
  <c r="BS55" i="27" s="1"/>
  <c r="U609" i="20"/>
  <c r="L94" i="27" s="1"/>
  <c r="D94" i="27" s="1"/>
  <c r="L90" i="27"/>
  <c r="D90" i="27" s="1"/>
  <c r="BT90" i="27" s="1"/>
  <c r="AE609" i="20"/>
  <c r="V94" i="27" s="1"/>
  <c r="V90" i="27"/>
  <c r="U701" i="20"/>
  <c r="L112" i="27" s="1"/>
  <c r="D112" i="27" s="1"/>
  <c r="L108" i="27"/>
  <c r="D108" i="27" s="1"/>
  <c r="BT108" i="27" s="1"/>
  <c r="AC791" i="20"/>
  <c r="T130" i="27" s="1"/>
  <c r="T126" i="27"/>
  <c r="BU126" i="27" s="1"/>
  <c r="X571" i="20"/>
  <c r="O76" i="27" s="1"/>
  <c r="G76" i="27" s="1"/>
  <c r="BW76" i="27" s="1"/>
  <c r="O72" i="27"/>
  <c r="G72" i="27" s="1"/>
  <c r="BW72" i="27" s="1"/>
  <c r="AD460" i="20"/>
  <c r="U58" i="27" s="1"/>
  <c r="W502" i="20"/>
  <c r="N67" i="27" s="1"/>
  <c r="F67" i="27" s="1"/>
  <c r="N63" i="27"/>
  <c r="F63" i="27" s="1"/>
  <c r="BV63" i="27" s="1"/>
  <c r="AC502" i="20"/>
  <c r="T67" i="27" s="1"/>
  <c r="T63" i="27"/>
  <c r="V379" i="20"/>
  <c r="M22" i="27" s="1"/>
  <c r="E22" i="27" s="1"/>
  <c r="M18" i="27"/>
  <c r="E18" i="27" s="1"/>
  <c r="AB379" i="20"/>
  <c r="S22" i="27" s="1"/>
  <c r="S18" i="27"/>
  <c r="BT18" i="27" s="1"/>
  <c r="V357" i="20"/>
  <c r="BF13" i="27" s="1"/>
  <c r="BF9" i="27"/>
  <c r="AB357" i="20"/>
  <c r="BL13" i="27" s="1"/>
  <c r="BL9" i="27"/>
  <c r="V428" i="20"/>
  <c r="M49" i="27" s="1"/>
  <c r="E49" i="27" s="1"/>
  <c r="M45" i="27"/>
  <c r="E45" i="27" s="1"/>
  <c r="AB428" i="20"/>
  <c r="S49" i="27" s="1"/>
  <c r="S45" i="27"/>
  <c r="BT45" i="27" s="1"/>
  <c r="V412" i="20"/>
  <c r="M40" i="27" s="1"/>
  <c r="E40" i="27" s="1"/>
  <c r="M36" i="27"/>
  <c r="E36" i="27" s="1"/>
  <c r="AB412" i="20"/>
  <c r="S40" i="27" s="1"/>
  <c r="S36" i="27"/>
  <c r="BT36" i="27" s="1"/>
  <c r="Y458" i="20"/>
  <c r="P56" i="27" s="1"/>
  <c r="H56" i="27" s="1"/>
  <c r="K56" i="27"/>
  <c r="C56" i="27" s="1"/>
  <c r="BS56" i="27" s="1"/>
  <c r="T791" i="20"/>
  <c r="K130" i="27" s="1"/>
  <c r="C130" i="27" s="1"/>
  <c r="K126" i="27"/>
  <c r="C126" i="27" s="1"/>
  <c r="BS126" i="27" s="1"/>
  <c r="X791" i="20"/>
  <c r="O130" i="27" s="1"/>
  <c r="G130" i="27" s="1"/>
  <c r="O126" i="27"/>
  <c r="G126" i="27" s="1"/>
  <c r="AD791" i="20"/>
  <c r="U130" i="27" s="1"/>
  <c r="U126" i="27"/>
  <c r="Y789" i="20"/>
  <c r="P128" i="27" s="1"/>
  <c r="H128" i="27" s="1"/>
  <c r="K128" i="27"/>
  <c r="C128" i="27" s="1"/>
  <c r="BS128" i="27" s="1"/>
  <c r="BS72" i="27"/>
  <c r="V502" i="20"/>
  <c r="M67" i="27" s="1"/>
  <c r="E67" i="27" s="1"/>
  <c r="M63" i="27"/>
  <c r="E63" i="27" s="1"/>
  <c r="U585" i="20"/>
  <c r="L85" i="27" s="1"/>
  <c r="D85" i="27" s="1"/>
  <c r="L81" i="27"/>
  <c r="D81" i="27" s="1"/>
  <c r="BT81" i="27" s="1"/>
  <c r="AE585" i="20"/>
  <c r="V85" i="27" s="1"/>
  <c r="V81" i="27"/>
  <c r="AA701" i="20"/>
  <c r="R112" i="27" s="1"/>
  <c r="R108" i="27"/>
  <c r="AE701" i="20"/>
  <c r="V112" i="27" s="1"/>
  <c r="V108" i="27"/>
  <c r="U765" i="20"/>
  <c r="L121" i="27" s="1"/>
  <c r="D121" i="27" s="1"/>
  <c r="L117" i="27"/>
  <c r="D117" i="27" s="1"/>
  <c r="BT117" i="27" s="1"/>
  <c r="AE765" i="20"/>
  <c r="V121" i="27" s="1"/>
  <c r="V117" i="27"/>
  <c r="W791" i="20"/>
  <c r="N130" i="27" s="1"/>
  <c r="F130" i="27" s="1"/>
  <c r="N126" i="27"/>
  <c r="F126" i="27" s="1"/>
  <c r="BS63" i="27"/>
  <c r="BW63" i="27"/>
  <c r="BU64" i="27"/>
  <c r="BS65" i="27"/>
  <c r="BW65" i="27"/>
  <c r="BU66" i="27"/>
  <c r="AB398" i="20"/>
  <c r="S31" i="27" s="1"/>
  <c r="Y397" i="20"/>
  <c r="P30" i="27" s="1"/>
  <c r="H30" i="27" s="1"/>
  <c r="K30" i="27"/>
  <c r="C30" i="27" s="1"/>
  <c r="BS30" i="27" s="1"/>
  <c r="W398" i="20"/>
  <c r="N31" i="27" s="1"/>
  <c r="F31" i="27" s="1"/>
  <c r="N30" i="27"/>
  <c r="F30" i="27" s="1"/>
  <c r="BV30" i="27" s="1"/>
  <c r="X398" i="20"/>
  <c r="O31" i="27" s="1"/>
  <c r="G31" i="27" s="1"/>
  <c r="O30" i="27"/>
  <c r="G30" i="27" s="1"/>
  <c r="BW30" i="27" s="1"/>
  <c r="W379" i="20"/>
  <c r="N22" i="27" s="1"/>
  <c r="F22" i="27" s="1"/>
  <c r="N18" i="27"/>
  <c r="F18" i="27" s="1"/>
  <c r="AC379" i="20"/>
  <c r="T22" i="27" s="1"/>
  <c r="T18" i="27"/>
  <c r="BT19" i="27"/>
  <c r="AF376" i="20"/>
  <c r="W19" i="27" s="1"/>
  <c r="R19" i="27"/>
  <c r="BS19" i="27" s="1"/>
  <c r="BV20" i="27"/>
  <c r="BT21" i="27"/>
  <c r="AF378" i="20"/>
  <c r="W21" i="27" s="1"/>
  <c r="R21" i="27"/>
  <c r="BS21" i="27" s="1"/>
  <c r="W357" i="20"/>
  <c r="BG13" i="27" s="1"/>
  <c r="BG9" i="27"/>
  <c r="AC357" i="20"/>
  <c r="BM13" i="27" s="1"/>
  <c r="BM9" i="27"/>
  <c r="AF354" i="20"/>
  <c r="BP10" i="27" s="1"/>
  <c r="BK10" i="27"/>
  <c r="AF356" i="20"/>
  <c r="BP12" i="27" s="1"/>
  <c r="BK12" i="27"/>
  <c r="W428" i="20"/>
  <c r="N49" i="27" s="1"/>
  <c r="F49" i="27" s="1"/>
  <c r="N45" i="27"/>
  <c r="F45" i="27" s="1"/>
  <c r="AC428" i="20"/>
  <c r="T49" i="27" s="1"/>
  <c r="T45" i="27"/>
  <c r="BT46" i="27"/>
  <c r="AF425" i="20"/>
  <c r="W46" i="27" s="1"/>
  <c r="R46" i="27"/>
  <c r="BS46" i="27" s="1"/>
  <c r="BV47" i="27"/>
  <c r="BT48" i="27"/>
  <c r="AF427" i="20"/>
  <c r="W48" i="27" s="1"/>
  <c r="R48" i="27"/>
  <c r="BS48" i="27" s="1"/>
  <c r="W412" i="20"/>
  <c r="N40" i="27" s="1"/>
  <c r="F40" i="27" s="1"/>
  <c r="N36" i="27"/>
  <c r="F36" i="27" s="1"/>
  <c r="AC412" i="20"/>
  <c r="T40" i="27" s="1"/>
  <c r="T36" i="27"/>
  <c r="BT37" i="27"/>
  <c r="AF409" i="20"/>
  <c r="W37" i="27" s="1"/>
  <c r="R37" i="27"/>
  <c r="BS37" i="27" s="1"/>
  <c r="BV38" i="27"/>
  <c r="BT39" i="27"/>
  <c r="AF411" i="20"/>
  <c r="W39" i="27" s="1"/>
  <c r="R39" i="27"/>
  <c r="BS39" i="27" s="1"/>
  <c r="T460" i="20"/>
  <c r="K58" i="27" s="1"/>
  <c r="C58" i="27" s="1"/>
  <c r="K57" i="27"/>
  <c r="C57" i="27" s="1"/>
  <c r="BS57" i="27" s="1"/>
  <c r="U460" i="20"/>
  <c r="L58" i="27" s="1"/>
  <c r="D58" i="27" s="1"/>
  <c r="L57" i="27"/>
  <c r="D57" i="27" s="1"/>
  <c r="BT57" i="27" s="1"/>
  <c r="W460" i="20"/>
  <c r="N58" i="27" s="1"/>
  <c r="F58" i="27" s="1"/>
  <c r="N57" i="27"/>
  <c r="F57" i="27" s="1"/>
  <c r="BV57" i="27" s="1"/>
  <c r="X460" i="20"/>
  <c r="O58" i="27" s="1"/>
  <c r="G58" i="27" s="1"/>
  <c r="O57" i="27"/>
  <c r="G57" i="27" s="1"/>
  <c r="AC460" i="20"/>
  <c r="T58" i="27" s="1"/>
  <c r="T57" i="27"/>
  <c r="BU57" i="27" s="1"/>
  <c r="AE460" i="20"/>
  <c r="V58" i="27" s="1"/>
  <c r="V57" i="27"/>
  <c r="W585" i="20"/>
  <c r="N85" i="27" s="1"/>
  <c r="F85" i="27" s="1"/>
  <c r="N81" i="27"/>
  <c r="F81" i="27" s="1"/>
  <c r="AC585" i="20"/>
  <c r="T85" i="27" s="1"/>
  <c r="T81" i="27"/>
  <c r="BU81" i="27" s="1"/>
  <c r="BT82" i="27"/>
  <c r="BV83" i="27"/>
  <c r="BT84" i="27"/>
  <c r="W609" i="20"/>
  <c r="N94" i="27" s="1"/>
  <c r="F94" i="27" s="1"/>
  <c r="N90" i="27"/>
  <c r="F90" i="27" s="1"/>
  <c r="AC609" i="20"/>
  <c r="T94" i="27" s="1"/>
  <c r="T90" i="27"/>
  <c r="BU90" i="27" s="1"/>
  <c r="BT91" i="27"/>
  <c r="BV92" i="27"/>
  <c r="BT93" i="27"/>
  <c r="W701" i="20"/>
  <c r="N112" i="27" s="1"/>
  <c r="F112" i="27" s="1"/>
  <c r="N108" i="27"/>
  <c r="F108" i="27" s="1"/>
  <c r="AC701" i="20"/>
  <c r="T112" i="27" s="1"/>
  <c r="T108" i="27"/>
  <c r="BU108" i="27" s="1"/>
  <c r="BV110" i="27"/>
  <c r="BV117" i="27"/>
  <c r="AC765" i="20"/>
  <c r="T121" i="27" s="1"/>
  <c r="T117" i="27"/>
  <c r="BU117" i="27" s="1"/>
  <c r="BT118" i="27"/>
  <c r="BV119" i="27"/>
  <c r="U791" i="20"/>
  <c r="L130" i="27" s="1"/>
  <c r="D130" i="27" s="1"/>
  <c r="L126" i="27"/>
  <c r="D126" i="27" s="1"/>
  <c r="BT126" i="27" s="1"/>
  <c r="AE791" i="20"/>
  <c r="V130" i="27" s="1"/>
  <c r="V126" i="27"/>
  <c r="BV127" i="27"/>
  <c r="BT128" i="27"/>
  <c r="BV129" i="27"/>
  <c r="BS103" i="27"/>
  <c r="X379" i="20"/>
  <c r="O22" i="27" s="1"/>
  <c r="G22" i="27" s="1"/>
  <c r="O18" i="27"/>
  <c r="G18" i="27" s="1"/>
  <c r="BW18" i="27" s="1"/>
  <c r="AD379" i="20"/>
  <c r="U22" i="27" s="1"/>
  <c r="U18" i="27"/>
  <c r="BU19" i="27"/>
  <c r="BS20" i="27"/>
  <c r="BW20" i="27"/>
  <c r="BU21" i="27"/>
  <c r="T357" i="20"/>
  <c r="BD13" i="27" s="1"/>
  <c r="BD9" i="27"/>
  <c r="C9" i="27" s="1"/>
  <c r="BS9" i="27" s="1"/>
  <c r="X357" i="20"/>
  <c r="BH13" i="27" s="1"/>
  <c r="BH9" i="27"/>
  <c r="G9" i="27" s="1"/>
  <c r="AD357" i="20"/>
  <c r="BN13" i="27" s="1"/>
  <c r="BN9" i="27"/>
  <c r="BS45" i="27"/>
  <c r="X428" i="20"/>
  <c r="O49" i="27" s="1"/>
  <c r="G49" i="27" s="1"/>
  <c r="O45" i="27"/>
  <c r="G45" i="27" s="1"/>
  <c r="BW45" i="27" s="1"/>
  <c r="AD428" i="20"/>
  <c r="U49" i="27" s="1"/>
  <c r="U45" i="27"/>
  <c r="BU46" i="27"/>
  <c r="BS47" i="27"/>
  <c r="BW47" i="27"/>
  <c r="BU48" i="27"/>
  <c r="BS36" i="27"/>
  <c r="X412" i="20"/>
  <c r="O40" i="27" s="1"/>
  <c r="G40" i="27" s="1"/>
  <c r="O36" i="27"/>
  <c r="G36" i="27" s="1"/>
  <c r="BW36" i="27" s="1"/>
  <c r="AD412" i="20"/>
  <c r="U40" i="27" s="1"/>
  <c r="U36" i="27"/>
  <c r="BU37" i="27"/>
  <c r="BS38" i="27"/>
  <c r="BW38" i="27"/>
  <c r="BU39" i="27"/>
  <c r="AF456" i="20"/>
  <c r="W54" i="27" s="1"/>
  <c r="R54" i="27"/>
  <c r="BS54" i="27" s="1"/>
  <c r="AF567" i="20"/>
  <c r="W72" i="27" s="1"/>
  <c r="Y581" i="20"/>
  <c r="P81" i="27" s="1"/>
  <c r="H81" i="27" s="1"/>
  <c r="K81" i="27"/>
  <c r="C81" i="27" s="1"/>
  <c r="BS81" i="27" s="1"/>
  <c r="X585" i="20"/>
  <c r="O85" i="27" s="1"/>
  <c r="G85" i="27" s="1"/>
  <c r="O81" i="27"/>
  <c r="G81" i="27" s="1"/>
  <c r="AD585" i="20"/>
  <c r="U85" i="27" s="1"/>
  <c r="U81" i="27"/>
  <c r="BU82" i="27"/>
  <c r="Y583" i="20"/>
  <c r="P83" i="27" s="1"/>
  <c r="H83" i="27" s="1"/>
  <c r="K83" i="27"/>
  <c r="C83" i="27" s="1"/>
  <c r="BS83" i="27" s="1"/>
  <c r="BW83" i="27"/>
  <c r="BU84" i="27"/>
  <c r="T609" i="20"/>
  <c r="K94" i="27" s="1"/>
  <c r="C94" i="27" s="1"/>
  <c r="K90" i="27"/>
  <c r="C90" i="27" s="1"/>
  <c r="BS90" i="27" s="1"/>
  <c r="X609" i="20"/>
  <c r="O94" i="27" s="1"/>
  <c r="G94" i="27" s="1"/>
  <c r="O90" i="27"/>
  <c r="G90" i="27" s="1"/>
  <c r="AD609" i="20"/>
  <c r="U94" i="27" s="1"/>
  <c r="U90" i="27"/>
  <c r="BU91" i="27"/>
  <c r="Y607" i="20"/>
  <c r="P92" i="27" s="1"/>
  <c r="H92" i="27" s="1"/>
  <c r="K92" i="27"/>
  <c r="C92" i="27" s="1"/>
  <c r="BS92" i="27" s="1"/>
  <c r="BW92" i="27"/>
  <c r="BU93" i="27"/>
  <c r="T701" i="20"/>
  <c r="K112" i="27" s="1"/>
  <c r="C112" i="27" s="1"/>
  <c r="K108" i="27"/>
  <c r="C108" i="27" s="1"/>
  <c r="X701" i="20"/>
  <c r="O112" i="27" s="1"/>
  <c r="G112" i="27" s="1"/>
  <c r="O108" i="27"/>
  <c r="G108" i="27" s="1"/>
  <c r="AD701" i="20"/>
  <c r="U112" i="27" s="1"/>
  <c r="U108" i="27"/>
  <c r="BU109" i="27"/>
  <c r="AF698" i="20"/>
  <c r="W109" i="27" s="1"/>
  <c r="S109" i="27"/>
  <c r="BT109" i="27" s="1"/>
  <c r="Y699" i="20"/>
  <c r="P110" i="27" s="1"/>
  <c r="H110" i="27" s="1"/>
  <c r="K110" i="27"/>
  <c r="C110" i="27" s="1"/>
  <c r="BS110" i="27" s="1"/>
  <c r="BW110" i="27"/>
  <c r="BU111" i="27"/>
  <c r="AF700" i="20"/>
  <c r="W111" i="27" s="1"/>
  <c r="S111" i="27"/>
  <c r="BT111" i="27" s="1"/>
  <c r="T765" i="20"/>
  <c r="K121" i="27" s="1"/>
  <c r="C121" i="27" s="1"/>
  <c r="K117" i="27"/>
  <c r="C117" i="27" s="1"/>
  <c r="BS117" i="27" s="1"/>
  <c r="X765" i="20"/>
  <c r="O121" i="27" s="1"/>
  <c r="G121" i="27" s="1"/>
  <c r="O117" i="27"/>
  <c r="G117" i="27" s="1"/>
  <c r="BU118" i="27"/>
  <c r="Y763" i="20"/>
  <c r="P119" i="27" s="1"/>
  <c r="H119" i="27" s="1"/>
  <c r="K119" i="27"/>
  <c r="C119" i="27" s="1"/>
  <c r="BS119" i="27" s="1"/>
  <c r="BW119" i="27"/>
  <c r="BS127" i="27"/>
  <c r="BW127" i="27"/>
  <c r="BU128" i="27"/>
  <c r="BS129" i="27"/>
  <c r="BW129" i="27"/>
  <c r="BX102" i="27"/>
  <c r="BV172" i="27"/>
  <c r="BT173" i="27"/>
  <c r="BV174" i="27"/>
  <c r="BX100" i="27"/>
  <c r="BX101" i="27"/>
  <c r="Y942" i="20"/>
  <c r="P171" i="27" s="1"/>
  <c r="H171" i="27" s="1"/>
  <c r="K171" i="27"/>
  <c r="C171" i="27" s="1"/>
  <c r="X946" i="20"/>
  <c r="O175" i="27" s="1"/>
  <c r="G175" i="27" s="1"/>
  <c r="O171" i="27"/>
  <c r="G171" i="27" s="1"/>
  <c r="AD946" i="20"/>
  <c r="U175" i="27" s="1"/>
  <c r="U171" i="27"/>
  <c r="AF943" i="20"/>
  <c r="W172" i="27" s="1"/>
  <c r="S172" i="27"/>
  <c r="BT172" i="27" s="1"/>
  <c r="Y944" i="20"/>
  <c r="P173" i="27" s="1"/>
  <c r="H173" i="27" s="1"/>
  <c r="K173" i="27"/>
  <c r="C173" i="27" s="1"/>
  <c r="BS173" i="27" s="1"/>
  <c r="W946" i="20"/>
  <c r="N175" i="27" s="1"/>
  <c r="F175" i="27" s="1"/>
  <c r="N171" i="27"/>
  <c r="F171" i="27" s="1"/>
  <c r="U946" i="20"/>
  <c r="L175" i="27" s="1"/>
  <c r="D175" i="27" s="1"/>
  <c r="L171" i="27"/>
  <c r="D171" i="27" s="1"/>
  <c r="BT171" i="27" s="1"/>
  <c r="AA946" i="20"/>
  <c r="R175" i="27" s="1"/>
  <c r="R171" i="27"/>
  <c r="AE946" i="20"/>
  <c r="V175" i="27" s="1"/>
  <c r="V171" i="27"/>
  <c r="AC946" i="20"/>
  <c r="T175" i="27" s="1"/>
  <c r="T171" i="27"/>
  <c r="BU171" i="27" s="1"/>
  <c r="BS172" i="27"/>
  <c r="BW172" i="27"/>
  <c r="BU173" i="27"/>
  <c r="BS174" i="27"/>
  <c r="BW174" i="27"/>
  <c r="Y301" i="20"/>
  <c r="AE12" i="27" s="1"/>
  <c r="Z12" i="27"/>
  <c r="D10" i="27"/>
  <c r="D199" i="27" s="1"/>
  <c r="E8" i="28" s="1"/>
  <c r="F10" i="27"/>
  <c r="G10" i="27"/>
  <c r="G199" i="27" s="1"/>
  <c r="H8" i="28" s="1"/>
  <c r="E11" i="27"/>
  <c r="E200" i="27" s="1"/>
  <c r="F9" i="28" s="1"/>
  <c r="D12" i="27"/>
  <c r="G12" i="27"/>
  <c r="U342" i="20"/>
  <c r="AP13" i="27" s="1"/>
  <c r="AP9" i="27"/>
  <c r="D9" i="27" s="1"/>
  <c r="AE342" i="20"/>
  <c r="AZ13" i="27" s="1"/>
  <c r="AZ9" i="27"/>
  <c r="C11" i="27"/>
  <c r="D11" i="27"/>
  <c r="G11" i="27"/>
  <c r="V342" i="20"/>
  <c r="AQ13" i="27" s="1"/>
  <c r="AQ9" i="27"/>
  <c r="AB342" i="20"/>
  <c r="AW13" i="27" s="1"/>
  <c r="AW9" i="27"/>
  <c r="Y339" i="20"/>
  <c r="AT10" i="27" s="1"/>
  <c r="AO10" i="27"/>
  <c r="Y341" i="20"/>
  <c r="AT12" i="27" s="1"/>
  <c r="AO12" i="27"/>
  <c r="E10" i="27"/>
  <c r="E12" i="27"/>
  <c r="F12" i="27"/>
  <c r="W342" i="20"/>
  <c r="AR13" i="27" s="1"/>
  <c r="AR9" i="27"/>
  <c r="AC342" i="20"/>
  <c r="AX13" i="27" s="1"/>
  <c r="AX9" i="27"/>
  <c r="AF339" i="20"/>
  <c r="BA10" i="27" s="1"/>
  <c r="AF341" i="20"/>
  <c r="BA12" i="27" s="1"/>
  <c r="AF499" i="20"/>
  <c r="W64" i="27" s="1"/>
  <c r="AF501" i="20"/>
  <c r="W66" i="27" s="1"/>
  <c r="AF394" i="20"/>
  <c r="W27" i="27" s="1"/>
  <c r="Y377" i="20"/>
  <c r="P20" i="27" s="1"/>
  <c r="H20" i="27" s="1"/>
  <c r="Y355" i="20"/>
  <c r="BI11" i="27" s="1"/>
  <c r="Y424" i="20"/>
  <c r="P45" i="27" s="1"/>
  <c r="H45" i="27" s="1"/>
  <c r="Y426" i="20"/>
  <c r="P47" i="27" s="1"/>
  <c r="H47" i="27" s="1"/>
  <c r="Y408" i="20"/>
  <c r="P36" i="27" s="1"/>
  <c r="H36" i="27" s="1"/>
  <c r="Y410" i="20"/>
  <c r="P38" i="27" s="1"/>
  <c r="H38" i="27" s="1"/>
  <c r="AF581" i="20"/>
  <c r="W81" i="27" s="1"/>
  <c r="AF583" i="20"/>
  <c r="W83" i="27" s="1"/>
  <c r="BX83" i="27" s="1"/>
  <c r="AF605" i="20"/>
  <c r="W90" i="27" s="1"/>
  <c r="AF607" i="20"/>
  <c r="W92" i="27" s="1"/>
  <c r="AF761" i="20"/>
  <c r="W117" i="27" s="1"/>
  <c r="AF763" i="20"/>
  <c r="W119" i="27" s="1"/>
  <c r="AF787" i="20"/>
  <c r="W126" i="27" s="1"/>
  <c r="AF789" i="20"/>
  <c r="W128" i="27" s="1"/>
  <c r="Y568" i="20"/>
  <c r="P73" i="27" s="1"/>
  <c r="H73" i="27" s="1"/>
  <c r="AF397" i="20"/>
  <c r="W30" i="27" s="1"/>
  <c r="Y338" i="20"/>
  <c r="AT9" i="27" s="1"/>
  <c r="X342" i="20"/>
  <c r="AS13" i="27" s="1"/>
  <c r="AD342" i="20"/>
  <c r="AY13" i="27" s="1"/>
  <c r="Y340" i="20"/>
  <c r="AT11" i="27" s="1"/>
  <c r="Y498" i="20"/>
  <c r="P63" i="27" s="1"/>
  <c r="H63" i="27" s="1"/>
  <c r="X502" i="20"/>
  <c r="O67" i="27" s="1"/>
  <c r="G67" i="27" s="1"/>
  <c r="AD502" i="20"/>
  <c r="U67" i="27" s="1"/>
  <c r="Y500" i="20"/>
  <c r="P65" i="27" s="1"/>
  <c r="H65" i="27" s="1"/>
  <c r="Y395" i="20"/>
  <c r="P28" i="27" s="1"/>
  <c r="H28" i="27" s="1"/>
  <c r="AF395" i="20"/>
  <c r="W28" i="27" s="1"/>
  <c r="U379" i="20"/>
  <c r="L22" i="27" s="1"/>
  <c r="D22" i="27" s="1"/>
  <c r="AF375" i="20"/>
  <c r="AE379" i="20"/>
  <c r="V22" i="27" s="1"/>
  <c r="AF377" i="20"/>
  <c r="W20" i="27" s="1"/>
  <c r="U357" i="20"/>
  <c r="BE13" i="27" s="1"/>
  <c r="AF353" i="20"/>
  <c r="AE357" i="20"/>
  <c r="BO13" i="27" s="1"/>
  <c r="AF355" i="20"/>
  <c r="BP11" i="27" s="1"/>
  <c r="U428" i="20"/>
  <c r="L49" i="27" s="1"/>
  <c r="D49" i="27" s="1"/>
  <c r="AF424" i="20"/>
  <c r="AE428" i="20"/>
  <c r="V49" i="27" s="1"/>
  <c r="AF426" i="20"/>
  <c r="W47" i="27" s="1"/>
  <c r="U412" i="20"/>
  <c r="L40" i="27" s="1"/>
  <c r="D40" i="27" s="1"/>
  <c r="AF408" i="20"/>
  <c r="AE412" i="20"/>
  <c r="V40" i="27" s="1"/>
  <c r="AF410" i="20"/>
  <c r="W38" i="27" s="1"/>
  <c r="AF457" i="20"/>
  <c r="W55" i="27" s="1"/>
  <c r="V585" i="20"/>
  <c r="M85" i="27" s="1"/>
  <c r="E85" i="27" s="1"/>
  <c r="AB585" i="20"/>
  <c r="S85" i="27" s="1"/>
  <c r="Y582" i="20"/>
  <c r="Y584" i="20"/>
  <c r="P84" i="27" s="1"/>
  <c r="H84" i="27" s="1"/>
  <c r="V609" i="20"/>
  <c r="M94" i="27" s="1"/>
  <c r="E94" i="27" s="1"/>
  <c r="AB609" i="20"/>
  <c r="S94" i="27" s="1"/>
  <c r="Y606" i="20"/>
  <c r="P91" i="27" s="1"/>
  <c r="H91" i="27" s="1"/>
  <c r="Y608" i="20"/>
  <c r="P93" i="27" s="1"/>
  <c r="H93" i="27" s="1"/>
  <c r="V701" i="20"/>
  <c r="M112" i="27" s="1"/>
  <c r="E112" i="27" s="1"/>
  <c r="AB701" i="20"/>
  <c r="S112" i="27" s="1"/>
  <c r="Y698" i="20"/>
  <c r="P109" i="27" s="1"/>
  <c r="H109" i="27" s="1"/>
  <c r="AF699" i="20"/>
  <c r="W110" i="27" s="1"/>
  <c r="Y700" i="20"/>
  <c r="P111" i="27" s="1"/>
  <c r="H111" i="27" s="1"/>
  <c r="BX111" i="27" s="1"/>
  <c r="V765" i="20"/>
  <c r="M121" i="27" s="1"/>
  <c r="E121" i="27" s="1"/>
  <c r="AB765" i="20"/>
  <c r="S121" i="27" s="1"/>
  <c r="Y762" i="20"/>
  <c r="P118" i="27" s="1"/>
  <c r="H118" i="27" s="1"/>
  <c r="V791" i="20"/>
  <c r="M130" i="27" s="1"/>
  <c r="E130" i="27" s="1"/>
  <c r="BU130" i="27" s="1"/>
  <c r="AB791" i="20"/>
  <c r="S130" i="27" s="1"/>
  <c r="Y788" i="20"/>
  <c r="P127" i="27" s="1"/>
  <c r="H127" i="27" s="1"/>
  <c r="Y790" i="20"/>
  <c r="P129" i="27" s="1"/>
  <c r="H129" i="27" s="1"/>
  <c r="V946" i="20"/>
  <c r="M175" i="27" s="1"/>
  <c r="E175" i="27" s="1"/>
  <c r="AB946" i="20"/>
  <c r="S175" i="27" s="1"/>
  <c r="Y943" i="20"/>
  <c r="AF944" i="20"/>
  <c r="W173" i="27" s="1"/>
  <c r="Y945" i="20"/>
  <c r="P174" i="27" s="1"/>
  <c r="H174" i="27" s="1"/>
  <c r="Y459" i="20"/>
  <c r="P57" i="27" s="1"/>
  <c r="H57" i="27" s="1"/>
  <c r="AF459" i="20"/>
  <c r="W57" i="27" s="1"/>
  <c r="AF338" i="20"/>
  <c r="BA9" i="27" s="1"/>
  <c r="AF340" i="20"/>
  <c r="BA11" i="27" s="1"/>
  <c r="U502" i="20"/>
  <c r="L67" i="27" s="1"/>
  <c r="D67" i="27" s="1"/>
  <c r="AF498" i="20"/>
  <c r="W63" i="27" s="1"/>
  <c r="AE502" i="20"/>
  <c r="V67" i="27" s="1"/>
  <c r="AF500" i="20"/>
  <c r="W65" i="27" s="1"/>
  <c r="Y396" i="20"/>
  <c r="P29" i="27" s="1"/>
  <c r="H29" i="27" s="1"/>
  <c r="AF396" i="20"/>
  <c r="Y376" i="20"/>
  <c r="P19" i="27" s="1"/>
  <c r="H19" i="27" s="1"/>
  <c r="Y378" i="20"/>
  <c r="P21" i="27" s="1"/>
  <c r="H21" i="27" s="1"/>
  <c r="Y354" i="20"/>
  <c r="BI10" i="27" s="1"/>
  <c r="Y356" i="20"/>
  <c r="BI12" i="27" s="1"/>
  <c r="Y425" i="20"/>
  <c r="P46" i="27" s="1"/>
  <c r="H46" i="27" s="1"/>
  <c r="Y427" i="20"/>
  <c r="P48" i="27" s="1"/>
  <c r="H48" i="27" s="1"/>
  <c r="Y409" i="20"/>
  <c r="P37" i="27" s="1"/>
  <c r="H37" i="27" s="1"/>
  <c r="Y411" i="20"/>
  <c r="P39" i="27" s="1"/>
  <c r="H39" i="27" s="1"/>
  <c r="AF458" i="20"/>
  <c r="W56" i="27" s="1"/>
  <c r="AF582" i="20"/>
  <c r="W82" i="27" s="1"/>
  <c r="AF584" i="20"/>
  <c r="W84" i="27" s="1"/>
  <c r="AF606" i="20"/>
  <c r="W91" i="27" s="1"/>
  <c r="AF608" i="20"/>
  <c r="W93" i="27" s="1"/>
  <c r="AF762" i="20"/>
  <c r="W118" i="27" s="1"/>
  <c r="AF788" i="20"/>
  <c r="W127" i="27" s="1"/>
  <c r="AF790" i="20"/>
  <c r="W129" i="27" s="1"/>
  <c r="AF945" i="20"/>
  <c r="W174" i="27" s="1"/>
  <c r="AF138" i="23"/>
  <c r="BF36" i="26" s="1"/>
  <c r="AF140" i="23"/>
  <c r="BF38" i="26" s="1"/>
  <c r="AF183" i="23"/>
  <c r="AF185" i="23"/>
  <c r="BF56" i="26" s="1"/>
  <c r="AF213" i="23"/>
  <c r="BF63" i="26" s="1"/>
  <c r="AF215" i="23"/>
  <c r="BF65" i="26" s="1"/>
  <c r="V142" i="23"/>
  <c r="AV40" i="26" s="1"/>
  <c r="AB142" i="23"/>
  <c r="BB40" i="26" s="1"/>
  <c r="Y139" i="23"/>
  <c r="AY37" i="26" s="1"/>
  <c r="Y141" i="23"/>
  <c r="AY39" i="26" s="1"/>
  <c r="V187" i="23"/>
  <c r="AV58" i="26" s="1"/>
  <c r="AB187" i="23"/>
  <c r="BB58" i="26" s="1"/>
  <c r="Y184" i="23"/>
  <c r="Y186" i="23"/>
  <c r="AY57" i="26" s="1"/>
  <c r="V217" i="23"/>
  <c r="AV67" i="26" s="1"/>
  <c r="AB217" i="23"/>
  <c r="BB67" i="26" s="1"/>
  <c r="Y214" i="23"/>
  <c r="AY64" i="26" s="1"/>
  <c r="Y216" i="23"/>
  <c r="AY66" i="26" s="1"/>
  <c r="Y64" i="23"/>
  <c r="AY28" i="26" s="1"/>
  <c r="Y106" i="23"/>
  <c r="AY18" i="26" s="1"/>
  <c r="Y108" i="23"/>
  <c r="AY20" i="26" s="1"/>
  <c r="AF139" i="23"/>
  <c r="BF37" i="26" s="1"/>
  <c r="AF141" i="23"/>
  <c r="BF39" i="26" s="1"/>
  <c r="AF184" i="23"/>
  <c r="BF55" i="26" s="1"/>
  <c r="AF186" i="23"/>
  <c r="BF57" i="26" s="1"/>
  <c r="AF214" i="23"/>
  <c r="BF64" i="26" s="1"/>
  <c r="AF216" i="23"/>
  <c r="BF66" i="26" s="1"/>
  <c r="AF417" i="22"/>
  <c r="AQ57" i="26" s="1"/>
  <c r="AD418" i="22"/>
  <c r="AO58" i="26" s="1"/>
  <c r="V319" i="22"/>
  <c r="AG49" i="26" s="1"/>
  <c r="AF414" i="22"/>
  <c r="AE418" i="22"/>
  <c r="AP58" i="26" s="1"/>
  <c r="Y452" i="22"/>
  <c r="AJ63" i="26" s="1"/>
  <c r="X456" i="22"/>
  <c r="AI67" i="26" s="1"/>
  <c r="AD456" i="22"/>
  <c r="AO67" i="26" s="1"/>
  <c r="AF453" i="22"/>
  <c r="AQ64" i="26" s="1"/>
  <c r="Y454" i="22"/>
  <c r="AJ65" i="26" s="1"/>
  <c r="AF455" i="22"/>
  <c r="AQ66" i="26" s="1"/>
  <c r="AB418" i="22"/>
  <c r="AM58" i="26" s="1"/>
  <c r="AF415" i="22"/>
  <c r="AQ55" i="26" s="1"/>
  <c r="U456" i="22"/>
  <c r="AF67" i="26" s="1"/>
  <c r="AF682" i="20"/>
  <c r="W103" i="27" s="1"/>
  <c r="Y682" i="20"/>
  <c r="P103" i="27" s="1"/>
  <c r="H103" i="27" s="1"/>
  <c r="AF571" i="20"/>
  <c r="W76" i="27" s="1"/>
  <c r="V571" i="20"/>
  <c r="M76" i="27" s="1"/>
  <c r="E76" i="27" s="1"/>
  <c r="BU76" i="27" s="1"/>
  <c r="Y569" i="20"/>
  <c r="P74" i="27" s="1"/>
  <c r="H74" i="27" s="1"/>
  <c r="BX74" i="27" s="1"/>
  <c r="U571" i="20"/>
  <c r="L76" i="27" s="1"/>
  <c r="D76" i="27" s="1"/>
  <c r="BT76" i="27" s="1"/>
  <c r="Y567" i="20"/>
  <c r="P72" i="27" s="1"/>
  <c r="H72" i="27" s="1"/>
  <c r="BX72" i="27" s="1"/>
  <c r="T946" i="20"/>
  <c r="K175" i="27" s="1"/>
  <c r="C175" i="27" s="1"/>
  <c r="AF942" i="20"/>
  <c r="W171" i="27" s="1"/>
  <c r="Y787" i="20"/>
  <c r="AA791" i="20"/>
  <c r="R130" i="27" s="1"/>
  <c r="Y761" i="20"/>
  <c r="P117" i="27" s="1"/>
  <c r="H117" i="27" s="1"/>
  <c r="AA765" i="20"/>
  <c r="R121" i="27" s="1"/>
  <c r="Y697" i="20"/>
  <c r="P108" i="27" s="1"/>
  <c r="H108" i="27" s="1"/>
  <c r="AF697" i="20"/>
  <c r="Y605" i="20"/>
  <c r="P90" i="27" s="1"/>
  <c r="H90" i="27" s="1"/>
  <c r="BX90" i="27" s="1"/>
  <c r="AA609" i="20"/>
  <c r="R94" i="27" s="1"/>
  <c r="T585" i="20"/>
  <c r="K85" i="27" s="1"/>
  <c r="C85" i="27" s="1"/>
  <c r="AA585" i="20"/>
  <c r="R85" i="27" s="1"/>
  <c r="T571" i="20"/>
  <c r="K76" i="27" s="1"/>
  <c r="C76" i="27" s="1"/>
  <c r="AA571" i="20"/>
  <c r="R76" i="27" s="1"/>
  <c r="AB460" i="20"/>
  <c r="S58" i="27" s="1"/>
  <c r="T412" i="20"/>
  <c r="K40" i="27" s="1"/>
  <c r="C40" i="27" s="1"/>
  <c r="AA412" i="20"/>
  <c r="R40" i="27" s="1"/>
  <c r="T428" i="20"/>
  <c r="K49" i="27" s="1"/>
  <c r="C49" i="27" s="1"/>
  <c r="AA428" i="20"/>
  <c r="R49" i="27" s="1"/>
  <c r="Y353" i="20"/>
  <c r="BI9" i="27" s="1"/>
  <c r="AA357" i="20"/>
  <c r="BK13" i="27" s="1"/>
  <c r="Y375" i="20"/>
  <c r="P18" i="27" s="1"/>
  <c r="H18" i="27" s="1"/>
  <c r="AA379" i="20"/>
  <c r="R22" i="27" s="1"/>
  <c r="AE398" i="20"/>
  <c r="V31" i="27" s="1"/>
  <c r="AD398" i="20"/>
  <c r="U31" i="27" s="1"/>
  <c r="AC398" i="20"/>
  <c r="T31" i="27" s="1"/>
  <c r="V398" i="20"/>
  <c r="M31" i="27" s="1"/>
  <c r="E31" i="27" s="1"/>
  <c r="U398" i="20"/>
  <c r="L31" i="27" s="1"/>
  <c r="D31" i="27" s="1"/>
  <c r="T398" i="20"/>
  <c r="K31" i="27" s="1"/>
  <c r="C31" i="27" s="1"/>
  <c r="Y394" i="20"/>
  <c r="P27" i="27" s="1"/>
  <c r="H27" i="27" s="1"/>
  <c r="AA398" i="20"/>
  <c r="R31" i="27" s="1"/>
  <c r="AA502" i="20"/>
  <c r="R67" i="27" s="1"/>
  <c r="T502" i="20"/>
  <c r="K67" i="27" s="1"/>
  <c r="C67" i="27" s="1"/>
  <c r="Y456" i="20"/>
  <c r="P54" i="27" s="1"/>
  <c r="H54" i="27" s="1"/>
  <c r="AA460" i="20"/>
  <c r="R58" i="27" s="1"/>
  <c r="T342" i="20"/>
  <c r="AO13" i="27" s="1"/>
  <c r="AA342" i="20"/>
  <c r="AV13" i="27" s="1"/>
  <c r="AE253" i="20"/>
  <c r="V13" i="27" s="1"/>
  <c r="AD253" i="20"/>
  <c r="U13" i="27" s="1"/>
  <c r="AF251" i="20"/>
  <c r="W11" i="27" s="1"/>
  <c r="AF250" i="20"/>
  <c r="W10" i="27" s="1"/>
  <c r="AC253" i="20"/>
  <c r="T13" i="27" s="1"/>
  <c r="AF252" i="20"/>
  <c r="W12" i="27" s="1"/>
  <c r="AB253" i="20"/>
  <c r="S13" i="27" s="1"/>
  <c r="AF249" i="20"/>
  <c r="W9" i="27" s="1"/>
  <c r="X253" i="20"/>
  <c r="O13" i="27" s="1"/>
  <c r="W253" i="20"/>
  <c r="N13" i="27" s="1"/>
  <c r="V253" i="20"/>
  <c r="M13" i="27" s="1"/>
  <c r="Y252" i="20"/>
  <c r="P12" i="27" s="1"/>
  <c r="Y251" i="20"/>
  <c r="P11" i="27" s="1"/>
  <c r="U253" i="20"/>
  <c r="L13" i="27" s="1"/>
  <c r="Y249" i="20"/>
  <c r="P9" i="27" s="1"/>
  <c r="AA253" i="20"/>
  <c r="R13" i="27" s="1"/>
  <c r="X302" i="20"/>
  <c r="AD13" i="27" s="1"/>
  <c r="Y299" i="20"/>
  <c r="AE10" i="27" s="1"/>
  <c r="AE302" i="20"/>
  <c r="AK13" i="27" s="1"/>
  <c r="AF299" i="20"/>
  <c r="AL10" i="27" s="1"/>
  <c r="AF301" i="20"/>
  <c r="AL12" i="27" s="1"/>
  <c r="AD302" i="20"/>
  <c r="AJ13" i="27" s="1"/>
  <c r="AF300" i="20"/>
  <c r="AL11" i="27" s="1"/>
  <c r="AC302" i="20"/>
  <c r="AI13" i="27" s="1"/>
  <c r="AB302" i="20"/>
  <c r="AH13" i="27" s="1"/>
  <c r="AF298" i="20"/>
  <c r="AL9" i="27" s="1"/>
  <c r="V302" i="20"/>
  <c r="AB13" i="27" s="1"/>
  <c r="U302" i="20"/>
  <c r="AA13" i="27" s="1"/>
  <c r="T302" i="20"/>
  <c r="Z13" i="27" s="1"/>
  <c r="Y298" i="20"/>
  <c r="AE9" i="27" s="1"/>
  <c r="AA302" i="20"/>
  <c r="AG13" i="27" s="1"/>
  <c r="T217" i="23"/>
  <c r="AT67" i="26" s="1"/>
  <c r="AA217" i="23"/>
  <c r="BA67" i="26" s="1"/>
  <c r="T187" i="23"/>
  <c r="AT58" i="26" s="1"/>
  <c r="AA187" i="23"/>
  <c r="BA58" i="26" s="1"/>
  <c r="T142" i="23"/>
  <c r="AT40" i="26" s="1"/>
  <c r="AA142" i="23"/>
  <c r="BA40" i="26" s="1"/>
  <c r="AF106" i="23"/>
  <c r="BF18" i="26" s="1"/>
  <c r="V110" i="23"/>
  <c r="AV22" i="26" s="1"/>
  <c r="AB110" i="23"/>
  <c r="BB22" i="26" s="1"/>
  <c r="Y107" i="23"/>
  <c r="AY19" i="26" s="1"/>
  <c r="Y109" i="23"/>
  <c r="AY21" i="26" s="1"/>
  <c r="AF108" i="23"/>
  <c r="BF20" i="26" s="1"/>
  <c r="W110" i="23"/>
  <c r="AW22" i="26" s="1"/>
  <c r="AC110" i="23"/>
  <c r="BC22" i="26" s="1"/>
  <c r="AF107" i="23"/>
  <c r="BF19" i="26" s="1"/>
  <c r="AF109" i="23"/>
  <c r="BF21" i="26" s="1"/>
  <c r="T110" i="23"/>
  <c r="AT22" i="26" s="1"/>
  <c r="AA110" i="23"/>
  <c r="BA22" i="26" s="1"/>
  <c r="AE44" i="23"/>
  <c r="BE13" i="26" s="1"/>
  <c r="AC44" i="23"/>
  <c r="BC13" i="26" s="1"/>
  <c r="AF40" i="23"/>
  <c r="BF9" i="26" s="1"/>
  <c r="AF42" i="23"/>
  <c r="BF11" i="26" s="1"/>
  <c r="AF41" i="23"/>
  <c r="BF10" i="26" s="1"/>
  <c r="AB44" i="23"/>
  <c r="BB13" i="26" s="1"/>
  <c r="Y41" i="23"/>
  <c r="AY10" i="26" s="1"/>
  <c r="V44" i="23"/>
  <c r="AV13" i="26" s="1"/>
  <c r="U44" i="23"/>
  <c r="AU13" i="26" s="1"/>
  <c r="Y40" i="23"/>
  <c r="AY9" i="26" s="1"/>
  <c r="AA44" i="23"/>
  <c r="BA13" i="26" s="1"/>
  <c r="AE67" i="23"/>
  <c r="BE31" i="26" s="1"/>
  <c r="AF64" i="23"/>
  <c r="BF28" i="26" s="1"/>
  <c r="AD67" i="23"/>
  <c r="BD31" i="26" s="1"/>
  <c r="AC67" i="23"/>
  <c r="BC31" i="26" s="1"/>
  <c r="AF63" i="23"/>
  <c r="BF27" i="26" s="1"/>
  <c r="AF66" i="23"/>
  <c r="BF30" i="26" s="1"/>
  <c r="AF65" i="23"/>
  <c r="BF29" i="26" s="1"/>
  <c r="AB67" i="23"/>
  <c r="BB31" i="26" s="1"/>
  <c r="X67" i="23"/>
  <c r="AX31" i="26" s="1"/>
  <c r="W67" i="23"/>
  <c r="AW31" i="26" s="1"/>
  <c r="Y65" i="23"/>
  <c r="AY29" i="26" s="1"/>
  <c r="Y66" i="23"/>
  <c r="AY30" i="26" s="1"/>
  <c r="V67" i="23"/>
  <c r="AV31" i="26" s="1"/>
  <c r="Y63" i="23"/>
  <c r="AY27" i="26" s="1"/>
  <c r="U67" i="23"/>
  <c r="AU31" i="26" s="1"/>
  <c r="AA67" i="23"/>
  <c r="BA31" i="26" s="1"/>
  <c r="T67" i="23"/>
  <c r="AT31" i="26" s="1"/>
  <c r="T456" i="22"/>
  <c r="AE67" i="26" s="1"/>
  <c r="AF452" i="22"/>
  <c r="X418" i="22"/>
  <c r="AI58" i="26" s="1"/>
  <c r="W418" i="22"/>
  <c r="AH58" i="26" s="1"/>
  <c r="V418" i="22"/>
  <c r="AG58" i="26" s="1"/>
  <c r="Y417" i="22"/>
  <c r="AJ57" i="26" s="1"/>
  <c r="Y416" i="22"/>
  <c r="AJ56" i="26" s="1"/>
  <c r="Y415" i="22"/>
  <c r="AJ55" i="26" s="1"/>
  <c r="U418" i="22"/>
  <c r="AF58" i="26" s="1"/>
  <c r="Y414" i="22"/>
  <c r="AJ54" i="26" s="1"/>
  <c r="T418" i="22"/>
  <c r="AE58" i="26" s="1"/>
  <c r="AA418" i="22"/>
  <c r="AL58" i="26" s="1"/>
  <c r="AB319" i="22"/>
  <c r="AM49" i="26" s="1"/>
  <c r="AF316" i="22"/>
  <c r="AQ46" i="26" s="1"/>
  <c r="AC319" i="22"/>
  <c r="AN49" i="26" s="1"/>
  <c r="Y315" i="22"/>
  <c r="AJ45" i="26" s="1"/>
  <c r="X319" i="22"/>
  <c r="AI49" i="26" s="1"/>
  <c r="AF315" i="22"/>
  <c r="AQ45" i="26" s="1"/>
  <c r="AE319" i="22"/>
  <c r="AP49" i="26" s="1"/>
  <c r="Y316" i="22"/>
  <c r="AJ46" i="26" s="1"/>
  <c r="AF318" i="22"/>
  <c r="AQ48" i="26" s="1"/>
  <c r="Y318" i="22"/>
  <c r="AJ48" i="26" s="1"/>
  <c r="T319" i="22"/>
  <c r="AE49" i="26" s="1"/>
  <c r="AA319" i="22"/>
  <c r="AL49" i="26" s="1"/>
  <c r="AE242" i="22"/>
  <c r="AP40" i="26" s="1"/>
  <c r="AC242" i="22"/>
  <c r="AN40" i="26" s="1"/>
  <c r="AF240" i="22"/>
  <c r="AQ38" i="26" s="1"/>
  <c r="AF239" i="22"/>
  <c r="AQ37" i="26" s="1"/>
  <c r="AB242" i="22"/>
  <c r="AM40" i="26" s="1"/>
  <c r="AF238" i="22"/>
  <c r="AQ36" i="26" s="1"/>
  <c r="X242" i="22"/>
  <c r="AI40" i="26" s="1"/>
  <c r="V242" i="22"/>
  <c r="AG40" i="26" s="1"/>
  <c r="Y240" i="22"/>
  <c r="AJ38" i="26" s="1"/>
  <c r="Y239" i="22"/>
  <c r="AJ37" i="26" s="1"/>
  <c r="U242" i="22"/>
  <c r="AF40" i="26" s="1"/>
  <c r="Y238" i="22"/>
  <c r="AJ36" i="26" s="1"/>
  <c r="T242" i="22"/>
  <c r="AE40" i="26" s="1"/>
  <c r="AA242" i="22"/>
  <c r="AL40" i="26" s="1"/>
  <c r="Y217" i="23" l="1"/>
  <c r="AY67" i="26" s="1"/>
  <c r="Y142" i="23"/>
  <c r="AY40" i="26" s="1"/>
  <c r="AF187" i="23"/>
  <c r="BF58" i="26" s="1"/>
  <c r="BF54" i="26"/>
  <c r="AF456" i="22"/>
  <c r="AQ67" i="26" s="1"/>
  <c r="AQ63" i="26"/>
  <c r="Y187" i="23"/>
  <c r="AY58" i="26" s="1"/>
  <c r="AY55" i="26"/>
  <c r="AF418" i="22"/>
  <c r="AQ58" i="26" s="1"/>
  <c r="AQ54" i="26"/>
  <c r="BX92" i="27"/>
  <c r="BX119" i="27"/>
  <c r="BX37" i="27"/>
  <c r="BU63" i="27"/>
  <c r="BX110" i="27"/>
  <c r="BW94" i="27"/>
  <c r="BX46" i="27"/>
  <c r="BW108" i="27"/>
  <c r="BU112" i="27"/>
  <c r="BV126" i="27"/>
  <c r="BU31" i="27"/>
  <c r="BU121" i="27"/>
  <c r="BT49" i="27"/>
  <c r="BX73" i="27"/>
  <c r="BU58" i="27"/>
  <c r="BS67" i="27"/>
  <c r="BX55" i="27"/>
  <c r="BV58" i="27"/>
  <c r="BW112" i="27"/>
  <c r="BW121" i="27"/>
  <c r="BX27" i="27"/>
  <c r="BX39" i="27"/>
  <c r="BX64" i="27"/>
  <c r="E9" i="27"/>
  <c r="E198" i="27" s="1"/>
  <c r="F7" i="28" s="1"/>
  <c r="BW85" i="27"/>
  <c r="BX128" i="27"/>
  <c r="BS108" i="27"/>
  <c r="BT67" i="27"/>
  <c r="BU94" i="27"/>
  <c r="BX30" i="27"/>
  <c r="BW117" i="27"/>
  <c r="BX81" i="27"/>
  <c r="BW40" i="27"/>
  <c r="BW22" i="27"/>
  <c r="BV81" i="27"/>
  <c r="BV36" i="27"/>
  <c r="BV49" i="27"/>
  <c r="BX66" i="27"/>
  <c r="BX54" i="27"/>
  <c r="BX109" i="27"/>
  <c r="BS31" i="27"/>
  <c r="BX117" i="27"/>
  <c r="F9" i="27"/>
  <c r="F198" i="27" s="1"/>
  <c r="G7" i="28" s="1"/>
  <c r="BW81" i="27"/>
  <c r="BW130" i="27"/>
  <c r="BS22" i="27"/>
  <c r="BU40" i="27"/>
  <c r="BW67" i="27"/>
  <c r="BX48" i="27"/>
  <c r="BU85" i="27"/>
  <c r="BW90" i="27"/>
  <c r="BV108" i="27"/>
  <c r="BV94" i="27"/>
  <c r="BS58" i="27"/>
  <c r="BV18" i="27"/>
  <c r="BV130" i="27"/>
  <c r="BT85" i="27"/>
  <c r="BU67" i="27"/>
  <c r="BT121" i="27"/>
  <c r="BU49" i="27"/>
  <c r="BT31" i="27"/>
  <c r="BS40" i="27"/>
  <c r="BS76" i="27"/>
  <c r="BX63" i="27"/>
  <c r="BS94" i="27"/>
  <c r="BW49" i="27"/>
  <c r="BT130" i="27"/>
  <c r="BV112" i="27"/>
  <c r="BW58" i="27"/>
  <c r="BV45" i="27"/>
  <c r="BV22" i="27"/>
  <c r="BV31" i="27"/>
  <c r="BU36" i="27"/>
  <c r="BU18" i="27"/>
  <c r="BT112" i="27"/>
  <c r="BT94" i="27"/>
  <c r="BX21" i="27"/>
  <c r="AF412" i="20"/>
  <c r="W40" i="27" s="1"/>
  <c r="W36" i="27"/>
  <c r="BX36" i="27" s="1"/>
  <c r="AF428" i="20"/>
  <c r="W49" i="27" s="1"/>
  <c r="W45" i="27"/>
  <c r="BX45" i="27" s="1"/>
  <c r="AF357" i="20"/>
  <c r="BP13" i="27" s="1"/>
  <c r="BP9" i="27"/>
  <c r="AF379" i="20"/>
  <c r="W22" i="27" s="1"/>
  <c r="W18" i="27"/>
  <c r="BX18" i="27" s="1"/>
  <c r="BS112" i="27"/>
  <c r="BT58" i="27"/>
  <c r="BS130" i="27"/>
  <c r="BU22" i="27"/>
  <c r="BV67" i="27"/>
  <c r="BW57" i="27"/>
  <c r="AF460" i="20"/>
  <c r="W58" i="27" s="1"/>
  <c r="AF701" i="20"/>
  <c r="W112" i="27" s="1"/>
  <c r="W108" i="27"/>
  <c r="BX108" i="27" s="1"/>
  <c r="BS49" i="27"/>
  <c r="BS85" i="27"/>
  <c r="Y791" i="20"/>
  <c r="P130" i="27" s="1"/>
  <c r="H130" i="27" s="1"/>
  <c r="P126" i="27"/>
  <c r="H126" i="27" s="1"/>
  <c r="BX126" i="27" s="1"/>
  <c r="BX56" i="27"/>
  <c r="BX19" i="27"/>
  <c r="BT40" i="27"/>
  <c r="BT22" i="27"/>
  <c r="BS121" i="27"/>
  <c r="BV90" i="27"/>
  <c r="BV85" i="27"/>
  <c r="BV40" i="27"/>
  <c r="BW31" i="27"/>
  <c r="BW126" i="27"/>
  <c r="BU45" i="27"/>
  <c r="BV175" i="27"/>
  <c r="BX103" i="27"/>
  <c r="BX47" i="27"/>
  <c r="Y460" i="20"/>
  <c r="P58" i="27" s="1"/>
  <c r="H58" i="27" s="1"/>
  <c r="Y398" i="20"/>
  <c r="P31" i="27" s="1"/>
  <c r="H31" i="27" s="1"/>
  <c r="BX129" i="27"/>
  <c r="BX84" i="27"/>
  <c r="BX127" i="27"/>
  <c r="BV171" i="27"/>
  <c r="BU11" i="27"/>
  <c r="BU200" i="27" s="1"/>
  <c r="N9" i="28" s="1"/>
  <c r="BS175" i="27"/>
  <c r="G198" i="27"/>
  <c r="H7" i="28" s="1"/>
  <c r="BT175" i="27"/>
  <c r="BS171" i="27"/>
  <c r="BS198" i="27" s="1"/>
  <c r="L7" i="28" s="1"/>
  <c r="BX174" i="27"/>
  <c r="BU175" i="27"/>
  <c r="BX171" i="27"/>
  <c r="BU12" i="27"/>
  <c r="BU201" i="27" s="1"/>
  <c r="N10" i="28" s="1"/>
  <c r="N38" i="28" s="1"/>
  <c r="Y701" i="20"/>
  <c r="P112" i="27" s="1"/>
  <c r="H112" i="27" s="1"/>
  <c r="BX118" i="27"/>
  <c r="BX173" i="27"/>
  <c r="AF398" i="20"/>
  <c r="W31" i="27" s="1"/>
  <c r="W29" i="27"/>
  <c r="BX29" i="27" s="1"/>
  <c r="AF502" i="20"/>
  <c r="W67" i="27" s="1"/>
  <c r="Y946" i="20"/>
  <c r="P175" i="27" s="1"/>
  <c r="H175" i="27" s="1"/>
  <c r="P172" i="27"/>
  <c r="H172" i="27" s="1"/>
  <c r="BX172" i="27" s="1"/>
  <c r="BX91" i="27"/>
  <c r="Y585" i="20"/>
  <c r="P85" i="27" s="1"/>
  <c r="H85" i="27" s="1"/>
  <c r="P82" i="27"/>
  <c r="H82" i="27" s="1"/>
  <c r="BX82" i="27" s="1"/>
  <c r="BX38" i="27"/>
  <c r="C12" i="27"/>
  <c r="C201" i="27" s="1"/>
  <c r="D10" i="28" s="1"/>
  <c r="G200" i="27"/>
  <c r="H9" i="28" s="1"/>
  <c r="H37" i="28" s="1"/>
  <c r="G201" i="27"/>
  <c r="H10" i="28" s="1"/>
  <c r="H38" i="28" s="1"/>
  <c r="BW171" i="27"/>
  <c r="BX65" i="27"/>
  <c r="BS11" i="27"/>
  <c r="BS200" i="27" s="1"/>
  <c r="L9" i="28" s="1"/>
  <c r="L37" i="28" s="1"/>
  <c r="Y379" i="20"/>
  <c r="P22" i="27" s="1"/>
  <c r="H22" i="27" s="1"/>
  <c r="BX93" i="27"/>
  <c r="E199" i="27"/>
  <c r="F8" i="28" s="1"/>
  <c r="F29" i="28" s="1"/>
  <c r="Y357" i="20"/>
  <c r="BI13" i="27" s="1"/>
  <c r="Y609" i="20"/>
  <c r="P94" i="27" s="1"/>
  <c r="H94" i="27" s="1"/>
  <c r="BX57" i="27"/>
  <c r="BX28" i="27"/>
  <c r="BX20" i="27"/>
  <c r="BV12" i="27"/>
  <c r="D200" i="27"/>
  <c r="E9" i="28" s="1"/>
  <c r="E37" i="28" s="1"/>
  <c r="D201" i="27"/>
  <c r="E10" i="28" s="1"/>
  <c r="E38" i="28" s="1"/>
  <c r="BV10" i="27"/>
  <c r="BW175" i="27"/>
  <c r="C198" i="27"/>
  <c r="D7" i="28" s="1"/>
  <c r="BW12" i="27"/>
  <c r="BW10" i="27"/>
  <c r="BW199" i="27" s="1"/>
  <c r="P8" i="28" s="1"/>
  <c r="BT10" i="27"/>
  <c r="BT199" i="27" s="1"/>
  <c r="M8" i="28" s="1"/>
  <c r="H12" i="27"/>
  <c r="BT11" i="27"/>
  <c r="BT200" i="27" s="1"/>
  <c r="M9" i="28" s="1"/>
  <c r="M37" i="28" s="1"/>
  <c r="D13" i="27"/>
  <c r="BT13" i="27" s="1"/>
  <c r="BU10" i="27"/>
  <c r="BT12" i="27"/>
  <c r="BT201" i="27" s="1"/>
  <c r="M10" i="28" s="1"/>
  <c r="M38" i="28" s="1"/>
  <c r="BU9" i="27"/>
  <c r="F199" i="27"/>
  <c r="G8" i="28" s="1"/>
  <c r="G29" i="28" s="1"/>
  <c r="BW11" i="27"/>
  <c r="BW200" i="27" s="1"/>
  <c r="P9" i="28" s="1"/>
  <c r="P37" i="28" s="1"/>
  <c r="H9" i="27"/>
  <c r="BW9" i="27"/>
  <c r="C200" i="27"/>
  <c r="D9" i="28" s="1"/>
  <c r="E201" i="27"/>
  <c r="F10" i="28" s="1"/>
  <c r="F38" i="28" s="1"/>
  <c r="D198" i="27"/>
  <c r="E7" i="28" s="1"/>
  <c r="BT9" i="27"/>
  <c r="BT198" i="27" s="1"/>
  <c r="M7" i="28" s="1"/>
  <c r="E13" i="27"/>
  <c r="BU13" i="27" s="1"/>
  <c r="G13" i="27"/>
  <c r="G202" i="27" s="1"/>
  <c r="H11" i="28" s="1"/>
  <c r="AF946" i="20"/>
  <c r="W175" i="27" s="1"/>
  <c r="AF585" i="20"/>
  <c r="W85" i="27" s="1"/>
  <c r="Y428" i="20"/>
  <c r="P49" i="27" s="1"/>
  <c r="H49" i="27" s="1"/>
  <c r="AF342" i="20"/>
  <c r="BA13" i="27" s="1"/>
  <c r="Y502" i="20"/>
  <c r="P67" i="27" s="1"/>
  <c r="H67" i="27" s="1"/>
  <c r="Y342" i="20"/>
  <c r="AT13" i="27" s="1"/>
  <c r="AF791" i="20"/>
  <c r="W130" i="27" s="1"/>
  <c r="AF609" i="20"/>
  <c r="W94" i="27" s="1"/>
  <c r="Y412" i="20"/>
  <c r="P40" i="27" s="1"/>
  <c r="H40" i="27" s="1"/>
  <c r="Y110" i="23"/>
  <c r="AY22" i="26" s="1"/>
  <c r="AF217" i="23"/>
  <c r="BF67" i="26" s="1"/>
  <c r="AF142" i="23"/>
  <c r="BF40" i="26" s="1"/>
  <c r="Y456" i="22"/>
  <c r="AJ67" i="26" s="1"/>
  <c r="AF253" i="20"/>
  <c r="W13" i="27" s="1"/>
  <c r="AF302" i="20"/>
  <c r="AL13" i="27" s="1"/>
  <c r="AF110" i="23"/>
  <c r="BF22" i="26" s="1"/>
  <c r="AF67" i="23"/>
  <c r="BF31" i="26" s="1"/>
  <c r="Y67" i="23"/>
  <c r="AY31" i="26" s="1"/>
  <c r="Y418" i="22"/>
  <c r="AJ58" i="26" s="1"/>
  <c r="BX40" i="27" l="1"/>
  <c r="BV9" i="27"/>
  <c r="BV198" i="27" s="1"/>
  <c r="O7" i="28" s="1"/>
  <c r="BV199" i="27"/>
  <c r="O8" i="28" s="1"/>
  <c r="O29" i="28" s="1"/>
  <c r="BU199" i="27"/>
  <c r="N8" i="28" s="1"/>
  <c r="N29" i="28" s="1"/>
  <c r="BW201" i="27"/>
  <c r="P10" i="28" s="1"/>
  <c r="P38" i="28" s="1"/>
  <c r="BX130" i="27"/>
  <c r="BX22" i="27"/>
  <c r="BX49" i="27"/>
  <c r="BX58" i="27"/>
  <c r="BU198" i="27"/>
  <c r="N7" i="28" s="1"/>
  <c r="BX112" i="27"/>
  <c r="H198" i="27"/>
  <c r="I7" i="28" s="1"/>
  <c r="BT202" i="27"/>
  <c r="M11" i="28" s="1"/>
  <c r="BX31" i="27"/>
  <c r="BW198" i="27"/>
  <c r="P7" i="28" s="1"/>
  <c r="BS12" i="27"/>
  <c r="BS201" i="27" s="1"/>
  <c r="L10" i="28" s="1"/>
  <c r="L38" i="28" s="1"/>
  <c r="BX67" i="27"/>
  <c r="BU202" i="27"/>
  <c r="N11" i="28" s="1"/>
  <c r="BX175" i="27"/>
  <c r="BX85" i="27"/>
  <c r="BX94" i="27"/>
  <c r="BX12" i="27"/>
  <c r="BX9" i="27"/>
  <c r="BX198" i="27" s="1"/>
  <c r="Q7" i="28" s="1"/>
  <c r="D202" i="27"/>
  <c r="E11" i="28" s="1"/>
  <c r="E202" i="27"/>
  <c r="F11" i="28" s="1"/>
  <c r="BW13" i="27"/>
  <c r="BW202" i="27" s="1"/>
  <c r="P11" i="28" s="1"/>
  <c r="Z111" i="23"/>
  <c r="AE181" i="22"/>
  <c r="AP21" i="26" s="1"/>
  <c r="AE180" i="22"/>
  <c r="AP20" i="26" s="1"/>
  <c r="AE179" i="22"/>
  <c r="AP19" i="26" s="1"/>
  <c r="AE178" i="22"/>
  <c r="AP18" i="26" s="1"/>
  <c r="AD179" i="22"/>
  <c r="AO19" i="26" s="1"/>
  <c r="AD178" i="22"/>
  <c r="AO18" i="26" s="1"/>
  <c r="AC91" i="22"/>
  <c r="AN29" i="26" s="1"/>
  <c r="AC92" i="22"/>
  <c r="AN30" i="26" s="1"/>
  <c r="AC181" i="22"/>
  <c r="AN21" i="26" s="1"/>
  <c r="AC180" i="22"/>
  <c r="AN20" i="26" s="1"/>
  <c r="AC179" i="22"/>
  <c r="AN19" i="26" s="1"/>
  <c r="AC178" i="22"/>
  <c r="AN18" i="26" s="1"/>
  <c r="AB181" i="22"/>
  <c r="AM21" i="26" s="1"/>
  <c r="AB180" i="22"/>
  <c r="AM20" i="26" s="1"/>
  <c r="AB179" i="22"/>
  <c r="AM19" i="26" s="1"/>
  <c r="AB178" i="22"/>
  <c r="AM18" i="26" s="1"/>
  <c r="AA181" i="22"/>
  <c r="AL21" i="26" s="1"/>
  <c r="AA180" i="22"/>
  <c r="AL20" i="26" s="1"/>
  <c r="AA179" i="22"/>
  <c r="AL19" i="26" s="1"/>
  <c r="AA178" i="22"/>
  <c r="AL18" i="26" s="1"/>
  <c r="X181" i="22"/>
  <c r="AI21" i="26" s="1"/>
  <c r="X180" i="22"/>
  <c r="AI20" i="26" s="1"/>
  <c r="X179" i="22"/>
  <c r="AI19" i="26" s="1"/>
  <c r="X178" i="22"/>
  <c r="AI18" i="26" s="1"/>
  <c r="W179" i="22"/>
  <c r="AH19" i="26" s="1"/>
  <c r="W178" i="22"/>
  <c r="AH18" i="26" s="1"/>
  <c r="V181" i="22"/>
  <c r="AG21" i="26" s="1"/>
  <c r="V180" i="22"/>
  <c r="AG20" i="26" s="1"/>
  <c r="V179" i="22"/>
  <c r="AG19" i="26" s="1"/>
  <c r="V178" i="22"/>
  <c r="AG18" i="26" s="1"/>
  <c r="U181" i="22"/>
  <c r="AF21" i="26" s="1"/>
  <c r="U180" i="22"/>
  <c r="AF20" i="26" s="1"/>
  <c r="U179" i="22"/>
  <c r="AF19" i="26" s="1"/>
  <c r="U178" i="22"/>
  <c r="AF18" i="26" s="1"/>
  <c r="T181" i="22"/>
  <c r="AE21" i="26" s="1"/>
  <c r="T180" i="22"/>
  <c r="AE20" i="26" s="1"/>
  <c r="T179" i="22"/>
  <c r="AE19" i="26" s="1"/>
  <c r="T178" i="22"/>
  <c r="AE18" i="26" s="1"/>
  <c r="AE92" i="22"/>
  <c r="AP30" i="26" s="1"/>
  <c r="AD92" i="22"/>
  <c r="AO30" i="26" s="1"/>
  <c r="AB92" i="22"/>
  <c r="AM30" i="26" s="1"/>
  <c r="AA92" i="22"/>
  <c r="AL30" i="26" s="1"/>
  <c r="X92" i="22"/>
  <c r="AI30" i="26" s="1"/>
  <c r="G30" i="26" s="1"/>
  <c r="W92" i="22"/>
  <c r="AH30" i="26" s="1"/>
  <c r="F30" i="26" s="1"/>
  <c r="V92" i="22"/>
  <c r="AG30" i="26" s="1"/>
  <c r="E30" i="26" s="1"/>
  <c r="U92" i="22"/>
  <c r="AF30" i="26" s="1"/>
  <c r="D30" i="26" s="1"/>
  <c r="T92" i="22"/>
  <c r="AE30" i="26" s="1"/>
  <c r="C30" i="26" s="1"/>
  <c r="AE91" i="22"/>
  <c r="AP29" i="26" s="1"/>
  <c r="AD91" i="22"/>
  <c r="AO29" i="26" s="1"/>
  <c r="AB91" i="22"/>
  <c r="AM29" i="26" s="1"/>
  <c r="AA91" i="22"/>
  <c r="AL29" i="26" s="1"/>
  <c r="X91" i="22"/>
  <c r="AI29" i="26" s="1"/>
  <c r="G29" i="26" s="1"/>
  <c r="W91" i="22"/>
  <c r="AH29" i="26" s="1"/>
  <c r="F29" i="26" s="1"/>
  <c r="V91" i="22"/>
  <c r="AG29" i="26" s="1"/>
  <c r="E29" i="26" s="1"/>
  <c r="BL29" i="26" s="1"/>
  <c r="U91" i="22"/>
  <c r="AF29" i="26" s="1"/>
  <c r="D29" i="26" s="1"/>
  <c r="T91" i="22"/>
  <c r="AE90" i="22"/>
  <c r="AP28" i="26" s="1"/>
  <c r="AD90" i="22"/>
  <c r="AO28" i="26" s="1"/>
  <c r="AC90" i="22"/>
  <c r="AN28" i="26" s="1"/>
  <c r="AB90" i="22"/>
  <c r="AM28" i="26" s="1"/>
  <c r="AA90" i="22"/>
  <c r="AL28" i="26" s="1"/>
  <c r="X90" i="22"/>
  <c r="AI28" i="26" s="1"/>
  <c r="G28" i="26" s="1"/>
  <c r="W90" i="22"/>
  <c r="AH28" i="26" s="1"/>
  <c r="F28" i="26" s="1"/>
  <c r="V90" i="22"/>
  <c r="AG28" i="26" s="1"/>
  <c r="E28" i="26" s="1"/>
  <c r="BL28" i="26" s="1"/>
  <c r="U90" i="22"/>
  <c r="AF28" i="26" s="1"/>
  <c r="D28" i="26" s="1"/>
  <c r="T90" i="22"/>
  <c r="AE28" i="26" s="1"/>
  <c r="C28" i="26" s="1"/>
  <c r="AE89" i="22"/>
  <c r="AP27" i="26" s="1"/>
  <c r="AD89" i="22"/>
  <c r="AC89" i="22"/>
  <c r="AN27" i="26" s="1"/>
  <c r="AB89" i="22"/>
  <c r="AM27" i="26" s="1"/>
  <c r="AA89" i="22"/>
  <c r="AL27" i="26" s="1"/>
  <c r="X89" i="22"/>
  <c r="W89" i="22"/>
  <c r="AH27" i="26" s="1"/>
  <c r="F27" i="26" s="1"/>
  <c r="V89" i="22"/>
  <c r="AG27" i="26" s="1"/>
  <c r="E27" i="26" s="1"/>
  <c r="U89" i="22"/>
  <c r="T89" i="22"/>
  <c r="BK28" i="26" l="1"/>
  <c r="BM29" i="26"/>
  <c r="Y89" i="22"/>
  <c r="AJ27" i="26" s="1"/>
  <c r="H27" i="26" s="1"/>
  <c r="AE27" i="26"/>
  <c r="C27" i="26" s="1"/>
  <c r="BJ27" i="26" s="1"/>
  <c r="X93" i="22"/>
  <c r="AI31" i="26" s="1"/>
  <c r="G31" i="26" s="1"/>
  <c r="AI27" i="26"/>
  <c r="G27" i="26" s="1"/>
  <c r="BN27" i="26" s="1"/>
  <c r="AD93" i="22"/>
  <c r="AO31" i="26" s="1"/>
  <c r="AO27" i="26"/>
  <c r="BM27" i="26" s="1"/>
  <c r="Y91" i="22"/>
  <c r="AJ29" i="26" s="1"/>
  <c r="H29" i="26" s="1"/>
  <c r="AE29" i="26"/>
  <c r="C29" i="26" s="1"/>
  <c r="BN29" i="26"/>
  <c r="BM30" i="26"/>
  <c r="BL30" i="26"/>
  <c r="U93" i="22"/>
  <c r="AF31" i="26" s="1"/>
  <c r="D31" i="26" s="1"/>
  <c r="AF27" i="26"/>
  <c r="D27" i="26" s="1"/>
  <c r="BK27" i="26" s="1"/>
  <c r="BM28" i="26"/>
  <c r="BK29" i="26"/>
  <c r="BJ30" i="26"/>
  <c r="BN30" i="26"/>
  <c r="BL27" i="26"/>
  <c r="BJ28" i="26"/>
  <c r="BN28" i="26"/>
  <c r="BK30" i="26"/>
  <c r="AF89" i="22"/>
  <c r="AQ27" i="26" s="1"/>
  <c r="Y92" i="22"/>
  <c r="AJ30" i="26" s="1"/>
  <c r="H30" i="26" s="1"/>
  <c r="V93" i="22"/>
  <c r="AG31" i="26" s="1"/>
  <c r="E31" i="26" s="1"/>
  <c r="AB93" i="22"/>
  <c r="AM31" i="26" s="1"/>
  <c r="Y90" i="22"/>
  <c r="AE93" i="22"/>
  <c r="AP31" i="26" s="1"/>
  <c r="W93" i="22"/>
  <c r="AH31" i="26" s="1"/>
  <c r="F31" i="26" s="1"/>
  <c r="AF90" i="22"/>
  <c r="AQ28" i="26" s="1"/>
  <c r="AE182" i="22"/>
  <c r="AP22" i="26" s="1"/>
  <c r="AF91" i="22"/>
  <c r="AQ29" i="26" s="1"/>
  <c r="AC93" i="22"/>
  <c r="AN31" i="26" s="1"/>
  <c r="AF92" i="22"/>
  <c r="AQ30" i="26" s="1"/>
  <c r="AC182" i="22"/>
  <c r="AN22" i="26" s="1"/>
  <c r="AF179" i="22"/>
  <c r="AQ19" i="26" s="1"/>
  <c r="AB182" i="22"/>
  <c r="AM22" i="26" s="1"/>
  <c r="AF178" i="22"/>
  <c r="AQ18" i="26" s="1"/>
  <c r="X182" i="22"/>
  <c r="AI22" i="26" s="1"/>
  <c r="V182" i="22"/>
  <c r="AG22" i="26" s="1"/>
  <c r="Y179" i="22"/>
  <c r="AJ19" i="26" s="1"/>
  <c r="U182" i="22"/>
  <c r="AF22" i="26" s="1"/>
  <c r="Y178" i="22"/>
  <c r="AJ18" i="26" s="1"/>
  <c r="T182" i="22"/>
  <c r="AE22" i="26" s="1"/>
  <c r="AA182" i="22"/>
  <c r="AL22" i="26" s="1"/>
  <c r="T93" i="22"/>
  <c r="AE31" i="26" s="1"/>
  <c r="C31" i="26" s="1"/>
  <c r="AA93" i="22"/>
  <c r="AL31" i="26" s="1"/>
  <c r="AE54" i="22"/>
  <c r="AP12" i="26" s="1"/>
  <c r="AE53" i="22"/>
  <c r="AP11" i="26" s="1"/>
  <c r="AE52" i="22"/>
  <c r="AP10" i="26" s="1"/>
  <c r="AE51" i="22"/>
  <c r="AP9" i="26" s="1"/>
  <c r="AD52" i="22"/>
  <c r="AO10" i="26" s="1"/>
  <c r="AD51" i="22"/>
  <c r="AO9" i="26" s="1"/>
  <c r="AC52" i="22"/>
  <c r="AN10" i="26" s="1"/>
  <c r="AC51" i="22"/>
  <c r="AB54" i="22"/>
  <c r="AM12" i="26" s="1"/>
  <c r="AB53" i="22"/>
  <c r="AM11" i="26" s="1"/>
  <c r="AB52" i="22"/>
  <c r="AM10" i="26" s="1"/>
  <c r="AB51" i="22"/>
  <c r="AM9" i="26" s="1"/>
  <c r="AA54" i="22"/>
  <c r="AL12" i="26" s="1"/>
  <c r="AA53" i="22"/>
  <c r="AL11" i="26" s="1"/>
  <c r="AA52" i="22"/>
  <c r="AL10" i="26" s="1"/>
  <c r="AA51" i="22"/>
  <c r="X52" i="22"/>
  <c r="AI10" i="26" s="1"/>
  <c r="X51" i="22"/>
  <c r="AI9" i="26" s="1"/>
  <c r="W52" i="22"/>
  <c r="AH10" i="26" s="1"/>
  <c r="W51" i="22"/>
  <c r="AH9" i="26" s="1"/>
  <c r="V54" i="22"/>
  <c r="AG12" i="26" s="1"/>
  <c r="V53" i="22"/>
  <c r="AG11" i="26" s="1"/>
  <c r="V52" i="22"/>
  <c r="AG10" i="26" s="1"/>
  <c r="V51" i="22"/>
  <c r="U54" i="22"/>
  <c r="AF12" i="26" s="1"/>
  <c r="U53" i="22"/>
  <c r="AF11" i="26" s="1"/>
  <c r="U52" i="22"/>
  <c r="AF10" i="26" s="1"/>
  <c r="U51" i="22"/>
  <c r="T52" i="22"/>
  <c r="AE10" i="26" s="1"/>
  <c r="T51" i="22"/>
  <c r="AE9" i="26" s="1"/>
  <c r="AE20" i="21"/>
  <c r="AA12" i="26" s="1"/>
  <c r="AD20" i="21"/>
  <c r="Z12" i="26" s="1"/>
  <c r="AC20" i="21"/>
  <c r="Y12" i="26" s="1"/>
  <c r="AB20" i="21"/>
  <c r="X12" i="26" s="1"/>
  <c r="AA20" i="21"/>
  <c r="X20" i="21"/>
  <c r="T12" i="26" s="1"/>
  <c r="W20" i="21"/>
  <c r="S12" i="26" s="1"/>
  <c r="V20" i="21"/>
  <c r="R12" i="26" s="1"/>
  <c r="U20" i="21"/>
  <c r="Q12" i="26" s="1"/>
  <c r="AE19" i="21"/>
  <c r="AA11" i="26" s="1"/>
  <c r="AD19" i="21"/>
  <c r="Z11" i="26" s="1"/>
  <c r="AC19" i="21"/>
  <c r="Y11" i="26" s="1"/>
  <c r="AB19" i="21"/>
  <c r="X11" i="26" s="1"/>
  <c r="AA19" i="21"/>
  <c r="W11" i="26" s="1"/>
  <c r="X19" i="21"/>
  <c r="T11" i="26" s="1"/>
  <c r="V19" i="21"/>
  <c r="R11" i="26" s="1"/>
  <c r="E11" i="26" s="1"/>
  <c r="U19" i="21"/>
  <c r="Q11" i="26" s="1"/>
  <c r="AE18" i="21"/>
  <c r="AA10" i="26" s="1"/>
  <c r="AD18" i="21"/>
  <c r="Z10" i="26" s="1"/>
  <c r="AC18" i="21"/>
  <c r="Y10" i="26" s="1"/>
  <c r="AB18" i="21"/>
  <c r="X10" i="26" s="1"/>
  <c r="AA18" i="21"/>
  <c r="W10" i="26" s="1"/>
  <c r="Y18" i="21"/>
  <c r="U10" i="26" s="1"/>
  <c r="X18" i="21"/>
  <c r="T10" i="26" s="1"/>
  <c r="W18" i="21"/>
  <c r="S10" i="26" s="1"/>
  <c r="F10" i="26" s="1"/>
  <c r="V18" i="21"/>
  <c r="R10" i="26" s="1"/>
  <c r="U18" i="21"/>
  <c r="Q10" i="26" s="1"/>
  <c r="T18" i="21"/>
  <c r="P10" i="26" s="1"/>
  <c r="AE17" i="21"/>
  <c r="AA9" i="26" s="1"/>
  <c r="AD17" i="21"/>
  <c r="Z9" i="26" s="1"/>
  <c r="AC17" i="21"/>
  <c r="Y9" i="26" s="1"/>
  <c r="AB17" i="21"/>
  <c r="AA17" i="21"/>
  <c r="W9" i="26" s="1"/>
  <c r="Y17" i="21"/>
  <c r="U9" i="26" s="1"/>
  <c r="X17" i="21"/>
  <c r="T9" i="26" s="1"/>
  <c r="W17" i="21"/>
  <c r="S9" i="26" s="1"/>
  <c r="V17" i="21"/>
  <c r="R9" i="26" s="1"/>
  <c r="U17" i="21"/>
  <c r="T17" i="21"/>
  <c r="P9" i="26" s="1"/>
  <c r="AE40" i="21"/>
  <c r="AA21" i="26" s="1"/>
  <c r="AE39" i="21"/>
  <c r="AA20" i="26" s="1"/>
  <c r="AE38" i="21"/>
  <c r="AA19" i="26" s="1"/>
  <c r="AE37" i="21"/>
  <c r="AA18" i="26" s="1"/>
  <c r="AD40" i="21"/>
  <c r="Z21" i="26" s="1"/>
  <c r="AD39" i="21"/>
  <c r="Z20" i="26" s="1"/>
  <c r="AD38" i="21"/>
  <c r="AD37" i="21"/>
  <c r="Z18" i="26" s="1"/>
  <c r="AC40" i="21"/>
  <c r="Y21" i="26" s="1"/>
  <c r="AC39" i="21"/>
  <c r="Y20" i="26" s="1"/>
  <c r="AC38" i="21"/>
  <c r="Y19" i="26" s="1"/>
  <c r="AC37" i="21"/>
  <c r="Y18" i="26" s="1"/>
  <c r="AB40" i="21"/>
  <c r="X21" i="26" s="1"/>
  <c r="AB39" i="21"/>
  <c r="X20" i="26" s="1"/>
  <c r="AB38" i="21"/>
  <c r="X19" i="26" s="1"/>
  <c r="AB37" i="21"/>
  <c r="X18" i="26" s="1"/>
  <c r="AA40" i="21"/>
  <c r="AA39" i="21"/>
  <c r="AA38" i="21"/>
  <c r="AA37" i="21"/>
  <c r="Y40" i="21"/>
  <c r="U21" i="26" s="1"/>
  <c r="X40" i="21"/>
  <c r="T21" i="26" s="1"/>
  <c r="G21" i="26" s="1"/>
  <c r="W40" i="21"/>
  <c r="S21" i="26" s="1"/>
  <c r="V40" i="21"/>
  <c r="R21" i="26" s="1"/>
  <c r="E21" i="26" s="1"/>
  <c r="U40" i="21"/>
  <c r="Q21" i="26" s="1"/>
  <c r="D21" i="26" s="1"/>
  <c r="BK21" i="26" s="1"/>
  <c r="T40" i="21"/>
  <c r="P21" i="26" s="1"/>
  <c r="C21" i="26" s="1"/>
  <c r="Y39" i="21"/>
  <c r="U20" i="26" s="1"/>
  <c r="X39" i="21"/>
  <c r="T20" i="26" s="1"/>
  <c r="G20" i="26" s="1"/>
  <c r="W39" i="21"/>
  <c r="S20" i="26" s="1"/>
  <c r="V39" i="21"/>
  <c r="R20" i="26" s="1"/>
  <c r="E20" i="26" s="1"/>
  <c r="BL20" i="26" s="1"/>
  <c r="U39" i="21"/>
  <c r="Q20" i="26" s="1"/>
  <c r="D20" i="26" s="1"/>
  <c r="T39" i="21"/>
  <c r="P20" i="26" s="1"/>
  <c r="C20" i="26" s="1"/>
  <c r="Y38" i="21"/>
  <c r="U19" i="26" s="1"/>
  <c r="H19" i="26" s="1"/>
  <c r="X38" i="21"/>
  <c r="T19" i="26" s="1"/>
  <c r="G19" i="26" s="1"/>
  <c r="W38" i="21"/>
  <c r="S19" i="26" s="1"/>
  <c r="F19" i="26" s="1"/>
  <c r="V38" i="21"/>
  <c r="R19" i="26" s="1"/>
  <c r="E19" i="26" s="1"/>
  <c r="BL19" i="26" s="1"/>
  <c r="U38" i="21"/>
  <c r="Q19" i="26" s="1"/>
  <c r="D19" i="26" s="1"/>
  <c r="T38" i="21"/>
  <c r="P19" i="26" s="1"/>
  <c r="C19" i="26" s="1"/>
  <c r="Y37" i="21"/>
  <c r="U18" i="26" s="1"/>
  <c r="H18" i="26" s="1"/>
  <c r="X37" i="21"/>
  <c r="T18" i="26" s="1"/>
  <c r="G18" i="26" s="1"/>
  <c r="BN18" i="26" s="1"/>
  <c r="W37" i="21"/>
  <c r="V37" i="21"/>
  <c r="U37" i="21"/>
  <c r="Q18" i="26" s="1"/>
  <c r="D18" i="26" s="1"/>
  <c r="T37" i="21"/>
  <c r="P18" i="26" s="1"/>
  <c r="C18" i="26" s="1"/>
  <c r="AE58" i="21"/>
  <c r="AA39" i="26" s="1"/>
  <c r="AE57" i="21"/>
  <c r="AA38" i="26" s="1"/>
  <c r="AE56" i="21"/>
  <c r="AA37" i="26" s="1"/>
  <c r="AE55" i="21"/>
  <c r="AA36" i="26" s="1"/>
  <c r="AD58" i="21"/>
  <c r="Z39" i="26" s="1"/>
  <c r="AD57" i="21"/>
  <c r="Z38" i="26" s="1"/>
  <c r="AD56" i="21"/>
  <c r="AD55" i="21"/>
  <c r="Z36" i="26" s="1"/>
  <c r="AC58" i="21"/>
  <c r="Y39" i="26" s="1"/>
  <c r="AC57" i="21"/>
  <c r="Y38" i="26" s="1"/>
  <c r="AC56" i="21"/>
  <c r="Y37" i="26" s="1"/>
  <c r="AC55" i="21"/>
  <c r="Y36" i="26" s="1"/>
  <c r="AB58" i="21"/>
  <c r="X39" i="26" s="1"/>
  <c r="AB57" i="21"/>
  <c r="X38" i="26" s="1"/>
  <c r="AB56" i="21"/>
  <c r="X37" i="26" s="1"/>
  <c r="AB55" i="21"/>
  <c r="X36" i="26" s="1"/>
  <c r="AA58" i="21"/>
  <c r="W39" i="26" s="1"/>
  <c r="AA57" i="21"/>
  <c r="AA56" i="21"/>
  <c r="W37" i="26" s="1"/>
  <c r="AA55" i="21"/>
  <c r="W36" i="26" s="1"/>
  <c r="X58" i="21"/>
  <c r="T39" i="26" s="1"/>
  <c r="G39" i="26" s="1"/>
  <c r="X57" i="21"/>
  <c r="T38" i="26" s="1"/>
  <c r="G38" i="26" s="1"/>
  <c r="X56" i="21"/>
  <c r="T37" i="26" s="1"/>
  <c r="G37" i="26" s="1"/>
  <c r="BN37" i="26" s="1"/>
  <c r="X55" i="21"/>
  <c r="T36" i="26" s="1"/>
  <c r="G36" i="26" s="1"/>
  <c r="BN36" i="26" s="1"/>
  <c r="W58" i="21"/>
  <c r="S39" i="26" s="1"/>
  <c r="W57" i="21"/>
  <c r="S38" i="26" s="1"/>
  <c r="F38" i="26" s="1"/>
  <c r="W56" i="21"/>
  <c r="W55" i="21"/>
  <c r="S36" i="26" s="1"/>
  <c r="F36" i="26" s="1"/>
  <c r="BM36" i="26" s="1"/>
  <c r="V58" i="21"/>
  <c r="R39" i="26" s="1"/>
  <c r="E39" i="26" s="1"/>
  <c r="V57" i="21"/>
  <c r="R38" i="26" s="1"/>
  <c r="E38" i="26" s="1"/>
  <c r="BL38" i="26" s="1"/>
  <c r="V56" i="21"/>
  <c r="R37" i="26" s="1"/>
  <c r="E37" i="26" s="1"/>
  <c r="V55" i="21"/>
  <c r="R36" i="26" s="1"/>
  <c r="E36" i="26" s="1"/>
  <c r="BL36" i="26" s="1"/>
  <c r="U58" i="21"/>
  <c r="Q39" i="26" s="1"/>
  <c r="D39" i="26" s="1"/>
  <c r="BK39" i="26" s="1"/>
  <c r="U57" i="21"/>
  <c r="Q38" i="26" s="1"/>
  <c r="D38" i="26" s="1"/>
  <c r="BK38" i="26" s="1"/>
  <c r="U56" i="21"/>
  <c r="Q37" i="26" s="1"/>
  <c r="D37" i="26" s="1"/>
  <c r="BK37" i="26" s="1"/>
  <c r="U55" i="21"/>
  <c r="Q36" i="26" s="1"/>
  <c r="D36" i="26" s="1"/>
  <c r="BK36" i="26" s="1"/>
  <c r="T58" i="21"/>
  <c r="P39" i="26" s="1"/>
  <c r="C39" i="26" s="1"/>
  <c r="T57" i="21"/>
  <c r="T56" i="21"/>
  <c r="P37" i="26" s="1"/>
  <c r="C37" i="26" s="1"/>
  <c r="BJ37" i="26" s="1"/>
  <c r="T55" i="21"/>
  <c r="P36" i="26" s="1"/>
  <c r="C36" i="26" s="1"/>
  <c r="BJ36" i="26" s="1"/>
  <c r="AE81" i="21"/>
  <c r="AE80" i="21"/>
  <c r="AA47" i="26" s="1"/>
  <c r="AE79" i="21"/>
  <c r="AA46" i="26" s="1"/>
  <c r="AE78" i="21"/>
  <c r="AA45" i="26" s="1"/>
  <c r="AD81" i="21"/>
  <c r="Z48" i="26" s="1"/>
  <c r="AD79" i="21"/>
  <c r="Z46" i="26" s="1"/>
  <c r="AD78" i="21"/>
  <c r="Z45" i="26" s="1"/>
  <c r="AC81" i="21"/>
  <c r="Y48" i="26" s="1"/>
  <c r="AC80" i="21"/>
  <c r="Y47" i="26" s="1"/>
  <c r="AC79" i="21"/>
  <c r="Y46" i="26" s="1"/>
  <c r="AC78" i="21"/>
  <c r="AB81" i="21"/>
  <c r="X48" i="26" s="1"/>
  <c r="AB80" i="21"/>
  <c r="X47" i="26" s="1"/>
  <c r="AB79" i="21"/>
  <c r="AB78" i="21"/>
  <c r="X45" i="26" s="1"/>
  <c r="AA81" i="21"/>
  <c r="W48" i="26" s="1"/>
  <c r="AA80" i="21"/>
  <c r="W47" i="26" s="1"/>
  <c r="AA79" i="21"/>
  <c r="W46" i="26" s="1"/>
  <c r="AA78" i="21"/>
  <c r="X81" i="21"/>
  <c r="T48" i="26" s="1"/>
  <c r="G48" i="26" s="1"/>
  <c r="X80" i="21"/>
  <c r="T47" i="26" s="1"/>
  <c r="G47" i="26" s="1"/>
  <c r="X79" i="21"/>
  <c r="T46" i="26" s="1"/>
  <c r="G46" i="26" s="1"/>
  <c r="X78" i="21"/>
  <c r="T45" i="26" s="1"/>
  <c r="G45" i="26" s="1"/>
  <c r="W81" i="21"/>
  <c r="S48" i="26" s="1"/>
  <c r="F48" i="26" s="1"/>
  <c r="W79" i="21"/>
  <c r="S46" i="26" s="1"/>
  <c r="F46" i="26" s="1"/>
  <c r="W78" i="21"/>
  <c r="S45" i="26" s="1"/>
  <c r="F45" i="26" s="1"/>
  <c r="V81" i="21"/>
  <c r="V80" i="21"/>
  <c r="R47" i="26" s="1"/>
  <c r="E47" i="26" s="1"/>
  <c r="V79" i="21"/>
  <c r="R46" i="26" s="1"/>
  <c r="E46" i="26" s="1"/>
  <c r="BL46" i="26" s="1"/>
  <c r="V78" i="21"/>
  <c r="R45" i="26" s="1"/>
  <c r="E45" i="26" s="1"/>
  <c r="U81" i="21"/>
  <c r="Q48" i="26" s="1"/>
  <c r="D48" i="26" s="1"/>
  <c r="U80" i="21"/>
  <c r="Q47" i="26" s="1"/>
  <c r="D47" i="26" s="1"/>
  <c r="U79" i="21"/>
  <c r="U78" i="21"/>
  <c r="Q45" i="26" s="1"/>
  <c r="D45" i="26" s="1"/>
  <c r="T81" i="21"/>
  <c r="T80" i="21"/>
  <c r="P47" i="26" s="1"/>
  <c r="C47" i="26" s="1"/>
  <c r="T79" i="21"/>
  <c r="T78" i="21"/>
  <c r="Y109" i="21"/>
  <c r="U57" i="26" s="1"/>
  <c r="H57" i="26" s="1"/>
  <c r="BO57" i="26" s="1"/>
  <c r="Y108" i="21"/>
  <c r="U56" i="26" s="1"/>
  <c r="H56" i="26" s="1"/>
  <c r="BO56" i="26" s="1"/>
  <c r="Y107" i="21"/>
  <c r="U55" i="26" s="1"/>
  <c r="H55" i="26" s="1"/>
  <c r="BO55" i="26" s="1"/>
  <c r="Y106" i="21"/>
  <c r="X109" i="21"/>
  <c r="T57" i="26" s="1"/>
  <c r="G57" i="26" s="1"/>
  <c r="X108" i="21"/>
  <c r="T56" i="26" s="1"/>
  <c r="G56" i="26" s="1"/>
  <c r="X107" i="21"/>
  <c r="T55" i="26" s="1"/>
  <c r="G55" i="26" s="1"/>
  <c r="BN55" i="26" s="1"/>
  <c r="X106" i="21"/>
  <c r="W109" i="21"/>
  <c r="S57" i="26" s="1"/>
  <c r="F57" i="26" s="1"/>
  <c r="W108" i="21"/>
  <c r="S56" i="26" s="1"/>
  <c r="F56" i="26" s="1"/>
  <c r="W107" i="21"/>
  <c r="S55" i="26" s="1"/>
  <c r="F55" i="26" s="1"/>
  <c r="BM55" i="26" s="1"/>
  <c r="W106" i="21"/>
  <c r="V109" i="21"/>
  <c r="R57" i="26" s="1"/>
  <c r="E57" i="26" s="1"/>
  <c r="V108" i="21"/>
  <c r="R56" i="26" s="1"/>
  <c r="E56" i="26" s="1"/>
  <c r="BL56" i="26" s="1"/>
  <c r="V107" i="21"/>
  <c r="R55" i="26" s="1"/>
  <c r="E55" i="26" s="1"/>
  <c r="BL55" i="26" s="1"/>
  <c r="V106" i="21"/>
  <c r="R54" i="26" s="1"/>
  <c r="E54" i="26" s="1"/>
  <c r="BL54" i="26" s="1"/>
  <c r="U109" i="21"/>
  <c r="Q57" i="26" s="1"/>
  <c r="D57" i="26" s="1"/>
  <c r="BK57" i="26" s="1"/>
  <c r="U108" i="21"/>
  <c r="Q56" i="26" s="1"/>
  <c r="D56" i="26" s="1"/>
  <c r="BK56" i="26" s="1"/>
  <c r="U107" i="21"/>
  <c r="Q55" i="26" s="1"/>
  <c r="D55" i="26" s="1"/>
  <c r="BK55" i="26" s="1"/>
  <c r="U106" i="21"/>
  <c r="T109" i="21"/>
  <c r="P57" i="26" s="1"/>
  <c r="C57" i="26" s="1"/>
  <c r="T108" i="21"/>
  <c r="P56" i="26" s="1"/>
  <c r="C56" i="26" s="1"/>
  <c r="T107" i="21"/>
  <c r="P55" i="26" s="1"/>
  <c r="C55" i="26" s="1"/>
  <c r="BJ55" i="26" s="1"/>
  <c r="T106" i="21"/>
  <c r="Y129" i="21"/>
  <c r="U66" i="26" s="1"/>
  <c r="H66" i="26" s="1"/>
  <c r="BO66" i="26" s="1"/>
  <c r="Y128" i="21"/>
  <c r="U65" i="26" s="1"/>
  <c r="H65" i="26" s="1"/>
  <c r="BO65" i="26" s="1"/>
  <c r="Y127" i="21"/>
  <c r="U64" i="26" s="1"/>
  <c r="H64" i="26" s="1"/>
  <c r="BO64" i="26" s="1"/>
  <c r="Y126" i="21"/>
  <c r="X129" i="21"/>
  <c r="T66" i="26" s="1"/>
  <c r="G66" i="26" s="1"/>
  <c r="X128" i="21"/>
  <c r="T65" i="26" s="1"/>
  <c r="G65" i="26" s="1"/>
  <c r="X127" i="21"/>
  <c r="T64" i="26" s="1"/>
  <c r="G64" i="26" s="1"/>
  <c r="BN64" i="26" s="1"/>
  <c r="X126" i="21"/>
  <c r="W129" i="21"/>
  <c r="S66" i="26" s="1"/>
  <c r="F66" i="26" s="1"/>
  <c r="W128" i="21"/>
  <c r="S65" i="26" s="1"/>
  <c r="F65" i="26" s="1"/>
  <c r="W127" i="21"/>
  <c r="S64" i="26" s="1"/>
  <c r="F64" i="26" s="1"/>
  <c r="BM64" i="26" s="1"/>
  <c r="W126" i="21"/>
  <c r="V129" i="21"/>
  <c r="R66" i="26" s="1"/>
  <c r="E66" i="26" s="1"/>
  <c r="V128" i="21"/>
  <c r="R65" i="26" s="1"/>
  <c r="E65" i="26" s="1"/>
  <c r="BL65" i="26" s="1"/>
  <c r="V127" i="21"/>
  <c r="R64" i="26" s="1"/>
  <c r="E64" i="26" s="1"/>
  <c r="BL64" i="26" s="1"/>
  <c r="V126" i="21"/>
  <c r="U129" i="21"/>
  <c r="Q66" i="26" s="1"/>
  <c r="D66" i="26" s="1"/>
  <c r="BK66" i="26" s="1"/>
  <c r="U128" i="21"/>
  <c r="Q65" i="26" s="1"/>
  <c r="D65" i="26" s="1"/>
  <c r="BK65" i="26" s="1"/>
  <c r="U127" i="21"/>
  <c r="Q64" i="26" s="1"/>
  <c r="D64" i="26" s="1"/>
  <c r="BK64" i="26" s="1"/>
  <c r="U126" i="21"/>
  <c r="T129" i="21"/>
  <c r="P66" i="26" s="1"/>
  <c r="C66" i="26" s="1"/>
  <c r="T128" i="21"/>
  <c r="P65" i="26" s="1"/>
  <c r="C65" i="26" s="1"/>
  <c r="T127" i="21"/>
  <c r="P64" i="26" s="1"/>
  <c r="C64" i="26" s="1"/>
  <c r="BJ64" i="26" s="1"/>
  <c r="T126" i="21"/>
  <c r="D11" i="26" l="1"/>
  <c r="C9" i="26"/>
  <c r="G9" i="26"/>
  <c r="BN9" i="26" s="1"/>
  <c r="D10" i="26"/>
  <c r="D73" i="26" s="1"/>
  <c r="E17" i="28" s="1"/>
  <c r="E10" i="26"/>
  <c r="E73" i="26" s="1"/>
  <c r="F17" i="28" s="1"/>
  <c r="BO30" i="26"/>
  <c r="V110" i="21"/>
  <c r="R58" i="26" s="1"/>
  <c r="E58" i="26" s="1"/>
  <c r="BL58" i="26" s="1"/>
  <c r="BK48" i="26"/>
  <c r="T82" i="21"/>
  <c r="P49" i="26" s="1"/>
  <c r="C49" i="26" s="1"/>
  <c r="BN19" i="26"/>
  <c r="BJ31" i="26"/>
  <c r="BO27" i="26"/>
  <c r="BN45" i="26"/>
  <c r="BL37" i="26"/>
  <c r="BK47" i="26"/>
  <c r="BK19" i="26"/>
  <c r="F9" i="26"/>
  <c r="BM9" i="26" s="1"/>
  <c r="BL21" i="26"/>
  <c r="T130" i="21"/>
  <c r="P67" i="26" s="1"/>
  <c r="C67" i="26" s="1"/>
  <c r="BJ67" i="26" s="1"/>
  <c r="P63" i="26"/>
  <c r="C63" i="26" s="1"/>
  <c r="BJ63" i="26" s="1"/>
  <c r="W130" i="21"/>
  <c r="S67" i="26" s="1"/>
  <c r="F67" i="26" s="1"/>
  <c r="BM67" i="26" s="1"/>
  <c r="S63" i="26"/>
  <c r="F63" i="26" s="1"/>
  <c r="BM63" i="26" s="1"/>
  <c r="BJ57" i="26"/>
  <c r="BL57" i="26"/>
  <c r="U82" i="21"/>
  <c r="Q49" i="26" s="1"/>
  <c r="D49" i="26" s="1"/>
  <c r="Q46" i="26"/>
  <c r="D46" i="26" s="1"/>
  <c r="W59" i="21"/>
  <c r="S40" i="26" s="1"/>
  <c r="S37" i="26"/>
  <c r="F37" i="26" s="1"/>
  <c r="F73" i="26" s="1"/>
  <c r="G17" i="28" s="1"/>
  <c r="T110" i="21"/>
  <c r="P58" i="26" s="1"/>
  <c r="C58" i="26" s="1"/>
  <c r="BJ58" i="26" s="1"/>
  <c r="P54" i="26"/>
  <c r="C54" i="26" s="1"/>
  <c r="BJ54" i="26" s="1"/>
  <c r="U110" i="21"/>
  <c r="Q58" i="26" s="1"/>
  <c r="D58" i="26" s="1"/>
  <c r="BK58" i="26" s="1"/>
  <c r="Q54" i="26"/>
  <c r="D54" i="26" s="1"/>
  <c r="BK54" i="26" s="1"/>
  <c r="W110" i="21"/>
  <c r="S58" i="26" s="1"/>
  <c r="F58" i="26" s="1"/>
  <c r="BM58" i="26" s="1"/>
  <c r="S54" i="26"/>
  <c r="F54" i="26" s="1"/>
  <c r="BM54" i="26" s="1"/>
  <c r="X110" i="21"/>
  <c r="T58" i="26" s="1"/>
  <c r="G58" i="26" s="1"/>
  <c r="BN58" i="26" s="1"/>
  <c r="T54" i="26"/>
  <c r="G54" i="26" s="1"/>
  <c r="BN54" i="26" s="1"/>
  <c r="Y110" i="21"/>
  <c r="U58" i="26" s="1"/>
  <c r="H58" i="26" s="1"/>
  <c r="BO58" i="26" s="1"/>
  <c r="U54" i="26"/>
  <c r="H54" i="26" s="1"/>
  <c r="BO54" i="26" s="1"/>
  <c r="BJ47" i="26"/>
  <c r="BL47" i="26"/>
  <c r="BM48" i="26"/>
  <c r="X59" i="21"/>
  <c r="T40" i="26" s="1"/>
  <c r="G40" i="26" s="1"/>
  <c r="Y57" i="21"/>
  <c r="U38" i="26" s="1"/>
  <c r="H38" i="26" s="1"/>
  <c r="P38" i="26"/>
  <c r="C38" i="26" s="1"/>
  <c r="BM38" i="26"/>
  <c r="BN38" i="26"/>
  <c r="AF57" i="21"/>
  <c r="AB38" i="26" s="1"/>
  <c r="W38" i="26"/>
  <c r="BK18" i="26"/>
  <c r="BK20" i="26"/>
  <c r="AF38" i="21"/>
  <c r="AB19" i="26" s="1"/>
  <c r="W19" i="26"/>
  <c r="BJ19" i="26" s="1"/>
  <c r="AD41" i="21"/>
  <c r="Z22" i="26" s="1"/>
  <c r="Z19" i="26"/>
  <c r="BM19" i="26" s="1"/>
  <c r="U21" i="21"/>
  <c r="Q13" i="26" s="1"/>
  <c r="Q9" i="26"/>
  <c r="U55" i="22"/>
  <c r="AF13" i="26" s="1"/>
  <c r="AF9" i="26"/>
  <c r="V55" i="22"/>
  <c r="AG13" i="26" s="1"/>
  <c r="AG9" i="26"/>
  <c r="E9" i="26" s="1"/>
  <c r="AF51" i="22"/>
  <c r="AQ9" i="26" s="1"/>
  <c r="AL9" i="26"/>
  <c r="AC55" i="22"/>
  <c r="AN13" i="26" s="1"/>
  <c r="AN9" i="26"/>
  <c r="Y93" i="22"/>
  <c r="AJ31" i="26" s="1"/>
  <c r="H31" i="26" s="1"/>
  <c r="AJ28" i="26"/>
  <c r="H28" i="26" s="1"/>
  <c r="BO28" i="26" s="1"/>
  <c r="BJ29" i="26"/>
  <c r="U130" i="21"/>
  <c r="Q67" i="26" s="1"/>
  <c r="D67" i="26" s="1"/>
  <c r="BK67" i="26" s="1"/>
  <c r="Q63" i="26"/>
  <c r="D63" i="26" s="1"/>
  <c r="BK63" i="26" s="1"/>
  <c r="Y130" i="21"/>
  <c r="U67" i="26" s="1"/>
  <c r="H67" i="26" s="1"/>
  <c r="BO67" i="26" s="1"/>
  <c r="U63" i="26"/>
  <c r="H63" i="26" s="1"/>
  <c r="BO63" i="26" s="1"/>
  <c r="BM57" i="26"/>
  <c r="Y79" i="21"/>
  <c r="U46" i="26" s="1"/>
  <c r="H46" i="26" s="1"/>
  <c r="P46" i="26"/>
  <c r="C46" i="26" s="1"/>
  <c r="BJ46" i="26" s="1"/>
  <c r="AD59" i="21"/>
  <c r="Z40" i="26" s="1"/>
  <c r="Z37" i="26"/>
  <c r="BN20" i="26"/>
  <c r="AF37" i="21"/>
  <c r="AB18" i="26" s="1"/>
  <c r="BO18" i="26" s="1"/>
  <c r="W18" i="26"/>
  <c r="BJ18" i="26" s="1"/>
  <c r="BN65" i="26"/>
  <c r="Y81" i="21"/>
  <c r="U48" i="26" s="1"/>
  <c r="H48" i="26" s="1"/>
  <c r="P48" i="26"/>
  <c r="C48" i="26" s="1"/>
  <c r="V82" i="21"/>
  <c r="R49" i="26" s="1"/>
  <c r="E49" i="26" s="1"/>
  <c r="R48" i="26"/>
  <c r="E48" i="26" s="1"/>
  <c r="AF78" i="21"/>
  <c r="AB45" i="26" s="1"/>
  <c r="W45" i="26"/>
  <c r="BJ39" i="26"/>
  <c r="BL39" i="26"/>
  <c r="BN39" i="26"/>
  <c r="V41" i="21"/>
  <c r="R22" i="26" s="1"/>
  <c r="E22" i="26" s="1"/>
  <c r="R18" i="26"/>
  <c r="E18" i="26" s="1"/>
  <c r="BL18" i="26" s="1"/>
  <c r="BN21" i="26"/>
  <c r="AF39" i="21"/>
  <c r="AB20" i="26" s="1"/>
  <c r="W20" i="26"/>
  <c r="BJ20" i="26" s="1"/>
  <c r="BM10" i="26"/>
  <c r="D74" i="26"/>
  <c r="E18" i="28" s="1"/>
  <c r="BK11" i="26"/>
  <c r="D12" i="26"/>
  <c r="AF20" i="21"/>
  <c r="AB12" i="26" s="1"/>
  <c r="W12" i="26"/>
  <c r="BK31" i="26"/>
  <c r="BO29" i="26"/>
  <c r="BN31" i="26"/>
  <c r="V130" i="21"/>
  <c r="R67" i="26" s="1"/>
  <c r="E67" i="26" s="1"/>
  <c r="BL67" i="26" s="1"/>
  <c r="R63" i="26"/>
  <c r="E63" i="26" s="1"/>
  <c r="BL63" i="26" s="1"/>
  <c r="X130" i="21"/>
  <c r="T67" i="26" s="1"/>
  <c r="G67" i="26" s="1"/>
  <c r="BN67" i="26" s="1"/>
  <c r="T63" i="26"/>
  <c r="G63" i="26" s="1"/>
  <c r="BN63" i="26" s="1"/>
  <c r="BN57" i="26"/>
  <c r="BN47" i="26"/>
  <c r="AE82" i="21"/>
  <c r="AA49" i="26" s="1"/>
  <c r="AA48" i="26"/>
  <c r="BN48" i="26" s="1"/>
  <c r="BJ9" i="26"/>
  <c r="BJ65" i="26"/>
  <c r="BM65" i="26"/>
  <c r="X82" i="21"/>
  <c r="T49" i="26" s="1"/>
  <c r="G49" i="26" s="1"/>
  <c r="AC82" i="21"/>
  <c r="Y49" i="26" s="1"/>
  <c r="Y45" i="26"/>
  <c r="AE59" i="21"/>
  <c r="AA40" i="26" s="1"/>
  <c r="BJ66" i="26"/>
  <c r="BL66" i="26"/>
  <c r="BM66" i="26"/>
  <c r="BN66" i="26"/>
  <c r="BJ56" i="26"/>
  <c r="BM56" i="26"/>
  <c r="BN56" i="26"/>
  <c r="Y78" i="21"/>
  <c r="U45" i="26" s="1"/>
  <c r="H45" i="26" s="1"/>
  <c r="P45" i="26"/>
  <c r="C45" i="26" s="1"/>
  <c r="BJ45" i="26" s="1"/>
  <c r="BK45" i="26"/>
  <c r="BL45" i="26"/>
  <c r="BM45" i="26"/>
  <c r="BN46" i="26"/>
  <c r="AB82" i="21"/>
  <c r="X49" i="26" s="1"/>
  <c r="X46" i="26"/>
  <c r="BM46" i="26"/>
  <c r="AE41" i="21"/>
  <c r="AA22" i="26" s="1"/>
  <c r="W41" i="21"/>
  <c r="S22" i="26" s="1"/>
  <c r="S18" i="26"/>
  <c r="F18" i="26" s="1"/>
  <c r="BM18" i="26" s="1"/>
  <c r="BO19" i="26"/>
  <c r="AF40" i="21"/>
  <c r="AB21" i="26" s="1"/>
  <c r="W21" i="26"/>
  <c r="BJ21" i="26" s="1"/>
  <c r="AB21" i="21"/>
  <c r="X13" i="26" s="1"/>
  <c r="X9" i="26"/>
  <c r="C10" i="26"/>
  <c r="G10" i="26"/>
  <c r="BL11" i="26"/>
  <c r="BL74" i="26" s="1"/>
  <c r="N18" i="28" s="1"/>
  <c r="E74" i="26"/>
  <c r="F18" i="28" s="1"/>
  <c r="E12" i="26"/>
  <c r="BM31" i="26"/>
  <c r="BL31" i="26"/>
  <c r="Y52" i="22"/>
  <c r="AJ10" i="26" s="1"/>
  <c r="H10" i="26" s="1"/>
  <c r="AF52" i="22"/>
  <c r="AQ10" i="26" s="1"/>
  <c r="AF93" i="22"/>
  <c r="AQ31" i="26" s="1"/>
  <c r="AF79" i="21"/>
  <c r="AB46" i="26" s="1"/>
  <c r="Y56" i="21"/>
  <c r="U37" i="26" s="1"/>
  <c r="H37" i="26" s="1"/>
  <c r="AF56" i="21"/>
  <c r="AB37" i="26" s="1"/>
  <c r="T41" i="21"/>
  <c r="P22" i="26" s="1"/>
  <c r="C22" i="26" s="1"/>
  <c r="X41" i="21"/>
  <c r="T22" i="26" s="1"/>
  <c r="G22" i="26" s="1"/>
  <c r="X21" i="21"/>
  <c r="T13" i="26" s="1"/>
  <c r="AC21" i="21"/>
  <c r="Y13" i="26" s="1"/>
  <c r="AF19" i="21"/>
  <c r="AB11" i="26" s="1"/>
  <c r="AD21" i="21"/>
  <c r="Z13" i="26" s="1"/>
  <c r="AF18" i="21"/>
  <c r="AB10" i="26" s="1"/>
  <c r="AA82" i="21"/>
  <c r="W49" i="26" s="1"/>
  <c r="BJ49" i="26" s="1"/>
  <c r="AF81" i="21"/>
  <c r="AB48" i="26" s="1"/>
  <c r="Y58" i="21"/>
  <c r="U39" i="26" s="1"/>
  <c r="AF58" i="21"/>
  <c r="AB39" i="26" s="1"/>
  <c r="U41" i="21"/>
  <c r="Q22" i="26" s="1"/>
  <c r="D22" i="26" s="1"/>
  <c r="Y41" i="21"/>
  <c r="U22" i="26" s="1"/>
  <c r="V21" i="21"/>
  <c r="R13" i="26" s="1"/>
  <c r="E13" i="26" s="1"/>
  <c r="AF17" i="21"/>
  <c r="AB9" i="26" s="1"/>
  <c r="AE21" i="21"/>
  <c r="AA13" i="26" s="1"/>
  <c r="AE55" i="22"/>
  <c r="AP13" i="26" s="1"/>
  <c r="AB55" i="22"/>
  <c r="AM13" i="26" s="1"/>
  <c r="Y51" i="22"/>
  <c r="AJ9" i="26" s="1"/>
  <c r="H9" i="26" s="1"/>
  <c r="AA55" i="22"/>
  <c r="AL13" i="26" s="1"/>
  <c r="AA21" i="21"/>
  <c r="W13" i="26" s="1"/>
  <c r="AC41" i="21"/>
  <c r="Y22" i="26" s="1"/>
  <c r="AB41" i="21"/>
  <c r="X22" i="26" s="1"/>
  <c r="AA41" i="21"/>
  <c r="W22" i="26" s="1"/>
  <c r="AC59" i="21"/>
  <c r="Y40" i="26" s="1"/>
  <c r="AF55" i="21"/>
  <c r="AB36" i="26" s="1"/>
  <c r="AB59" i="21"/>
  <c r="X40" i="26" s="1"/>
  <c r="V59" i="21"/>
  <c r="R40" i="26" s="1"/>
  <c r="E40" i="26" s="1"/>
  <c r="BL40" i="26" s="1"/>
  <c r="U59" i="21"/>
  <c r="Q40" i="26" s="1"/>
  <c r="D40" i="26" s="1"/>
  <c r="BK40" i="26" s="1"/>
  <c r="Y55" i="21"/>
  <c r="T59" i="21"/>
  <c r="P40" i="26" s="1"/>
  <c r="C40" i="26" s="1"/>
  <c r="AA59" i="21"/>
  <c r="W40" i="26" s="1"/>
  <c r="BL10" i="26" l="1"/>
  <c r="BL73" i="26" s="1"/>
  <c r="N17" i="28" s="1"/>
  <c r="BK10" i="26"/>
  <c r="BK74" i="26"/>
  <c r="M18" i="28" s="1"/>
  <c r="BN22" i="26"/>
  <c r="BO45" i="26"/>
  <c r="BN40" i="26"/>
  <c r="AF21" i="21"/>
  <c r="AB13" i="26" s="1"/>
  <c r="BK49" i="26"/>
  <c r="D9" i="26"/>
  <c r="D72" i="26" s="1"/>
  <c r="E16" i="28" s="1"/>
  <c r="BO10" i="26"/>
  <c r="H73" i="26"/>
  <c r="I17" i="28" s="1"/>
  <c r="BO9" i="26"/>
  <c r="BL13" i="26"/>
  <c r="E76" i="26"/>
  <c r="F20" i="28" s="1"/>
  <c r="BJ72" i="26"/>
  <c r="L16" i="28" s="1"/>
  <c r="BJ40" i="26"/>
  <c r="AF41" i="21"/>
  <c r="AB22" i="26" s="1"/>
  <c r="BJ22" i="26"/>
  <c r="G73" i="26"/>
  <c r="H17" i="28" s="1"/>
  <c r="BN10" i="26"/>
  <c r="BN73" i="26" s="1"/>
  <c r="P17" i="28" s="1"/>
  <c r="BM72" i="26"/>
  <c r="O16" i="28" s="1"/>
  <c r="BN49" i="26"/>
  <c r="BL22" i="26"/>
  <c r="BJ48" i="26"/>
  <c r="BO46" i="26"/>
  <c r="D13" i="26"/>
  <c r="G72" i="26"/>
  <c r="H16" i="28" s="1"/>
  <c r="BM37" i="26"/>
  <c r="BM73" i="26" s="1"/>
  <c r="O17" i="28" s="1"/>
  <c r="BL9" i="26"/>
  <c r="BL72" i="26" s="1"/>
  <c r="N16" i="28" s="1"/>
  <c r="E72" i="26"/>
  <c r="F16" i="28" s="1"/>
  <c r="BL12" i="26"/>
  <c r="E75" i="26"/>
  <c r="F19" i="28" s="1"/>
  <c r="F54" i="28" s="1"/>
  <c r="C73" i="26"/>
  <c r="D17" i="28" s="1"/>
  <c r="BJ10" i="26"/>
  <c r="BJ73" i="26" s="1"/>
  <c r="L17" i="28" s="1"/>
  <c r="F72" i="26"/>
  <c r="G16" i="28" s="1"/>
  <c r="BO48" i="26"/>
  <c r="BJ38" i="26"/>
  <c r="BN72" i="26"/>
  <c r="P16" i="28" s="1"/>
  <c r="BL49" i="26"/>
  <c r="Y59" i="21"/>
  <c r="U40" i="26" s="1"/>
  <c r="U36" i="26"/>
  <c r="H36" i="26" s="1"/>
  <c r="BO36" i="26" s="1"/>
  <c r="BK22" i="26"/>
  <c r="BO37" i="26"/>
  <c r="C72" i="26"/>
  <c r="D16" i="28" s="1"/>
  <c r="BK12" i="26"/>
  <c r="BK75" i="26" s="1"/>
  <c r="M19" i="28" s="1"/>
  <c r="D75" i="26"/>
  <c r="E19" i="28" s="1"/>
  <c r="BL48" i="26"/>
  <c r="F58" i="28"/>
  <c r="BO31" i="26"/>
  <c r="BO38" i="26"/>
  <c r="BK46" i="26"/>
  <c r="BK73" i="26" s="1"/>
  <c r="M17" i="28" s="1"/>
  <c r="AF59" i="21"/>
  <c r="AB40" i="26" s="1"/>
  <c r="G730" i="20"/>
  <c r="E730" i="20"/>
  <c r="D730" i="20"/>
  <c r="G778" i="20"/>
  <c r="G777" i="20"/>
  <c r="G776" i="20"/>
  <c r="G775" i="20"/>
  <c r="G774" i="20"/>
  <c r="E774" i="20"/>
  <c r="D775" i="20" s="1"/>
  <c r="E775" i="20" s="1"/>
  <c r="D776" i="20" s="1"/>
  <c r="E776" i="20" s="1"/>
  <c r="D777" i="20" s="1"/>
  <c r="E777" i="20" s="1"/>
  <c r="D778" i="20" s="1"/>
  <c r="E778" i="20" s="1"/>
  <c r="E312" i="22"/>
  <c r="E311" i="22"/>
  <c r="F317" i="22"/>
  <c r="BK9" i="26" l="1"/>
  <c r="BK72" i="26" s="1"/>
  <c r="M16" i="28" s="1"/>
  <c r="BO72" i="26"/>
  <c r="Q16" i="28" s="1"/>
  <c r="F55" i="28"/>
  <c r="F56" i="28"/>
  <c r="F60" i="28"/>
  <c r="F59" i="28"/>
  <c r="F57" i="28"/>
  <c r="BL76" i="26"/>
  <c r="N20" i="28" s="1"/>
  <c r="G763" i="20"/>
  <c r="G760" i="20"/>
  <c r="BL75" i="26"/>
  <c r="N19" i="28" s="1"/>
  <c r="N54" i="28" s="1"/>
  <c r="D76" i="26"/>
  <c r="E20" i="28" s="1"/>
  <c r="BK13" i="26"/>
  <c r="BK76" i="26" s="1"/>
  <c r="M20" i="28" s="1"/>
  <c r="BO73" i="26"/>
  <c r="Q17" i="28" s="1"/>
  <c r="H72" i="26"/>
  <c r="I16" i="28" s="1"/>
  <c r="F730" i="20"/>
  <c r="D285" i="22"/>
  <c r="E285" i="22" s="1"/>
  <c r="D286" i="22" s="1"/>
  <c r="E286" i="22" s="1"/>
  <c r="D287" i="22" s="1"/>
  <c r="E287" i="22" s="1"/>
  <c r="D288" i="22" s="1"/>
  <c r="E288" i="22" s="1"/>
  <c r="F61" i="28" l="1"/>
  <c r="AD764" i="20"/>
  <c r="U120" i="27" s="1"/>
  <c r="W764" i="20"/>
  <c r="N120" i="27" s="1"/>
  <c r="F120" i="27" s="1"/>
  <c r="F760" i="20"/>
  <c r="F763" i="20"/>
  <c r="N55" i="28"/>
  <c r="N60" i="28"/>
  <c r="N57" i="28"/>
  <c r="N59" i="28"/>
  <c r="N56" i="28"/>
  <c r="N58" i="28"/>
  <c r="E328" i="20"/>
  <c r="E325" i="20"/>
  <c r="D326" i="20" s="1"/>
  <c r="E326" i="20" s="1"/>
  <c r="E56" i="20"/>
  <c r="E58" i="20"/>
  <c r="E238" i="20"/>
  <c r="E187" i="20"/>
  <c r="E12" i="20"/>
  <c r="N61" i="28" l="1"/>
  <c r="BV120" i="27"/>
  <c r="AF764" i="20"/>
  <c r="AD765" i="20"/>
  <c r="U121" i="27" s="1"/>
  <c r="Y764" i="20"/>
  <c r="W765" i="20"/>
  <c r="N121" i="27" s="1"/>
  <c r="F121" i="27" s="1"/>
  <c r="D597" i="20"/>
  <c r="E597" i="20" s="1"/>
  <c r="BV121" i="27" l="1"/>
  <c r="Y765" i="20"/>
  <c r="P121" i="27" s="1"/>
  <c r="H121" i="27" s="1"/>
  <c r="P120" i="27"/>
  <c r="H120" i="27" s="1"/>
  <c r="AF765" i="20"/>
  <c r="W121" i="27" s="1"/>
  <c r="W120" i="27"/>
  <c r="G229" i="20"/>
  <c r="F229" i="20"/>
  <c r="T250" i="20" s="1"/>
  <c r="K10" i="27" s="1"/>
  <c r="C10" i="27" s="1"/>
  <c r="E205" i="22"/>
  <c r="F202" i="22"/>
  <c r="BX120" i="27" l="1"/>
  <c r="BX121" i="27"/>
  <c r="BS10" i="27"/>
  <c r="C199" i="27"/>
  <c r="D8" i="28" s="1"/>
  <c r="Y250" i="20"/>
  <c r="T253" i="20"/>
  <c r="K13" i="27" s="1"/>
  <c r="C13" i="27" s="1"/>
  <c r="AD241" i="22"/>
  <c r="AO39" i="26" s="1"/>
  <c r="W241" i="22"/>
  <c r="AH39" i="26" s="1"/>
  <c r="F39" i="26" s="1"/>
  <c r="F21" i="25"/>
  <c r="H26" i="24"/>
  <c r="H25" i="24"/>
  <c r="H24" i="24"/>
  <c r="H17" i="24"/>
  <c r="H15" i="24"/>
  <c r="BM39" i="26" l="1"/>
  <c r="BS199" i="27"/>
  <c r="L8" i="28" s="1"/>
  <c r="L29" i="28" s="1"/>
  <c r="D29" i="28"/>
  <c r="D31" i="28"/>
  <c r="D32" i="28"/>
  <c r="Y253" i="20"/>
  <c r="P13" i="27" s="1"/>
  <c r="P10" i="27"/>
  <c r="H10" i="27" s="1"/>
  <c r="BS13" i="27"/>
  <c r="BS202" i="27" s="1"/>
  <c r="L11" i="28" s="1"/>
  <c r="C202" i="27"/>
  <c r="D11" i="28" s="1"/>
  <c r="Y241" i="22"/>
  <c r="W242" i="22"/>
  <c r="AH40" i="26" s="1"/>
  <c r="F40" i="26" s="1"/>
  <c r="AF241" i="22"/>
  <c r="AD242" i="22"/>
  <c r="AO40" i="26" s="1"/>
  <c r="E42" i="20"/>
  <c r="AF242" i="22" l="1"/>
  <c r="AQ40" i="26" s="1"/>
  <c r="AQ39" i="26"/>
  <c r="BM40" i="26"/>
  <c r="Y242" i="22"/>
  <c r="AJ40" i="26" s="1"/>
  <c r="H40" i="26" s="1"/>
  <c r="AJ39" i="26"/>
  <c r="H39" i="26" s="1"/>
  <c r="D38" i="28"/>
  <c r="D37" i="28"/>
  <c r="H199" i="27"/>
  <c r="I8" i="28" s="1"/>
  <c r="BX10" i="27"/>
  <c r="BX199" i="27" s="1"/>
  <c r="Q8" i="28" s="1"/>
  <c r="D92" i="23"/>
  <c r="E92" i="23" s="1"/>
  <c r="E88" i="23"/>
  <c r="D81" i="23"/>
  <c r="F109" i="23"/>
  <c r="D79" i="23"/>
  <c r="E79" i="23" s="1"/>
  <c r="BO39" i="26" l="1"/>
  <c r="BO40" i="26"/>
  <c r="AA243" i="22"/>
  <c r="F11" i="23"/>
  <c r="D367" i="22"/>
  <c r="E367" i="22" s="1"/>
  <c r="F283" i="22"/>
  <c r="E271" i="22"/>
  <c r="AD43" i="23" l="1"/>
  <c r="BD12" i="26" s="1"/>
  <c r="F318" i="22"/>
  <c r="AD317" i="22"/>
  <c r="AO47" i="26" s="1"/>
  <c r="F315" i="22"/>
  <c r="W317" i="22"/>
  <c r="AH47" i="26" s="1"/>
  <c r="D175" i="22"/>
  <c r="E175" i="22" s="1"/>
  <c r="D170" i="22"/>
  <c r="E170" i="22" s="1"/>
  <c r="D155" i="22"/>
  <c r="E155" i="22" s="1"/>
  <c r="D140" i="22"/>
  <c r="E140" i="22" s="1"/>
  <c r="D131" i="22"/>
  <c r="F131" i="22" s="1"/>
  <c r="D122" i="22"/>
  <c r="F122" i="22" s="1"/>
  <c r="D120" i="22"/>
  <c r="F120" i="22" s="1"/>
  <c r="D116" i="22"/>
  <c r="E116" i="22" s="1"/>
  <c r="D113" i="22"/>
  <c r="E113" i="22" s="1"/>
  <c r="F113" i="22" s="1"/>
  <c r="E72" i="22"/>
  <c r="D44" i="22"/>
  <c r="E44" i="22" s="1"/>
  <c r="F44" i="22" s="1"/>
  <c r="E31" i="22"/>
  <c r="F31" i="22" s="1"/>
  <c r="AD54" i="22" s="1"/>
  <c r="E20" i="22"/>
  <c r="D21" i="22" s="1"/>
  <c r="E21" i="22" s="1"/>
  <c r="F71" i="21"/>
  <c r="D32" i="21"/>
  <c r="E32" i="21" s="1"/>
  <c r="AF54" i="22" l="1"/>
  <c r="AQ12" i="26" s="1"/>
  <c r="AO12" i="26"/>
  <c r="AD44" i="23"/>
  <c r="BD13" i="26" s="1"/>
  <c r="AF43" i="23"/>
  <c r="W319" i="22"/>
  <c r="AH49" i="26" s="1"/>
  <c r="Y317" i="22"/>
  <c r="AD180" i="22"/>
  <c r="AO20" i="26" s="1"/>
  <c r="W180" i="22"/>
  <c r="AH20" i="26" s="1"/>
  <c r="F20" i="26" s="1"/>
  <c r="AD181" i="22"/>
  <c r="W181" i="22"/>
  <c r="AF317" i="22"/>
  <c r="AD319" i="22"/>
  <c r="AO49" i="26" s="1"/>
  <c r="W80" i="21"/>
  <c r="S47" i="26" s="1"/>
  <c r="F47" i="26" s="1"/>
  <c r="AD80" i="21"/>
  <c r="Z47" i="26" s="1"/>
  <c r="D22" i="22"/>
  <c r="E22" i="22" s="1"/>
  <c r="F22" i="22" s="1"/>
  <c r="F21" i="22"/>
  <c r="F20" i="22"/>
  <c r="AD53" i="22" s="1"/>
  <c r="AO11" i="26" s="1"/>
  <c r="BM47" i="26" l="1"/>
  <c r="BM20" i="26"/>
  <c r="AF44" i="23"/>
  <c r="BF13" i="26" s="1"/>
  <c r="BF12" i="26"/>
  <c r="AF319" i="22"/>
  <c r="AQ49" i="26" s="1"/>
  <c r="AQ47" i="26"/>
  <c r="Y181" i="22"/>
  <c r="AJ21" i="26" s="1"/>
  <c r="H21" i="26" s="1"/>
  <c r="AH21" i="26"/>
  <c r="F21" i="26" s="1"/>
  <c r="Y319" i="22"/>
  <c r="AJ49" i="26" s="1"/>
  <c r="AJ47" i="26"/>
  <c r="AF181" i="22"/>
  <c r="AQ21" i="26" s="1"/>
  <c r="AO21" i="26"/>
  <c r="Y180" i="22"/>
  <c r="W182" i="22"/>
  <c r="AH22" i="26" s="1"/>
  <c r="F22" i="26" s="1"/>
  <c r="AF180" i="22"/>
  <c r="AD182" i="22"/>
  <c r="AO22" i="26" s="1"/>
  <c r="AD55" i="22"/>
  <c r="AO13" i="26" s="1"/>
  <c r="AF53" i="22"/>
  <c r="AD82" i="21"/>
  <c r="Z49" i="26" s="1"/>
  <c r="AF80" i="21"/>
  <c r="Y80" i="21"/>
  <c r="W82" i="21"/>
  <c r="S49" i="26" s="1"/>
  <c r="F49" i="26" s="1"/>
  <c r="F181" i="22"/>
  <c r="F135" i="21"/>
  <c r="BM22" i="26" l="1"/>
  <c r="BM49" i="26"/>
  <c r="AF55" i="22"/>
  <c r="AQ13" i="26" s="1"/>
  <c r="AQ11" i="26"/>
  <c r="Y82" i="21"/>
  <c r="U49" i="26" s="1"/>
  <c r="H49" i="26" s="1"/>
  <c r="U47" i="26"/>
  <c r="H47" i="26" s="1"/>
  <c r="Y182" i="22"/>
  <c r="AJ20" i="26"/>
  <c r="H20" i="26" s="1"/>
  <c r="AF82" i="21"/>
  <c r="AB49" i="26" s="1"/>
  <c r="AB47" i="26"/>
  <c r="BM21" i="26"/>
  <c r="AF182" i="22"/>
  <c r="AQ22" i="26" s="1"/>
  <c r="AQ20" i="26"/>
  <c r="BO21" i="26"/>
  <c r="G994" i="20"/>
  <c r="F994" i="20"/>
  <c r="G993" i="20"/>
  <c r="F993" i="20"/>
  <c r="G992" i="20"/>
  <c r="F992" i="20"/>
  <c r="G991" i="20"/>
  <c r="F991" i="20"/>
  <c r="P990" i="20"/>
  <c r="M990" i="20"/>
  <c r="L990" i="20"/>
  <c r="G990" i="20"/>
  <c r="F990" i="20"/>
  <c r="P975" i="20"/>
  <c r="M975" i="20"/>
  <c r="L975" i="20"/>
  <c r="G979" i="20"/>
  <c r="F979" i="20"/>
  <c r="G978" i="20"/>
  <c r="F978" i="20"/>
  <c r="G977" i="20"/>
  <c r="F977" i="20"/>
  <c r="F976" i="20"/>
  <c r="F975" i="20"/>
  <c r="G963" i="20"/>
  <c r="G975" i="20" s="1"/>
  <c r="G945" i="20"/>
  <c r="F945" i="20"/>
  <c r="G944" i="20"/>
  <c r="F944" i="20"/>
  <c r="G943" i="20"/>
  <c r="F943" i="20"/>
  <c r="G942" i="20"/>
  <c r="F942" i="20"/>
  <c r="P941" i="20"/>
  <c r="M941" i="20"/>
  <c r="L941" i="20"/>
  <c r="G941" i="20"/>
  <c r="F941" i="20"/>
  <c r="F920" i="20"/>
  <c r="F898" i="20"/>
  <c r="P917" i="20"/>
  <c r="M917" i="20"/>
  <c r="L917" i="20"/>
  <c r="G921" i="20"/>
  <c r="F921" i="20"/>
  <c r="G920" i="20"/>
  <c r="G919" i="20"/>
  <c r="F919" i="20"/>
  <c r="F918" i="20"/>
  <c r="G918" i="20"/>
  <c r="G917" i="20"/>
  <c r="F917" i="20"/>
  <c r="G883" i="20"/>
  <c r="BO20" i="26" l="1"/>
  <c r="BO47" i="26"/>
  <c r="BO49" i="26"/>
  <c r="Z183" i="22"/>
  <c r="AJ22" i="26"/>
  <c r="H22" i="26" s="1"/>
  <c r="BO22" i="26" s="1"/>
  <c r="G976" i="20"/>
  <c r="P896" i="20"/>
  <c r="M896" i="20"/>
  <c r="L896" i="20"/>
  <c r="G900" i="20"/>
  <c r="F900" i="20"/>
  <c r="G899" i="20"/>
  <c r="F899" i="20"/>
  <c r="G898" i="20"/>
  <c r="F897" i="20"/>
  <c r="F896" i="20"/>
  <c r="G890" i="20"/>
  <c r="G896" i="20" s="1"/>
  <c r="G868" i="20"/>
  <c r="F868" i="20"/>
  <c r="G867" i="20"/>
  <c r="F867" i="20"/>
  <c r="G866" i="20"/>
  <c r="G865" i="20"/>
  <c r="F866" i="20"/>
  <c r="F865" i="20"/>
  <c r="P864" i="20"/>
  <c r="M864" i="20"/>
  <c r="L864" i="20"/>
  <c r="G864" i="20"/>
  <c r="F864" i="20"/>
  <c r="F216" i="23"/>
  <c r="F215" i="23"/>
  <c r="F214" i="23"/>
  <c r="F213" i="23"/>
  <c r="P211" i="23"/>
  <c r="M211" i="23"/>
  <c r="L211" i="23"/>
  <c r="F212" i="23"/>
  <c r="E210" i="23"/>
  <c r="P450" i="22"/>
  <c r="M450" i="22"/>
  <c r="L450" i="22"/>
  <c r="F455" i="22"/>
  <c r="F454" i="22"/>
  <c r="F453" i="22"/>
  <c r="F452" i="22"/>
  <c r="F451" i="22"/>
  <c r="P125" i="21"/>
  <c r="M125" i="21"/>
  <c r="L125" i="21"/>
  <c r="F128" i="21"/>
  <c r="F126" i="21"/>
  <c r="F125" i="21"/>
  <c r="P181" i="23"/>
  <c r="M181" i="23"/>
  <c r="L181" i="23"/>
  <c r="F186" i="23"/>
  <c r="F185" i="23"/>
  <c r="F184" i="23"/>
  <c r="F183" i="23"/>
  <c r="F182" i="23"/>
  <c r="P412" i="22"/>
  <c r="M412" i="22"/>
  <c r="L412" i="22"/>
  <c r="F417" i="22"/>
  <c r="F416" i="22"/>
  <c r="F415" i="22"/>
  <c r="F414" i="22"/>
  <c r="F413" i="22"/>
  <c r="L105" i="21"/>
  <c r="E370" i="22"/>
  <c r="P105" i="21"/>
  <c r="M105" i="21"/>
  <c r="F220" i="23" l="1"/>
  <c r="G897" i="20"/>
  <c r="F106" i="21"/>
  <c r="F105" i="21"/>
  <c r="F108" i="21" l="1"/>
  <c r="P313" i="22"/>
  <c r="M313" i="22"/>
  <c r="L313" i="22"/>
  <c r="P77" i="21"/>
  <c r="M77" i="21"/>
  <c r="L77" i="21"/>
  <c r="F77" i="21"/>
  <c r="F80" i="21" s="1"/>
  <c r="P821" i="20"/>
  <c r="M821" i="20"/>
  <c r="L821" i="20"/>
  <c r="G825" i="20"/>
  <c r="F825" i="20"/>
  <c r="F824" i="20"/>
  <c r="G823" i="20"/>
  <c r="G824" i="20"/>
  <c r="F823" i="20"/>
  <c r="G822" i="20"/>
  <c r="F822" i="20"/>
  <c r="G821" i="20"/>
  <c r="F821" i="20"/>
  <c r="G790" i="20"/>
  <c r="F790" i="20"/>
  <c r="G789" i="20"/>
  <c r="F789" i="20"/>
  <c r="G788" i="20"/>
  <c r="F788" i="20"/>
  <c r="G787" i="20"/>
  <c r="F787" i="20"/>
  <c r="P786" i="20"/>
  <c r="M786" i="20"/>
  <c r="L786" i="20"/>
  <c r="G786" i="20"/>
  <c r="F786" i="20"/>
  <c r="P696" i="20" l="1"/>
  <c r="M696" i="20"/>
  <c r="L696" i="20"/>
  <c r="P677" i="20"/>
  <c r="M677" i="20"/>
  <c r="L677" i="20"/>
  <c r="G700" i="20"/>
  <c r="F700" i="20"/>
  <c r="G699" i="20"/>
  <c r="F699" i="20"/>
  <c r="G698" i="20"/>
  <c r="F698" i="20"/>
  <c r="G697" i="20"/>
  <c r="F697" i="20"/>
  <c r="G696" i="20"/>
  <c r="F696" i="20"/>
  <c r="G681" i="20"/>
  <c r="F681" i="20"/>
  <c r="G680" i="20"/>
  <c r="F680" i="20"/>
  <c r="G679" i="20"/>
  <c r="F679" i="20"/>
  <c r="G678" i="20"/>
  <c r="F678" i="20"/>
  <c r="G677" i="20"/>
  <c r="F677" i="20"/>
  <c r="P136" i="23" l="1"/>
  <c r="M136" i="23"/>
  <c r="L136" i="23"/>
  <c r="F137" i="23"/>
  <c r="F140" i="23" s="1"/>
  <c r="F241" i="22"/>
  <c r="F240" i="22"/>
  <c r="F239" i="22"/>
  <c r="F238" i="22"/>
  <c r="P236" i="22"/>
  <c r="M236" i="22"/>
  <c r="L236" i="22"/>
  <c r="F237" i="22"/>
  <c r="E227" i="22"/>
  <c r="F54" i="21"/>
  <c r="F57" i="21" s="1"/>
  <c r="P54" i="21"/>
  <c r="M54" i="21"/>
  <c r="L54" i="21"/>
  <c r="F106" i="23"/>
  <c r="P104" i="23"/>
  <c r="M104" i="23"/>
  <c r="L104" i="23"/>
  <c r="F105" i="23"/>
  <c r="F66" i="23"/>
  <c r="P61" i="23"/>
  <c r="M61" i="23"/>
  <c r="L61" i="23"/>
  <c r="F62" i="23"/>
  <c r="F65" i="23" s="1"/>
  <c r="P38" i="23"/>
  <c r="M38" i="23"/>
  <c r="L38" i="23"/>
  <c r="F37" i="23"/>
  <c r="F36" i="23"/>
  <c r="F34" i="23"/>
  <c r="F33" i="23"/>
  <c r="F31" i="23"/>
  <c r="F30" i="23"/>
  <c r="F28" i="23"/>
  <c r="F27" i="23"/>
  <c r="F26" i="23"/>
  <c r="F24" i="23"/>
  <c r="F23" i="23"/>
  <c r="W42" i="23" s="1"/>
  <c r="AW11" i="26" s="1"/>
  <c r="F22" i="23"/>
  <c r="F21" i="23"/>
  <c r="F20" i="23"/>
  <c r="F19" i="23"/>
  <c r="F18" i="23"/>
  <c r="F17" i="23"/>
  <c r="F16" i="23"/>
  <c r="F15" i="23"/>
  <c r="F14" i="23"/>
  <c r="F13" i="23"/>
  <c r="F12" i="23"/>
  <c r="F178" i="22"/>
  <c r="P176" i="22"/>
  <c r="M176" i="22"/>
  <c r="L176" i="22"/>
  <c r="F92" i="22"/>
  <c r="F90" i="22"/>
  <c r="P87" i="22"/>
  <c r="M87" i="22"/>
  <c r="L87" i="22"/>
  <c r="F88" i="22"/>
  <c r="P49" i="22"/>
  <c r="M49" i="22"/>
  <c r="L49" i="22"/>
  <c r="F48" i="22"/>
  <c r="F47" i="22"/>
  <c r="F46" i="22"/>
  <c r="F45" i="22"/>
  <c r="F43" i="22"/>
  <c r="F42" i="22"/>
  <c r="F41" i="22"/>
  <c r="F40" i="22"/>
  <c r="F39" i="22"/>
  <c r="X53" i="22" s="1"/>
  <c r="AI11" i="26" s="1"/>
  <c r="G11" i="26" s="1"/>
  <c r="F38" i="22"/>
  <c r="F37" i="22"/>
  <c r="T53" i="22" s="1"/>
  <c r="AE11" i="26" s="1"/>
  <c r="F36" i="22"/>
  <c r="F35" i="22"/>
  <c r="F34" i="22"/>
  <c r="T54" i="22" s="1"/>
  <c r="AE12" i="26" s="1"/>
  <c r="F33" i="22"/>
  <c r="F30" i="22"/>
  <c r="F29" i="22"/>
  <c r="F28" i="22"/>
  <c r="F27" i="22"/>
  <c r="F26" i="22"/>
  <c r="F25" i="22"/>
  <c r="F24" i="22"/>
  <c r="F23" i="22"/>
  <c r="F19" i="22"/>
  <c r="F18" i="22"/>
  <c r="F15" i="22"/>
  <c r="F14" i="22"/>
  <c r="F13" i="22"/>
  <c r="F12" i="22"/>
  <c r="F11" i="22"/>
  <c r="F38" i="21"/>
  <c r="F133" i="21" s="1"/>
  <c r="P36" i="21"/>
  <c r="M36" i="21"/>
  <c r="L36" i="21"/>
  <c r="F36" i="21"/>
  <c r="F39" i="21" s="1"/>
  <c r="P16" i="21"/>
  <c r="M16" i="21"/>
  <c r="L16" i="21"/>
  <c r="F14" i="21"/>
  <c r="T19" i="21" s="1"/>
  <c r="P11" i="26" s="1"/>
  <c r="F13" i="21"/>
  <c r="F12" i="21"/>
  <c r="F11" i="21"/>
  <c r="G606" i="20"/>
  <c r="F606" i="20"/>
  <c r="G604" i="20"/>
  <c r="F604" i="20"/>
  <c r="X43" i="23" l="1"/>
  <c r="X44" i="23"/>
  <c r="AX13" i="26" s="1"/>
  <c r="AX12" i="26"/>
  <c r="BN11" i="26"/>
  <c r="G74" i="26"/>
  <c r="H18" i="28" s="1"/>
  <c r="H46" i="28" s="1"/>
  <c r="F39" i="23"/>
  <c r="F218" i="23" s="1"/>
  <c r="W43" i="23"/>
  <c r="F40" i="23"/>
  <c r="F219" i="23" s="1"/>
  <c r="T42" i="23"/>
  <c r="AT11" i="26" s="1"/>
  <c r="C11" i="26" s="1"/>
  <c r="T55" i="22"/>
  <c r="AE13" i="26" s="1"/>
  <c r="W53" i="22"/>
  <c r="W54" i="22"/>
  <c r="X54" i="22"/>
  <c r="W19" i="21"/>
  <c r="Y19" i="21"/>
  <c r="U11" i="26" s="1"/>
  <c r="Y20" i="21"/>
  <c r="U12" i="26" s="1"/>
  <c r="T20" i="21"/>
  <c r="F17" i="21"/>
  <c r="L131" i="21"/>
  <c r="M131" i="21"/>
  <c r="P131" i="21"/>
  <c r="M215" i="23"/>
  <c r="P215" i="23"/>
  <c r="L215" i="23"/>
  <c r="F459" i="22"/>
  <c r="M454" i="22"/>
  <c r="P454" i="22"/>
  <c r="L454" i="22"/>
  <c r="F43" i="23"/>
  <c r="F222" i="23" s="1"/>
  <c r="F91" i="22"/>
  <c r="F132" i="21"/>
  <c r="F108" i="23"/>
  <c r="F54" i="22"/>
  <c r="F461" i="22" s="1"/>
  <c r="F177" i="22"/>
  <c r="F180" i="22" s="1"/>
  <c r="F51" i="22"/>
  <c r="F458" i="22" s="1"/>
  <c r="F19" i="21"/>
  <c r="F134" i="21" s="1"/>
  <c r="F16" i="21"/>
  <c r="F131" i="21" s="1"/>
  <c r="BJ11" i="26" l="1"/>
  <c r="C74" i="26"/>
  <c r="D18" i="28" s="1"/>
  <c r="D46" i="28" s="1"/>
  <c r="Y53" i="22"/>
  <c r="AJ11" i="26" s="1"/>
  <c r="AH11" i="26"/>
  <c r="Y43" i="23"/>
  <c r="AY12" i="26" s="1"/>
  <c r="AW12" i="26"/>
  <c r="BN74" i="26"/>
  <c r="P18" i="28" s="1"/>
  <c r="P46" i="28" s="1"/>
  <c r="W21" i="21"/>
  <c r="S13" i="26" s="1"/>
  <c r="S11" i="26"/>
  <c r="T21" i="21"/>
  <c r="P13" i="26" s="1"/>
  <c r="P12" i="26"/>
  <c r="C12" i="26" s="1"/>
  <c r="X55" i="22"/>
  <c r="AI13" i="26" s="1"/>
  <c r="G13" i="26" s="1"/>
  <c r="AI12" i="26"/>
  <c r="G12" i="26" s="1"/>
  <c r="W55" i="22"/>
  <c r="AH13" i="26" s="1"/>
  <c r="AH12" i="26"/>
  <c r="F12" i="26" s="1"/>
  <c r="H47" i="28"/>
  <c r="H48" i="28"/>
  <c r="H52" i="28"/>
  <c r="H50" i="28"/>
  <c r="H51" i="28"/>
  <c r="H49" i="28"/>
  <c r="Y42" i="23"/>
  <c r="T44" i="23"/>
  <c r="AT13" i="26" s="1"/>
  <c r="W44" i="23"/>
  <c r="AW13" i="26" s="1"/>
  <c r="Y54" i="22"/>
  <c r="Y21" i="21"/>
  <c r="U13" i="26" s="1"/>
  <c r="F42" i="23"/>
  <c r="F221" i="23" s="1"/>
  <c r="F50" i="22"/>
  <c r="F11" i="26" l="1"/>
  <c r="BM11" i="26" s="1"/>
  <c r="H53" i="28"/>
  <c r="BM12" i="26"/>
  <c r="F75" i="26"/>
  <c r="G19" i="28" s="1"/>
  <c r="G54" i="28" s="1"/>
  <c r="BN13" i="26"/>
  <c r="BN76" i="26" s="1"/>
  <c r="P20" i="28" s="1"/>
  <c r="G76" i="26"/>
  <c r="H20" i="28" s="1"/>
  <c r="F13" i="26"/>
  <c r="Y44" i="23"/>
  <c r="AY11" i="26"/>
  <c r="H11" i="26" s="1"/>
  <c r="C75" i="26"/>
  <c r="D19" i="28" s="1"/>
  <c r="BJ12" i="26"/>
  <c r="Y55" i="22"/>
  <c r="AJ13" i="26" s="1"/>
  <c r="AJ12" i="26"/>
  <c r="H12" i="26" s="1"/>
  <c r="C13" i="26"/>
  <c r="D48" i="28"/>
  <c r="D47" i="28"/>
  <c r="D52" i="28"/>
  <c r="D50" i="28"/>
  <c r="D51" i="28"/>
  <c r="D49" i="28"/>
  <c r="G75" i="26"/>
  <c r="H19" i="28" s="1"/>
  <c r="BN12" i="26"/>
  <c r="P47" i="28"/>
  <c r="P50" i="28"/>
  <c r="P52" i="28"/>
  <c r="P51" i="28"/>
  <c r="P48" i="28"/>
  <c r="P49" i="28"/>
  <c r="BJ74" i="26"/>
  <c r="L18" i="28" s="1"/>
  <c r="L46" i="28" s="1"/>
  <c r="F53" i="22"/>
  <c r="F460" i="22" s="1"/>
  <c r="F457" i="22"/>
  <c r="P603" i="20"/>
  <c r="M603" i="20"/>
  <c r="L603" i="20"/>
  <c r="G603" i="20"/>
  <c r="F603" i="20"/>
  <c r="P579" i="20"/>
  <c r="M579" i="20"/>
  <c r="L579" i="20"/>
  <c r="G582" i="20"/>
  <c r="F582" i="20"/>
  <c r="G580" i="20"/>
  <c r="F580" i="20"/>
  <c r="G579" i="20"/>
  <c r="F579" i="20"/>
  <c r="G569" i="20"/>
  <c r="F569" i="20"/>
  <c r="G568" i="20"/>
  <c r="G567" i="20"/>
  <c r="F567" i="20"/>
  <c r="P565" i="20"/>
  <c r="L565" i="20"/>
  <c r="M565" i="20"/>
  <c r="G565" i="20"/>
  <c r="G566" i="20"/>
  <c r="F566" i="20"/>
  <c r="F508" i="20"/>
  <c r="F74" i="26" l="1"/>
  <c r="G18" i="28" s="1"/>
  <c r="G46" i="28" s="1"/>
  <c r="D53" i="28"/>
  <c r="L47" i="28"/>
  <c r="L48" i="28"/>
  <c r="L50" i="28"/>
  <c r="L51" i="28"/>
  <c r="L52" i="28"/>
  <c r="L49" i="28"/>
  <c r="BN75" i="26"/>
  <c r="P19" i="28" s="1"/>
  <c r="BJ13" i="26"/>
  <c r="BJ76" i="26" s="1"/>
  <c r="L20" i="28" s="1"/>
  <c r="C76" i="26"/>
  <c r="D20" i="28" s="1"/>
  <c r="BJ75" i="26"/>
  <c r="L19" i="28" s="1"/>
  <c r="L54" i="28" s="1"/>
  <c r="BM74" i="26"/>
  <c r="O18" i="28" s="1"/>
  <c r="O46" i="28" s="1"/>
  <c r="H55" i="28"/>
  <c r="H56" i="28"/>
  <c r="H57" i="28"/>
  <c r="H60" i="28"/>
  <c r="H58" i="28"/>
  <c r="H59" i="28"/>
  <c r="H75" i="26"/>
  <c r="I19" i="28" s="1"/>
  <c r="BO12" i="26"/>
  <c r="BO75" i="26" s="1"/>
  <c r="Q19" i="28" s="1"/>
  <c r="D55" i="28"/>
  <c r="D59" i="28"/>
  <c r="D57" i="28"/>
  <c r="D56" i="28"/>
  <c r="D60" i="28"/>
  <c r="D58" i="28"/>
  <c r="BM13" i="26"/>
  <c r="BM76" i="26" s="1"/>
  <c r="O20" i="28" s="1"/>
  <c r="F76" i="26"/>
  <c r="G20" i="28" s="1"/>
  <c r="G55" i="28"/>
  <c r="G58" i="28"/>
  <c r="G59" i="28"/>
  <c r="G60" i="28"/>
  <c r="G57" i="28"/>
  <c r="G56" i="28"/>
  <c r="G47" i="28"/>
  <c r="G52" i="28"/>
  <c r="G51" i="28"/>
  <c r="G49" i="28"/>
  <c r="G50" i="28"/>
  <c r="G48" i="28"/>
  <c r="BO11" i="26"/>
  <c r="BO74" i="26" s="1"/>
  <c r="Q18" i="28" s="1"/>
  <c r="H74" i="26"/>
  <c r="I18" i="28" s="1"/>
  <c r="BM75" i="26"/>
  <c r="O19" i="28" s="1"/>
  <c r="P53" i="28"/>
  <c r="H54" i="28"/>
  <c r="D54" i="28"/>
  <c r="Z45" i="23"/>
  <c r="AY13" i="26"/>
  <c r="H13" i="26" s="1"/>
  <c r="F565" i="20"/>
  <c r="W570" i="20"/>
  <c r="N75" i="27" s="1"/>
  <c r="F75" i="27" s="1"/>
  <c r="F568" i="20"/>
  <c r="D61" i="28" l="1"/>
  <c r="L53" i="28"/>
  <c r="H61" i="28"/>
  <c r="G61" i="28"/>
  <c r="G53" i="28"/>
  <c r="BO13" i="26"/>
  <c r="BO76" i="26" s="1"/>
  <c r="Q20" i="28" s="1"/>
  <c r="H76" i="26"/>
  <c r="I20" i="28" s="1"/>
  <c r="P55" i="28"/>
  <c r="P58" i="28"/>
  <c r="P56" i="28"/>
  <c r="P57" i="28"/>
  <c r="P60" i="28"/>
  <c r="P59" i="28"/>
  <c r="O55" i="28"/>
  <c r="O60" i="28"/>
  <c r="O59" i="28"/>
  <c r="O58" i="28"/>
  <c r="O57" i="28"/>
  <c r="O56" i="28"/>
  <c r="L55" i="28"/>
  <c r="L56" i="28"/>
  <c r="L57" i="28"/>
  <c r="L59" i="28"/>
  <c r="L60" i="28"/>
  <c r="L58" i="28"/>
  <c r="P54" i="28"/>
  <c r="O54" i="28"/>
  <c r="O47" i="28"/>
  <c r="O52" i="28"/>
  <c r="O49" i="28"/>
  <c r="O51" i="28"/>
  <c r="O48" i="28"/>
  <c r="O50" i="28"/>
  <c r="BV75" i="27"/>
  <c r="BV201" i="27" s="1"/>
  <c r="O10" i="28" s="1"/>
  <c r="O38" i="28" s="1"/>
  <c r="F201" i="27"/>
  <c r="G10" i="28" s="1"/>
  <c r="G38" i="28" s="1"/>
  <c r="W571" i="20"/>
  <c r="N76" i="27" s="1"/>
  <c r="F76" i="27" s="1"/>
  <c r="BV76" i="27" s="1"/>
  <c r="Y570" i="20"/>
  <c r="F247" i="20"/>
  <c r="P61" i="28" l="1"/>
  <c r="O53" i="28"/>
  <c r="L61" i="28"/>
  <c r="O61" i="28"/>
  <c r="Y571" i="20"/>
  <c r="P76" i="27" s="1"/>
  <c r="H76" i="27" s="1"/>
  <c r="BX76" i="27" s="1"/>
  <c r="P75" i="27"/>
  <c r="H75" i="27" s="1"/>
  <c r="G500" i="20"/>
  <c r="F500" i="20"/>
  <c r="G499" i="20"/>
  <c r="F499" i="20"/>
  <c r="P496" i="20"/>
  <c r="M496" i="20"/>
  <c r="L496" i="20"/>
  <c r="G496" i="20"/>
  <c r="F496" i="20"/>
  <c r="E495" i="20"/>
  <c r="E494" i="20"/>
  <c r="E492" i="20"/>
  <c r="D493" i="20" s="1"/>
  <c r="E493" i="20" s="1"/>
  <c r="E489" i="20"/>
  <c r="D490" i="20" s="1"/>
  <c r="E490" i="20" s="1"/>
  <c r="D491" i="20" s="1"/>
  <c r="E491" i="20" s="1"/>
  <c r="E488" i="20"/>
  <c r="E487" i="20"/>
  <c r="E486" i="20"/>
  <c r="E484" i="20"/>
  <c r="D485" i="20" s="1"/>
  <c r="E485" i="20" s="1"/>
  <c r="E483" i="20"/>
  <c r="E482" i="20"/>
  <c r="E481" i="20"/>
  <c r="E480" i="20"/>
  <c r="E478" i="20"/>
  <c r="D479" i="20" s="1"/>
  <c r="E479" i="20" s="1"/>
  <c r="E477" i="20"/>
  <c r="E476" i="20"/>
  <c r="E474" i="20"/>
  <c r="D475" i="20" s="1"/>
  <c r="E475" i="20" s="1"/>
  <c r="E473" i="20"/>
  <c r="E472" i="20"/>
  <c r="E471" i="20"/>
  <c r="E470" i="20"/>
  <c r="E469" i="20"/>
  <c r="E468" i="20"/>
  <c r="E467" i="20"/>
  <c r="E466" i="20"/>
  <c r="G457" i="20"/>
  <c r="F457" i="20"/>
  <c r="G455" i="20"/>
  <c r="F455" i="20"/>
  <c r="P454" i="20"/>
  <c r="M454" i="20"/>
  <c r="L454" i="20"/>
  <c r="G454" i="20"/>
  <c r="F454" i="20"/>
  <c r="E452" i="20"/>
  <c r="D453" i="20" s="1"/>
  <c r="E453" i="20" s="1"/>
  <c r="E451" i="20"/>
  <c r="E450" i="20"/>
  <c r="E449" i="20"/>
  <c r="E447" i="20"/>
  <c r="D448" i="20" s="1"/>
  <c r="E448" i="20" s="1"/>
  <c r="E445" i="20"/>
  <c r="D446" i="20" s="1"/>
  <c r="E446" i="20" s="1"/>
  <c r="E442" i="20"/>
  <c r="E439" i="20"/>
  <c r="D440" i="20" s="1"/>
  <c r="E440" i="20" s="1"/>
  <c r="E438" i="20"/>
  <c r="E436" i="20"/>
  <c r="D437" i="20" s="1"/>
  <c r="E437" i="20" s="1"/>
  <c r="E434" i="20"/>
  <c r="D435" i="20" s="1"/>
  <c r="E435" i="20" s="1"/>
  <c r="G425" i="20"/>
  <c r="F425" i="20"/>
  <c r="G423" i="20"/>
  <c r="F423" i="20"/>
  <c r="P422" i="20"/>
  <c r="M422" i="20"/>
  <c r="L422" i="20"/>
  <c r="G422" i="20"/>
  <c r="F422" i="20"/>
  <c r="E421" i="20"/>
  <c r="E420" i="20"/>
  <c r="E419" i="20"/>
  <c r="E418" i="20"/>
  <c r="P406" i="20"/>
  <c r="M406" i="20"/>
  <c r="L406" i="20"/>
  <c r="G406" i="20"/>
  <c r="F406" i="20"/>
  <c r="E405" i="20"/>
  <c r="E404" i="20"/>
  <c r="G395" i="20"/>
  <c r="F395" i="20"/>
  <c r="P392" i="20"/>
  <c r="M392" i="20"/>
  <c r="L392" i="20"/>
  <c r="G392" i="20"/>
  <c r="F392" i="20"/>
  <c r="E391" i="20"/>
  <c r="E389" i="20"/>
  <c r="D390" i="20" s="1"/>
  <c r="E390" i="20" s="1"/>
  <c r="E388" i="20"/>
  <c r="E387" i="20"/>
  <c r="E386" i="20"/>
  <c r="E385" i="20"/>
  <c r="G376" i="20"/>
  <c r="F376" i="20"/>
  <c r="G374" i="20"/>
  <c r="F374" i="20"/>
  <c r="G373" i="20"/>
  <c r="F373" i="20"/>
  <c r="E369" i="20"/>
  <c r="D370" i="20" s="1"/>
  <c r="E370" i="20" s="1"/>
  <c r="D371" i="20" s="1"/>
  <c r="E371" i="20" s="1"/>
  <c r="D372" i="20" s="1"/>
  <c r="E372" i="20" s="1"/>
  <c r="G354" i="20"/>
  <c r="F354" i="20"/>
  <c r="G352" i="20"/>
  <c r="F352" i="20"/>
  <c r="P351" i="20"/>
  <c r="M351" i="20"/>
  <c r="L351" i="20"/>
  <c r="G351" i="20"/>
  <c r="F351" i="20"/>
  <c r="E350" i="20"/>
  <c r="E348" i="20"/>
  <c r="D349" i="20" s="1"/>
  <c r="E349" i="20" s="1"/>
  <c r="G339" i="20"/>
  <c r="F339" i="20"/>
  <c r="G337" i="20"/>
  <c r="F337" i="20"/>
  <c r="P335" i="20"/>
  <c r="M335" i="20"/>
  <c r="L335" i="20"/>
  <c r="G335" i="20"/>
  <c r="F335" i="20"/>
  <c r="E334" i="20"/>
  <c r="E332" i="20"/>
  <c r="D333" i="20" s="1"/>
  <c r="E333" i="20" s="1"/>
  <c r="E331" i="20"/>
  <c r="E330" i="20"/>
  <c r="E329" i="20"/>
  <c r="E324" i="20"/>
  <c r="E322" i="20"/>
  <c r="D323" i="20" s="1"/>
  <c r="E323" i="20" s="1"/>
  <c r="E321" i="20"/>
  <c r="E316" i="20"/>
  <c r="D317" i="20" s="1"/>
  <c r="E317" i="20" s="1"/>
  <c r="D318" i="20" s="1"/>
  <c r="E318" i="20" s="1"/>
  <c r="D319" i="20" s="1"/>
  <c r="E319" i="20" s="1"/>
  <c r="D320" i="20" s="1"/>
  <c r="E320" i="20" s="1"/>
  <c r="E315" i="20"/>
  <c r="E314" i="20"/>
  <c r="E313" i="20"/>
  <c r="E312" i="20"/>
  <c r="E311" i="20"/>
  <c r="E309" i="20"/>
  <c r="D310" i="20" s="1"/>
  <c r="E310" i="20" s="1"/>
  <c r="G300" i="20"/>
  <c r="F300" i="20"/>
  <c r="G299" i="20"/>
  <c r="G298" i="20"/>
  <c r="F298" i="20"/>
  <c r="G297" i="20"/>
  <c r="F297" i="20"/>
  <c r="P295" i="20"/>
  <c r="M295" i="20"/>
  <c r="L295" i="20"/>
  <c r="G295" i="20"/>
  <c r="E290" i="20"/>
  <c r="E289" i="20"/>
  <c r="E287" i="20"/>
  <c r="E286" i="20"/>
  <c r="E285" i="20"/>
  <c r="E283" i="20"/>
  <c r="E281" i="20"/>
  <c r="E280" i="20"/>
  <c r="E278" i="20"/>
  <c r="D279" i="20" s="1"/>
  <c r="E279" i="20" s="1"/>
  <c r="D277" i="20"/>
  <c r="F277" i="20" s="1"/>
  <c r="W300" i="20" s="1"/>
  <c r="AC11" i="27" s="1"/>
  <c r="F11" i="27" s="1"/>
  <c r="E273" i="20"/>
  <c r="D274" i="20" s="1"/>
  <c r="E274" i="20" s="1"/>
  <c r="E272" i="20"/>
  <c r="E271" i="20"/>
  <c r="E269" i="20"/>
  <c r="D270" i="20" s="1"/>
  <c r="E270" i="20" s="1"/>
  <c r="E268" i="20"/>
  <c r="E266" i="20"/>
  <c r="D267" i="20" s="1"/>
  <c r="E267" i="20" s="1"/>
  <c r="E264" i="20"/>
  <c r="E260" i="20"/>
  <c r="G252" i="20"/>
  <c r="F252" i="20"/>
  <c r="G251" i="20"/>
  <c r="F251" i="20"/>
  <c r="G250" i="20"/>
  <c r="F250" i="20"/>
  <c r="G249" i="20"/>
  <c r="F249" i="20"/>
  <c r="P247" i="20"/>
  <c r="M247" i="20"/>
  <c r="L247" i="20"/>
  <c r="G247" i="20"/>
  <c r="E244" i="20"/>
  <c r="D245" i="20" s="1"/>
  <c r="E245" i="20" s="1"/>
  <c r="E241" i="20"/>
  <c r="D242" i="20" s="1"/>
  <c r="E242" i="20" s="1"/>
  <c r="D243" i="20" s="1"/>
  <c r="E243" i="20" s="1"/>
  <c r="E240" i="20"/>
  <c r="E239" i="20"/>
  <c r="E237" i="20"/>
  <c r="E236" i="20"/>
  <c r="E235" i="20"/>
  <c r="E231" i="20"/>
  <c r="D232" i="20" s="1"/>
  <c r="E232" i="20" s="1"/>
  <c r="D233" i="20" s="1"/>
  <c r="E233" i="20" s="1"/>
  <c r="E230" i="20"/>
  <c r="E228" i="20"/>
  <c r="E227" i="20"/>
  <c r="E225" i="20"/>
  <c r="D226" i="20" s="1"/>
  <c r="E226" i="20" s="1"/>
  <c r="E223" i="20"/>
  <c r="D224" i="20" s="1"/>
  <c r="E224" i="20" s="1"/>
  <c r="E222" i="20"/>
  <c r="E220" i="20"/>
  <c r="D221" i="20" s="1"/>
  <c r="E221" i="20" s="1"/>
  <c r="E219" i="20"/>
  <c r="E217" i="20"/>
  <c r="D218" i="20" s="1"/>
  <c r="E218" i="20" s="1"/>
  <c r="E215" i="20"/>
  <c r="D216" i="20" s="1"/>
  <c r="E216" i="20" s="1"/>
  <c r="E214" i="20"/>
  <c r="E213" i="20"/>
  <c r="E212" i="20"/>
  <c r="E211" i="20"/>
  <c r="E210" i="20"/>
  <c r="E209" i="20"/>
  <c r="E208" i="20"/>
  <c r="E203" i="20"/>
  <c r="D204" i="20" s="1"/>
  <c r="E204" i="20" s="1"/>
  <c r="D205" i="20" s="1"/>
  <c r="E205" i="20" s="1"/>
  <c r="D206" i="20" s="1"/>
  <c r="E206" i="20" s="1"/>
  <c r="D207" i="20" s="1"/>
  <c r="E207" i="20" s="1"/>
  <c r="E202" i="20"/>
  <c r="E201" i="20"/>
  <c r="E197" i="20"/>
  <c r="D198" i="20" s="1"/>
  <c r="E198" i="20" s="1"/>
  <c r="D199" i="20" s="1"/>
  <c r="E199" i="20" s="1"/>
  <c r="D200" i="20" s="1"/>
  <c r="E200" i="20" s="1"/>
  <c r="E196" i="20"/>
  <c r="E195" i="20"/>
  <c r="E194" i="20"/>
  <c r="E193" i="20"/>
  <c r="E192" i="20"/>
  <c r="E191" i="20"/>
  <c r="E189" i="20"/>
  <c r="D190" i="20" s="1"/>
  <c r="E190" i="20" s="1"/>
  <c r="E186" i="20"/>
  <c r="E185" i="20"/>
  <c r="E184" i="20"/>
  <c r="E181" i="20"/>
  <c r="D182" i="20" s="1"/>
  <c r="E182" i="20" s="1"/>
  <c r="D183" i="20" s="1"/>
  <c r="E183" i="20" s="1"/>
  <c r="E180" i="20"/>
  <c r="E179" i="20"/>
  <c r="E178" i="20"/>
  <c r="E177" i="20"/>
  <c r="E176" i="20"/>
  <c r="E175" i="20"/>
  <c r="E174" i="20"/>
  <c r="E172" i="20"/>
  <c r="D173" i="20" s="1"/>
  <c r="E173" i="20" s="1"/>
  <c r="E170" i="20"/>
  <c r="E169" i="20"/>
  <c r="E168" i="20"/>
  <c r="E166" i="20"/>
  <c r="D167" i="20" s="1"/>
  <c r="E167" i="20" s="1"/>
  <c r="E165" i="20"/>
  <c r="E164" i="20"/>
  <c r="E163" i="20"/>
  <c r="E162" i="20"/>
  <c r="E160" i="20"/>
  <c r="D161" i="20" s="1"/>
  <c r="E161" i="20" s="1"/>
  <c r="E158" i="20"/>
  <c r="D159" i="20" s="1"/>
  <c r="E159" i="20" s="1"/>
  <c r="E157" i="20"/>
  <c r="E155" i="20"/>
  <c r="D156" i="20" s="1"/>
  <c r="E156" i="20" s="1"/>
  <c r="E153" i="20"/>
  <c r="D154" i="20" s="1"/>
  <c r="E154" i="20" s="1"/>
  <c r="E151" i="20"/>
  <c r="D152" i="20" s="1"/>
  <c r="E152" i="20" s="1"/>
  <c r="E149" i="20"/>
  <c r="D150" i="20" s="1"/>
  <c r="E150" i="20" s="1"/>
  <c r="E146" i="20"/>
  <c r="D147" i="20" s="1"/>
  <c r="E147" i="20" s="1"/>
  <c r="E145" i="20"/>
  <c r="E144" i="20"/>
  <c r="E142" i="20"/>
  <c r="D143" i="20" s="1"/>
  <c r="E143" i="20" s="1"/>
  <c r="E139" i="20"/>
  <c r="D140" i="20" s="1"/>
  <c r="E140" i="20" s="1"/>
  <c r="D141" i="20" s="1"/>
  <c r="E141" i="20" s="1"/>
  <c r="E138" i="20"/>
  <c r="E136" i="20"/>
  <c r="D137" i="20" s="1"/>
  <c r="E137" i="20" s="1"/>
  <c r="E134" i="20"/>
  <c r="E132" i="20"/>
  <c r="D133" i="20" s="1"/>
  <c r="E133" i="20" s="1"/>
  <c r="E131" i="20"/>
  <c r="E129" i="20"/>
  <c r="D130" i="20" s="1"/>
  <c r="E130" i="20" s="1"/>
  <c r="E128" i="20"/>
  <c r="E127" i="20"/>
  <c r="E126" i="20"/>
  <c r="E125" i="20"/>
  <c r="E124" i="20"/>
  <c r="E122" i="20"/>
  <c r="E121" i="20"/>
  <c r="E120" i="20"/>
  <c r="E119" i="20"/>
  <c r="E117" i="20"/>
  <c r="E114" i="20"/>
  <c r="D115" i="20" s="1"/>
  <c r="E115" i="20" s="1"/>
  <c r="D116" i="20" s="1"/>
  <c r="E116" i="20" s="1"/>
  <c r="E110" i="20"/>
  <c r="D111" i="20" s="1"/>
  <c r="E111" i="20" s="1"/>
  <c r="D112" i="20" s="1"/>
  <c r="E112" i="20" s="1"/>
  <c r="D113" i="20" s="1"/>
  <c r="E113" i="20" s="1"/>
  <c r="E108" i="20"/>
  <c r="D109" i="20" s="1"/>
  <c r="E109" i="20" s="1"/>
  <c r="E107" i="20"/>
  <c r="E106" i="20"/>
  <c r="E105" i="20"/>
  <c r="E104" i="20"/>
  <c r="E103" i="20"/>
  <c r="E102" i="20"/>
  <c r="E101" i="20"/>
  <c r="E100" i="20"/>
  <c r="E99" i="20"/>
  <c r="E97" i="20"/>
  <c r="D98" i="20" s="1"/>
  <c r="E98" i="20" s="1"/>
  <c r="E92" i="20"/>
  <c r="D93" i="20" s="1"/>
  <c r="E93" i="20" s="1"/>
  <c r="D94" i="20" s="1"/>
  <c r="E94" i="20" s="1"/>
  <c r="D95" i="20" s="1"/>
  <c r="E95" i="20" s="1"/>
  <c r="D96" i="20" s="1"/>
  <c r="E96" i="20" s="1"/>
  <c r="E91" i="20"/>
  <c r="E89" i="20"/>
  <c r="D90" i="20" s="1"/>
  <c r="E90" i="20" s="1"/>
  <c r="E88" i="20"/>
  <c r="E87" i="20"/>
  <c r="E86" i="20"/>
  <c r="E85" i="20"/>
  <c r="E84" i="20"/>
  <c r="E83" i="20"/>
  <c r="E82" i="20"/>
  <c r="E81" i="20"/>
  <c r="E79" i="20"/>
  <c r="D80" i="20" s="1"/>
  <c r="E80" i="20" s="1"/>
  <c r="E76" i="20"/>
  <c r="D77" i="20" s="1"/>
  <c r="E77" i="20" s="1"/>
  <c r="E75" i="20"/>
  <c r="E74" i="20"/>
  <c r="E73" i="20"/>
  <c r="E70" i="20"/>
  <c r="D71" i="20" s="1"/>
  <c r="E71" i="20" s="1"/>
  <c r="D72" i="20" s="1"/>
  <c r="E72" i="20" s="1"/>
  <c r="E69" i="20"/>
  <c r="E68" i="20"/>
  <c r="E67" i="20"/>
  <c r="E66" i="20"/>
  <c r="E65" i="20"/>
  <c r="E64" i="20"/>
  <c r="E63" i="20"/>
  <c r="E62" i="20"/>
  <c r="E59" i="20"/>
  <c r="D60" i="20" s="1"/>
  <c r="E60" i="20" s="1"/>
  <c r="D61" i="20" s="1"/>
  <c r="E61" i="20" s="1"/>
  <c r="E57" i="20"/>
  <c r="E54" i="20"/>
  <c r="E53" i="20"/>
  <c r="E51" i="20"/>
  <c r="E49" i="20"/>
  <c r="E48" i="20"/>
  <c r="E47" i="20"/>
  <c r="E46" i="20"/>
  <c r="E45" i="20"/>
  <c r="E44" i="20"/>
  <c r="E43" i="20"/>
  <c r="E41" i="20"/>
  <c r="E40" i="20"/>
  <c r="E39" i="20"/>
  <c r="E38" i="20"/>
  <c r="E36" i="20"/>
  <c r="D37" i="20" s="1"/>
  <c r="E37" i="20" s="1"/>
  <c r="E35" i="20"/>
  <c r="E33" i="20"/>
  <c r="D34" i="20" s="1"/>
  <c r="E34" i="20" s="1"/>
  <c r="E32" i="20"/>
  <c r="E31" i="20"/>
  <c r="E30" i="20"/>
  <c r="E29" i="20"/>
  <c r="E28" i="20"/>
  <c r="E26" i="20"/>
  <c r="D27" i="20" s="1"/>
  <c r="E27" i="20" s="1"/>
  <c r="E25" i="20"/>
  <c r="E24" i="20"/>
  <c r="E23" i="20"/>
  <c r="E21" i="20"/>
  <c r="D22" i="20" s="1"/>
  <c r="E22" i="20" s="1"/>
  <c r="E20" i="20"/>
  <c r="E18" i="20"/>
  <c r="D19" i="20" s="1"/>
  <c r="E19" i="20" s="1"/>
  <c r="E15" i="20"/>
  <c r="D16" i="20" s="1"/>
  <c r="E16" i="20" s="1"/>
  <c r="D17" i="20" s="1"/>
  <c r="E17" i="20" s="1"/>
  <c r="E14" i="20"/>
  <c r="E13" i="20"/>
  <c r="E11" i="20"/>
  <c r="E10" i="20"/>
  <c r="E8" i="20"/>
  <c r="D9" i="20" s="1"/>
  <c r="E9" i="20" s="1"/>
  <c r="BX75" i="27" l="1"/>
  <c r="BX201" i="27" s="1"/>
  <c r="Q10" i="28" s="1"/>
  <c r="H201" i="27"/>
  <c r="I10" i="28" s="1"/>
  <c r="F200" i="27"/>
  <c r="G9" i="28" s="1"/>
  <c r="G37" i="28" s="1"/>
  <c r="BV11" i="27"/>
  <c r="BV200" i="27" s="1"/>
  <c r="O9" i="28" s="1"/>
  <c r="O37" i="28" s="1"/>
  <c r="Y300" i="20"/>
  <c r="W302" i="20"/>
  <c r="AC13" i="27" s="1"/>
  <c r="F13" i="27" s="1"/>
  <c r="D261" i="20"/>
  <c r="E261" i="20" s="1"/>
  <c r="D262" i="20" s="1"/>
  <c r="E262" i="20" s="1"/>
  <c r="D263" i="20" s="1"/>
  <c r="E263" i="20" s="1"/>
  <c r="F299" i="20"/>
  <c r="F360" i="20" s="1"/>
  <c r="F999" i="20" s="1"/>
  <c r="L996" i="20"/>
  <c r="M996" i="20"/>
  <c r="F359" i="20"/>
  <c r="F998" i="20" s="1"/>
  <c r="G358" i="20"/>
  <c r="G997" i="20" s="1"/>
  <c r="G361" i="20"/>
  <c r="G1000" i="20" s="1"/>
  <c r="G357" i="20"/>
  <c r="G996" i="20" s="1"/>
  <c r="G359" i="20"/>
  <c r="G998" i="20" s="1"/>
  <c r="F358" i="20"/>
  <c r="F997" i="20" s="1"/>
  <c r="F361" i="20"/>
  <c r="F1000" i="20" s="1"/>
  <c r="P357" i="20"/>
  <c r="P996" i="20" s="1"/>
  <c r="G360" i="20"/>
  <c r="G999" i="20" s="1"/>
  <c r="F295" i="20"/>
  <c r="F357" i="20" s="1"/>
  <c r="F996" i="20" s="1"/>
  <c r="BV13" i="27" l="1"/>
  <c r="BV202" i="27" s="1"/>
  <c r="O11" i="28" s="1"/>
  <c r="F202" i="27"/>
  <c r="G11" i="28" s="1"/>
  <c r="Y302" i="20"/>
  <c r="AE11" i="27"/>
  <c r="H11" i="27" s="1"/>
  <c r="BX11" i="27" l="1"/>
  <c r="BX200" i="27" s="1"/>
  <c r="Q9" i="28" s="1"/>
  <c r="H200" i="27"/>
  <c r="I9" i="28" s="1"/>
  <c r="Z303" i="20"/>
  <c r="AE13" i="27"/>
  <c r="H13" i="27" s="1"/>
  <c r="H202" i="27" l="1"/>
  <c r="I11" i="28" s="1"/>
  <c r="I21" i="28" s="1"/>
  <c r="BX13" i="27"/>
  <c r="BX202" i="27" s="1"/>
  <c r="Q11" i="28" s="1"/>
  <c r="Q21" i="28" s="1"/>
  <c r="T21" i="28" l="1"/>
</calcChain>
</file>

<file path=xl/sharedStrings.xml><?xml version="1.0" encoding="utf-8"?>
<sst xmlns="http://schemas.openxmlformats.org/spreadsheetml/2006/main" count="11716" uniqueCount="1273">
  <si>
    <t>grants</t>
  </si>
  <si>
    <t>Dārza iela</t>
  </si>
  <si>
    <t>Pļavas iela</t>
  </si>
  <si>
    <t>Saules iela</t>
  </si>
  <si>
    <t>melnais</t>
  </si>
  <si>
    <t>bez seguma</t>
  </si>
  <si>
    <t>Dainas - Bēršas</t>
  </si>
  <si>
    <t>Atzars 1 uz Vecpāvuļiem</t>
  </si>
  <si>
    <t>Zigurda Zuzes iela</t>
  </si>
  <si>
    <t>Ziedu iela</t>
  </si>
  <si>
    <t>Zemgales iela</t>
  </si>
  <si>
    <t>Zemeņu iela</t>
  </si>
  <si>
    <t>Zāļu iela</t>
  </si>
  <si>
    <t>Zaru iela</t>
  </si>
  <si>
    <t>Vizbuļu iela</t>
  </si>
  <si>
    <t>Vildogas iela</t>
  </si>
  <si>
    <t>Viestura iela</t>
  </si>
  <si>
    <t>Vidus iela</t>
  </si>
  <si>
    <t>Vētras iela</t>
  </si>
  <si>
    <t>Vēju iela</t>
  </si>
  <si>
    <t>Vārpas iela</t>
  </si>
  <si>
    <t>Vālodzes iela</t>
  </si>
  <si>
    <t>Vainagu iela</t>
  </si>
  <si>
    <t>Upeņu iela</t>
  </si>
  <si>
    <t>Tūristu iela</t>
  </si>
  <si>
    <t>Trimpus iela</t>
  </si>
  <si>
    <t>Televīzijas iela</t>
  </si>
  <si>
    <t>Tālavas iela</t>
  </si>
  <si>
    <t>Šveices iela</t>
  </si>
  <si>
    <t>Strēlnieku iela</t>
  </si>
  <si>
    <t>Stacijas iela</t>
  </si>
  <si>
    <t>Smilšu iela</t>
  </si>
  <si>
    <t>Smilgu iela</t>
  </si>
  <si>
    <t>Slēpotāju iela</t>
  </si>
  <si>
    <t>Skolas iela</t>
  </si>
  <si>
    <t>Senču iela</t>
  </si>
  <si>
    <t>Saulgriežu iela</t>
  </si>
  <si>
    <t>Satiksmes iela</t>
  </si>
  <si>
    <t>Satezeles iela</t>
  </si>
  <si>
    <t>Rūsiņa iela</t>
  </si>
  <si>
    <t>Rožu iela</t>
  </si>
  <si>
    <t>Rotas iela</t>
  </si>
  <si>
    <t>Robežu iela</t>
  </si>
  <si>
    <t>Rīgas iela</t>
  </si>
  <si>
    <t>Raunas iela</t>
  </si>
  <si>
    <t>Rasas iela</t>
  </si>
  <si>
    <t>Reiņa Kaudzītes iela</t>
  </si>
  <si>
    <t>Rūdolfa Blaumaņa iela</t>
  </si>
  <si>
    <t>Pūpolu iela</t>
  </si>
  <si>
    <t>Pūču iela</t>
  </si>
  <si>
    <t>Pureņu iela</t>
  </si>
  <si>
    <t>Pulkveža Brieža iela</t>
  </si>
  <si>
    <t>Priežu iela</t>
  </si>
  <si>
    <t>Pļavziedu iela</t>
  </si>
  <si>
    <t>Pīpeņu iela</t>
  </si>
  <si>
    <t>Pils iela</t>
  </si>
  <si>
    <t>Pēteralas iela</t>
  </si>
  <si>
    <t>Pērsieša iela</t>
  </si>
  <si>
    <t>Pērles iela</t>
  </si>
  <si>
    <t>Pērkona iela</t>
  </si>
  <si>
    <t>Peldu iela</t>
  </si>
  <si>
    <t>Parka iela</t>
  </si>
  <si>
    <t>Parādes iela</t>
  </si>
  <si>
    <t>Paparžu iela</t>
  </si>
  <si>
    <t>Ogu iela</t>
  </si>
  <si>
    <t>Oskara Kalpaka iela</t>
  </si>
  <si>
    <t>Nurmižu iela</t>
  </si>
  <si>
    <t>Noliktavu iela</t>
  </si>
  <si>
    <t>Nītaures iela</t>
  </si>
  <si>
    <t>Miera iela</t>
  </si>
  <si>
    <t>Mēness iela</t>
  </si>
  <si>
    <t>Melioratoru iela</t>
  </si>
  <si>
    <t>Meldru iela</t>
  </si>
  <si>
    <t>Mednieku iela</t>
  </si>
  <si>
    <t>Mālpils iela</t>
  </si>
  <si>
    <t>Mālkalnu iela</t>
  </si>
  <si>
    <t>Mazā Pēteralas iela</t>
  </si>
  <si>
    <t>Mazā Gāles iela</t>
  </si>
  <si>
    <t>Mazā iela</t>
  </si>
  <si>
    <t>Maijas iela</t>
  </si>
  <si>
    <t>Lorupes iela</t>
  </si>
  <si>
    <t>Līvkalna iela</t>
  </si>
  <si>
    <t>Liepu iela</t>
  </si>
  <si>
    <t>Lāču iela</t>
  </si>
  <si>
    <t>Lāčplēša iela</t>
  </si>
  <si>
    <t>Laurenču iela</t>
  </si>
  <si>
    <t>Lauku iela</t>
  </si>
  <si>
    <t>Lapu iela</t>
  </si>
  <si>
    <t>Lakstīgalas iela</t>
  </si>
  <si>
    <t>Laimas iela</t>
  </si>
  <si>
    <t>Leona Paegles iela</t>
  </si>
  <si>
    <t>Kārklu iela</t>
  </si>
  <si>
    <t>Ķiršu iela</t>
  </si>
  <si>
    <t>Kungu gatve</t>
  </si>
  <si>
    <t>Kuršu iela</t>
  </si>
  <si>
    <t>Krišjāņa Valdemāra iela</t>
  </si>
  <si>
    <t>Krimuldas iela</t>
  </si>
  <si>
    <t>Kraukļalas iela</t>
  </si>
  <si>
    <t>Krišjāņa Barona iela</t>
  </si>
  <si>
    <t>Kļavu iela</t>
  </si>
  <si>
    <t>Kalna iela</t>
  </si>
  <si>
    <t>Kalmju iela</t>
  </si>
  <si>
    <t>Kaijas iela</t>
  </si>
  <si>
    <t>Kadiķu iela</t>
  </si>
  <si>
    <t>Jūdažu iela</t>
  </si>
  <si>
    <t>Jāņogu iela</t>
  </si>
  <si>
    <t>Jāņa iela</t>
  </si>
  <si>
    <t>Jaunā iela</t>
  </si>
  <si>
    <t>Jaunatnes iela</t>
  </si>
  <si>
    <t>Jāņa Poruka iela</t>
  </si>
  <si>
    <t>Jura Ozola iela</t>
  </si>
  <si>
    <t>Jēkaba Dubura iela</t>
  </si>
  <si>
    <t>Jāņa Čakstes iela</t>
  </si>
  <si>
    <t>Igauņu iela</t>
  </si>
  <si>
    <t>Gundegu iela</t>
  </si>
  <si>
    <t>Gulbju iela</t>
  </si>
  <si>
    <t>Gāršas iela</t>
  </si>
  <si>
    <t>Gaujas iela</t>
  </si>
  <si>
    <t>Gaismas iela</t>
  </si>
  <si>
    <t>Egļu iela</t>
  </si>
  <si>
    <t>Eduarda Veidenbauma iela</t>
  </si>
  <si>
    <t>Dzintaru iela</t>
  </si>
  <si>
    <t>Dzeņu iela</t>
  </si>
  <si>
    <t>Draudzības iela</t>
  </si>
  <si>
    <t>Doņu iela</t>
  </si>
  <si>
    <t>Dīķa iela</t>
  </si>
  <si>
    <t>Depo iela</t>
  </si>
  <si>
    <t>Čiatūras iela</t>
  </si>
  <si>
    <t>Cīruļu iela</t>
  </si>
  <si>
    <t>Cielavu iela</t>
  </si>
  <si>
    <t>Cēsu iela</t>
  </si>
  <si>
    <t>Ceriņu iela</t>
  </si>
  <si>
    <t>Celtnieku iela</t>
  </si>
  <si>
    <t>Birzes iela</t>
  </si>
  <si>
    <t>Bērzu iela</t>
  </si>
  <si>
    <t>Bezdelīgu iela</t>
  </si>
  <si>
    <t>Beites iela</t>
  </si>
  <si>
    <t>Bebrenes iela</t>
  </si>
  <si>
    <t>Baznīcas iela</t>
  </si>
  <si>
    <t>Ābeļziedu iela</t>
  </si>
  <si>
    <t>Ābeļdārza iela</t>
  </si>
  <si>
    <t>Aveņu iela</t>
  </si>
  <si>
    <t>Ausmas iela</t>
  </si>
  <si>
    <t>Ausekļa iela</t>
  </si>
  <si>
    <t>Augļu iela</t>
  </si>
  <si>
    <t>Atpūtas iela</t>
  </si>
  <si>
    <t>Atmodas iela</t>
  </si>
  <si>
    <t>Atbrīvotāju iela</t>
  </si>
  <si>
    <t>Aspazijas iela</t>
  </si>
  <si>
    <t>Alūksnes iela</t>
  </si>
  <si>
    <t>Allažu iela</t>
  </si>
  <si>
    <t>Alauksta iela</t>
  </si>
  <si>
    <t>Akāciju iela</t>
  </si>
  <si>
    <t>Akas iela</t>
  </si>
  <si>
    <t>bruģis</t>
  </si>
  <si>
    <t>Ainas iela</t>
  </si>
  <si>
    <t>Andreja Pumpura iela</t>
  </si>
  <si>
    <t>Ata Kronvalda iela</t>
  </si>
  <si>
    <t>Zvaigžņu iela</t>
  </si>
  <si>
    <t>Viršu iela</t>
  </si>
  <si>
    <t>Pļavu iela</t>
  </si>
  <si>
    <t>Klusā iela</t>
  </si>
  <si>
    <t>Atzars krustojumā</t>
  </si>
  <si>
    <t>1.šķērsiela</t>
  </si>
  <si>
    <t>Avotu iela</t>
  </si>
  <si>
    <t>Ābeļu iela</t>
  </si>
  <si>
    <t>Dailes iela</t>
  </si>
  <si>
    <t>Dārznieku iela</t>
  </si>
  <si>
    <t>Ganību iela</t>
  </si>
  <si>
    <t>Graudu iela</t>
  </si>
  <si>
    <t>Griezes iela</t>
  </si>
  <si>
    <t>Helmaņa iela</t>
  </si>
  <si>
    <t>Institūta iela</t>
  </si>
  <si>
    <t>Jasmīnu iela</t>
  </si>
  <si>
    <t>Kalnabeišu aleja</t>
  </si>
  <si>
    <t>Lazdu iela</t>
  </si>
  <si>
    <t>Mores iela</t>
  </si>
  <si>
    <t>Pīlādžu iela</t>
  </si>
  <si>
    <t>Strauta iela</t>
  </si>
  <si>
    <t>Zinātnes iela</t>
  </si>
  <si>
    <t>Daudu iela</t>
  </si>
  <si>
    <t>Gravas iela</t>
  </si>
  <si>
    <t>Ievu iela</t>
  </si>
  <si>
    <t>Ķiparu iela</t>
  </si>
  <si>
    <t>Līgo iela</t>
  </si>
  <si>
    <t>Meža iela</t>
  </si>
  <si>
    <t>Nākotnes iela</t>
  </si>
  <si>
    <t>Purva iela</t>
  </si>
  <si>
    <t>Riekstu iela</t>
  </si>
  <si>
    <t>Tilta iela</t>
  </si>
  <si>
    <t>Upes iela</t>
  </si>
  <si>
    <t>Zīļu iela</t>
  </si>
  <si>
    <t>Asteru iela</t>
  </si>
  <si>
    <t>Dāliju iela</t>
  </si>
  <si>
    <t>Kūdru ceļš</t>
  </si>
  <si>
    <t>Narcišu iela</t>
  </si>
  <si>
    <t>Tulpju iela</t>
  </si>
  <si>
    <t>Vijolīšu iela</t>
  </si>
  <si>
    <t>Ezera iela</t>
  </si>
  <si>
    <t>Saltavota iela</t>
  </si>
  <si>
    <t>Seleksa iela</t>
  </si>
  <si>
    <t>Atzars A1 un A2</t>
  </si>
  <si>
    <t>80940040979001</t>
  </si>
  <si>
    <t>80940040965001</t>
  </si>
  <si>
    <t>Krasta iela</t>
  </si>
  <si>
    <t>Mazā Lakstīgalas iela</t>
  </si>
  <si>
    <t>Kaupo iela</t>
  </si>
  <si>
    <t>80150021414003</t>
  </si>
  <si>
    <t>Dabreļa iela</t>
  </si>
  <si>
    <t>80150021426002</t>
  </si>
  <si>
    <t>Atzars 2 uz ceļu Nr.9410</t>
  </si>
  <si>
    <t>Birztalu iela</t>
  </si>
  <si>
    <t>Centra iela</t>
  </si>
  <si>
    <t>Mežu iela</t>
  </si>
  <si>
    <t>Ošu iela</t>
  </si>
  <si>
    <t>Pasta laukums</t>
  </si>
  <si>
    <t>Stārķu iela</t>
  </si>
  <si>
    <t>Zaļā iela</t>
  </si>
  <si>
    <t>Puķu iela</t>
  </si>
  <si>
    <t>Bišu iela</t>
  </si>
  <si>
    <t>Garā iela</t>
  </si>
  <si>
    <t>Koplietošanas iela</t>
  </si>
  <si>
    <t>Mežmaļu iela</t>
  </si>
  <si>
    <t>Mētru iela</t>
  </si>
  <si>
    <t>Siguldas iela</t>
  </si>
  <si>
    <t>Sila iela</t>
  </si>
  <si>
    <t>Silciema iela</t>
  </si>
  <si>
    <t>Sūnu iela</t>
  </si>
  <si>
    <t>Vildogas ceļš</t>
  </si>
  <si>
    <t>Īsā iela</t>
  </si>
  <si>
    <t>Vējdzirnavu iela</t>
  </si>
  <si>
    <t>km</t>
  </si>
  <si>
    <t>Mākoņu iela*</t>
  </si>
  <si>
    <t>Atzars</t>
  </si>
  <si>
    <t>Dzērveņu iela</t>
  </si>
  <si>
    <t>Lauktehnikas iela</t>
  </si>
  <si>
    <t>80150030701043</t>
  </si>
  <si>
    <t>Līvu iela</t>
  </si>
  <si>
    <t>atzars</t>
  </si>
  <si>
    <t xml:space="preserve">Atzars </t>
  </si>
  <si>
    <t xml:space="preserve">1. pielikums </t>
  </si>
  <si>
    <t>Ministru kabineta</t>
  </si>
  <si>
    <t>2017.gada 27.jūnija</t>
  </si>
  <si>
    <t>noteikumiem Nr.361</t>
  </si>
  <si>
    <t>Nr.
p.k.</t>
  </si>
  <si>
    <t>Ceļa numurs
un nosaukums</t>
  </si>
  <si>
    <t>Ceļu raksturojošie parametri</t>
  </si>
  <si>
    <t>Kadastra objekta identifikators</t>
  </si>
  <si>
    <t>ceļš</t>
  </si>
  <si>
    <t>tilts vai satiksmes pārvads</t>
  </si>
  <si>
    <r>
      <t>gājēju un velosipēdu ceļa laukums 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</si>
  <si>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t>adrese (km)</t>
  </si>
  <si>
    <t>garums
(km)</t>
  </si>
  <si>
    <t>seguma
veids</t>
  </si>
  <si>
    <t>nosaukums</t>
  </si>
  <si>
    <t>Adrese</t>
  </si>
  <si>
    <t>garums
(m)</t>
  </si>
  <si>
    <r>
      <t>brauktuves
laukums
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</si>
  <si>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r>
      <t>dīvlīmeņu
nobrauktuves
brauktuves
laukums 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</si>
  <si>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t>konstrukcijas
materiāls</t>
  </si>
  <si>
    <t>īpašuma kadastra numurs</t>
  </si>
  <si>
    <t>zemes vienības/ lineārās inženier-būves kadastra apzīmējums</t>
  </si>
  <si>
    <t>no</t>
  </si>
  <si>
    <t>līdz</t>
  </si>
  <si>
    <t>ģeodēziskās
koordinātas</t>
  </si>
  <si>
    <t>9410 A2- Kundziņi- Muldas</t>
  </si>
  <si>
    <t>9420 Stūrīši- Ezermalas (Jūdaži)</t>
  </si>
  <si>
    <t>9433 P8- Limbas (Limbu ceļš)</t>
  </si>
  <si>
    <t>Kopā tilti</t>
  </si>
  <si>
    <t>Kopā</t>
  </si>
  <si>
    <t>t.sk. ar melno segumu</t>
  </si>
  <si>
    <t>t.sk. ar bruģa segumu</t>
  </si>
  <si>
    <t>t.sk. ar grants (šķembu) segumu</t>
  </si>
  <si>
    <t>t.sk. ar citu segumu (bez seguma)</t>
  </si>
  <si>
    <t>Kopā Siguldas pagasta A grupas ceļi</t>
  </si>
  <si>
    <t>9404 V83- Kodaļas</t>
  </si>
  <si>
    <t>9405 V83- Rožkrūmi</t>
  </si>
  <si>
    <t>9406 V83-Jaunozoli</t>
  </si>
  <si>
    <t>9407 V83- Ceplīši</t>
  </si>
  <si>
    <t>9409 Kūdru ceļš</t>
  </si>
  <si>
    <t>9411 A2-Muldas</t>
  </si>
  <si>
    <t>9412 A2- Mednieki - V85 (Jūdaži)</t>
  </si>
  <si>
    <t>9415 V85- Zalves</t>
  </si>
  <si>
    <t>9416 V85-Mežakas</t>
  </si>
  <si>
    <t>9418 V85- Ezerlauki</t>
  </si>
  <si>
    <t>9419 Jūdažu parks- Šoseja</t>
  </si>
  <si>
    <t>9421 V85 -(Jūdaži)- Dambīši</t>
  </si>
  <si>
    <t>Atzars uz  Jaunsētām</t>
  </si>
  <si>
    <t>9427 P8- Pelītes</t>
  </si>
  <si>
    <t>9428 Egles- Rugāji</t>
  </si>
  <si>
    <t>9429 Pelītes- Sāri</t>
  </si>
  <si>
    <t>9431 Pelītes-Saltavota iela</t>
  </si>
  <si>
    <t>9432 Līgotnes-Saltavota iela (Ezeri)</t>
  </si>
  <si>
    <t>9435 V58- Ancīši</t>
  </si>
  <si>
    <t>9436 V58- Lorkalni</t>
  </si>
  <si>
    <t>Kopā Siguldas pagasta B grupas ceļi</t>
  </si>
  <si>
    <t>9403 V83 - Empēteri</t>
  </si>
  <si>
    <t>9402 V83- Daudas</t>
  </si>
  <si>
    <t>9408 V83- Āres</t>
  </si>
  <si>
    <t>9413 A2- Rožkrūmi</t>
  </si>
  <si>
    <t>9414 A2- Priednieki</t>
  </si>
  <si>
    <t>9417 Ceļš Nr.2</t>
  </si>
  <si>
    <t>9422 Tilgaļi- Dambīši</t>
  </si>
  <si>
    <t>9423 P8- Teiļi</t>
  </si>
  <si>
    <t>9424 Kreiļu ceļš</t>
  </si>
  <si>
    <t>9425 Roķēnu ceļš</t>
  </si>
  <si>
    <t>9426 P8-Rožlapas</t>
  </si>
  <si>
    <t>9430 Pelītes-1 - Ziedi</t>
  </si>
  <si>
    <t>9434 Ceļš Nr.1</t>
  </si>
  <si>
    <t>Kopā Siguldas pagasta C grupas ceļi</t>
  </si>
  <si>
    <t>6602 Smēdītes- Jaunkaļļi</t>
  </si>
  <si>
    <t>6604 Kārtūži- Madlēni</t>
  </si>
  <si>
    <t>6606 Bērziņi- Audakas</t>
  </si>
  <si>
    <t>6607 Skriduļi- pagrieziens uz Meldriem</t>
  </si>
  <si>
    <t xml:space="preserve"> </t>
  </si>
  <si>
    <t>6608 Bērziņi- Piejaugi</t>
  </si>
  <si>
    <t>6610 Pļavas- Laģi</t>
  </si>
  <si>
    <t>6611 More- Dzintari</t>
  </si>
  <si>
    <t>6612 Dzintari- Rotas</t>
  </si>
  <si>
    <t>6613 Rotas- Akseles- Salmiņi</t>
  </si>
  <si>
    <t>6614 Mergupes tilts- pag. robeža</t>
  </si>
  <si>
    <t>6615 Graudi- Kāši</t>
  </si>
  <si>
    <t>6616 Akenstaka-Rūpnieki-Kalēji</t>
  </si>
  <si>
    <t>6617 Pērkonīši- Rogaiņi (Sviestiņi)</t>
  </si>
  <si>
    <t>6618 Pērkonīši- Upkalni- Krustkalni</t>
  </si>
  <si>
    <t>cits segums</t>
  </si>
  <si>
    <t>Akseles tilts</t>
  </si>
  <si>
    <r>
      <t>G 25</t>
    </r>
    <r>
      <rPr>
        <sz val="8"/>
        <color theme="1"/>
        <rFont val="Arial"/>
        <family val="2"/>
        <charset val="186"/>
      </rPr>
      <t>º</t>
    </r>
    <r>
      <rPr>
        <sz val="8"/>
        <color theme="1"/>
        <rFont val="Calibri"/>
        <family val="2"/>
        <scheme val="minor"/>
      </rPr>
      <t>06'87"
P 57</t>
    </r>
    <r>
      <rPr>
        <sz val="8"/>
        <color theme="1"/>
        <rFont val="Arial"/>
        <family val="2"/>
        <charset val="186"/>
      </rPr>
      <t>º</t>
    </r>
    <r>
      <rPr>
        <sz val="8"/>
        <color theme="1"/>
        <rFont val="Calibri"/>
        <family val="2"/>
        <scheme val="minor"/>
      </rPr>
      <t>01'91"</t>
    </r>
  </si>
  <si>
    <t>Dzelzsbetona plātņu</t>
  </si>
  <si>
    <t>Kopā Mores pagasta B grupas ceļi</t>
  </si>
  <si>
    <t>6601 Smēdītes- Peipi</t>
  </si>
  <si>
    <t>6603 Kārtūžu muiža- Stiebriņi</t>
  </si>
  <si>
    <t>6605 Alpi- Kaļļu grantskarjers</t>
  </si>
  <si>
    <t>6609 Kalnāres- Ratnieki</t>
  </si>
  <si>
    <t>6619 Strautiņi- Medulāju tilts</t>
  </si>
  <si>
    <t>Kopā Mores pagasta C grupas ceļi</t>
  </si>
  <si>
    <t>4205 Egļupes ceļš</t>
  </si>
  <si>
    <t>4218 Graudi - Darbnīcas</t>
  </si>
  <si>
    <t>Kopā Allažu pagasta A grupas ceļi</t>
  </si>
  <si>
    <t>4201 Vecumnieki - Pullēni</t>
  </si>
  <si>
    <t>4203 Vecumnieki - Bisenieki</t>
  </si>
  <si>
    <t>4204 Egļupes ceļš-Mežāres</t>
  </si>
  <si>
    <t>4206 Baznīca - kapliča</t>
  </si>
  <si>
    <t>4207 Pansionāts - Silciems</t>
  </si>
  <si>
    <t>4208 Dārznieki - Vizbuļi</t>
  </si>
  <si>
    <t>4213 Pansionāts-Alkšņi</t>
  </si>
  <si>
    <t>4214 Lūši - Robežnieki</t>
  </si>
  <si>
    <t>4215 Anšpēteri - Pansionāts</t>
  </si>
  <si>
    <t>4216 Mazvildas - Rumpji</t>
  </si>
  <si>
    <t xml:space="preserve">4217 Mazvildas - Sostes </t>
  </si>
  <si>
    <t>4219 Rudiņi - Anšpēteri</t>
  </si>
  <si>
    <t>4220 Stūri - Bračas</t>
  </si>
  <si>
    <t>4221 Darbnīca - Stīpnieki - Bulduri</t>
  </si>
  <si>
    <t>4226 Lapaiņi - Akmentiņi</t>
  </si>
  <si>
    <t>4227 Zemnieki - Skruntes</t>
  </si>
  <si>
    <t>4228 Kalni - Pādes</t>
  </si>
  <si>
    <t>4229 Šķiliņi - Ozolkalns</t>
  </si>
  <si>
    <t xml:space="preserve">Atzars (patapinājuma līgums) </t>
  </si>
  <si>
    <t>4230 Līdumi - Rūtiņi</t>
  </si>
  <si>
    <t>4233 Lāčplēši - Augšciems</t>
  </si>
  <si>
    <t>4235 Greznkalni-Pumpuri</t>
  </si>
  <si>
    <t>4236 Pūpoli - Mūrnieki</t>
  </si>
  <si>
    <t>4239 Pullēni -Ezerkalni</t>
  </si>
  <si>
    <t>4240 Vecais Pullēnu ceļš</t>
  </si>
  <si>
    <t>4241 Pullēni - Strazdiņi</t>
  </si>
  <si>
    <t>4243 Pullēni - Plānupe</t>
  </si>
  <si>
    <t>4244 Putniņi - Tiltiņi</t>
  </si>
  <si>
    <t>4245 P3-Dalbji</t>
  </si>
  <si>
    <t>80420090018; 80420090020; 80420090047</t>
  </si>
  <si>
    <t>Atzars (patapinājuma līgums)</t>
  </si>
  <si>
    <t>Tumšupes tilts</t>
  </si>
  <si>
    <r>
      <t>G 24</t>
    </r>
    <r>
      <rPr>
        <sz val="8"/>
        <color theme="1"/>
        <rFont val="Arial"/>
        <family val="2"/>
        <charset val="186"/>
      </rPr>
      <t>º</t>
    </r>
    <r>
      <rPr>
        <sz val="8"/>
        <color theme="1"/>
        <rFont val="Calibri"/>
        <family val="2"/>
        <scheme val="minor"/>
      </rPr>
      <t>42'33"
P 57</t>
    </r>
    <r>
      <rPr>
        <sz val="8"/>
        <color theme="1"/>
        <rFont val="Arial"/>
        <family val="2"/>
        <charset val="186"/>
      </rPr>
      <t>º</t>
    </r>
    <r>
      <rPr>
        <sz val="8"/>
        <color theme="1"/>
        <rFont val="Calibri"/>
        <family val="2"/>
        <scheme val="minor"/>
      </rPr>
      <t>01'53"</t>
    </r>
  </si>
  <si>
    <t>Kopā Allažu pagasta B grupas ceļi</t>
  </si>
  <si>
    <t>4202 Čerņavskas - Jaunzemi</t>
  </si>
  <si>
    <t>4209 Piebrauc. ceļš uz Ūdru mājām</t>
  </si>
  <si>
    <t>4210 Ceļš Kaļķugravās</t>
  </si>
  <si>
    <t>4212 Stīverkalns - Strautnieki</t>
  </si>
  <si>
    <t>4222 Zvirgzdi - Urdzēni</t>
  </si>
  <si>
    <t xml:space="preserve">4223 Zvirgzdi - Puriņi </t>
  </si>
  <si>
    <t xml:space="preserve">4224 Zvirgzdi - Lazdukalns </t>
  </si>
  <si>
    <t>4225 Cēskalns - Lielkalni</t>
  </si>
  <si>
    <t>4231 Skaistkalni - Vēveri</t>
  </si>
  <si>
    <t>4232 Greznkalni - Lejgaļi</t>
  </si>
  <si>
    <t>4234 Ružas ceļš</t>
  </si>
  <si>
    <t>4237 Piebrauc. ceļš uz ūdenstorni</t>
  </si>
  <si>
    <t>4238 Dzirnavu ceļš</t>
  </si>
  <si>
    <t>4246 Zēmeru ceļš</t>
  </si>
  <si>
    <t>4247 P3 - Mazo Kangaru pievedceļš</t>
  </si>
  <si>
    <t>Ielas  nosaukums</t>
  </si>
  <si>
    <t>iela</t>
  </si>
  <si>
    <t>Br. uz Plkv.Brieža ielu</t>
  </si>
  <si>
    <t>Loks gar Nr.12</t>
  </si>
  <si>
    <t>Mazā Saules iela*</t>
  </si>
  <si>
    <t>Br. uz cauruļv. pāreju</t>
  </si>
  <si>
    <t>Sēļu iela*</t>
  </si>
  <si>
    <t>Velnalas iela</t>
  </si>
  <si>
    <t>Ventas iela</t>
  </si>
  <si>
    <t>80150012001014</t>
  </si>
  <si>
    <t>(ielai nav nosaukuma)</t>
  </si>
  <si>
    <t>*  ielas nav izbūvētas; iekļautas numerācijas saglabāšanai</t>
  </si>
  <si>
    <t>Kopā Siguldas pilsētas ielas</t>
  </si>
  <si>
    <t>t.sk. ar citu segumu</t>
  </si>
  <si>
    <t>Klusā iela (patapinājuma līgumi)</t>
  </si>
  <si>
    <t>Sapņu iela (patapinājuma līgumi)</t>
  </si>
  <si>
    <t>80940040793; 80940040795; 80940040797; 80940040799; 80940040801; 80940040792; 80940040794; 80940040805; 80940040807; 80940040796; 80940040809; 80940040798; 80940040811; 80940040800; 80940041141; 80940040802; 80940040804; 80940040814; 80940040806; 80940040815; 80940040808; 80940040817; 80940040818; 80940040810; 80940041204</t>
  </si>
  <si>
    <t>Vējupītes iela</t>
  </si>
  <si>
    <t>Kopā Peltes ielas</t>
  </si>
  <si>
    <t>* Iela nav pašvaldības īpašumā un nav noslēgta līguma par ielas uzturēšanu; iekļauts numerācijas saglabāšanai</t>
  </si>
  <si>
    <t>Kopā Ķiparu ielas</t>
  </si>
  <si>
    <t>Kopā Kalnabeišu ielas</t>
  </si>
  <si>
    <t>Kopā Siguldas pilsētā</t>
  </si>
  <si>
    <t>Kopā Matiņu ciema ielas</t>
  </si>
  <si>
    <t>Kopā Vējupītes ciema ielas</t>
  </si>
  <si>
    <t>Kopā Jūdažu ciema ielas</t>
  </si>
  <si>
    <t>Siguldas ielas piebr.c.</t>
  </si>
  <si>
    <t>Kopā Mores ciema ielas</t>
  </si>
  <si>
    <t>80420040137; 80420040393; 80420040085</t>
  </si>
  <si>
    <t>gar valsts ceļu</t>
  </si>
  <si>
    <t>Kopā Allažu ciema ielas</t>
  </si>
  <si>
    <t>Kopā Egļupes ciema ielas</t>
  </si>
  <si>
    <t>80940040676; 80940040771; 80940040772; 80940040774; 80940040773; 80940040776; 80940040775; 80940040778; 80940040777; 80940040780; 80940040779; 80940040782; 80940040784; 80940040781; 80940040786; 80940040783; 80940040788; 80940040785; 80940040790; 80940040787; 80940040967; 80940040789; 80940040968; 80940040791; 80940040969; 80940040810; 80940040970; 80940040971; 80940041204; 80940040972; 80940040973; 80940040974; 80940040975; 80940040976</t>
  </si>
  <si>
    <t>-</t>
  </si>
  <si>
    <t>8074 00 30755</t>
  </si>
  <si>
    <t>80740030775; 80740030805</t>
  </si>
  <si>
    <t>80740030778; 80740030707</t>
  </si>
  <si>
    <t>Kopā Mālpils ciema ielas</t>
  </si>
  <si>
    <t>Kopā Upmalu ciema ielas</t>
  </si>
  <si>
    <t>Kopā Sidgundas ciema ielas</t>
  </si>
  <si>
    <t>80740050546; 80740050133004</t>
  </si>
  <si>
    <t>Nr.1</t>
  </si>
  <si>
    <t xml:space="preserve"> X=320003       Y=557580</t>
  </si>
  <si>
    <t xml:space="preserve">Nr.1                 </t>
  </si>
  <si>
    <t>X=317780</t>
  </si>
  <si>
    <t>Dz/betona</t>
  </si>
  <si>
    <t>Kopā Mālpils pagasta A grupas ceļi</t>
  </si>
  <si>
    <t>80740060254; 80740060269; 80740060268; 80740030670</t>
  </si>
  <si>
    <t>80740020103; 80740030646</t>
  </si>
  <si>
    <t>80740050361; 80740030791</t>
  </si>
  <si>
    <t>7401 Kapi-Vite</t>
  </si>
  <si>
    <t>7402 Tehnikums-Upmalas</t>
  </si>
  <si>
    <t>7403 Ziediņi-Eļmi-Sidgunda</t>
  </si>
  <si>
    <t>Nr.2</t>
  </si>
  <si>
    <t>Nr.4</t>
  </si>
  <si>
    <t>Nr.3</t>
  </si>
  <si>
    <t>Dz/beona</t>
  </si>
  <si>
    <t>80740010439; 80740010154</t>
  </si>
  <si>
    <t>X=324026; Y=557128</t>
  </si>
  <si>
    <t>80740010208; 80740020066</t>
  </si>
  <si>
    <t>807400 0212; 80740030792; 80740030885</t>
  </si>
  <si>
    <t>80740030657; 80740030952</t>
  </si>
  <si>
    <t>X=317693; Y=565192</t>
  </si>
  <si>
    <t>X=319448; Y=560111</t>
  </si>
  <si>
    <t>80740040256; 80740040112; 80740040009001</t>
  </si>
  <si>
    <t>80740060260; 80740030671</t>
  </si>
  <si>
    <t>80740020111; 80740050288</t>
  </si>
  <si>
    <t>80740050273; 80740050174001</t>
  </si>
  <si>
    <t>80740050305; 80740050615; 80740050243002</t>
  </si>
  <si>
    <t>80740050313; 80740050243003</t>
  </si>
  <si>
    <t>80740060259; 80740060123005; 80740060074007</t>
  </si>
  <si>
    <t>80740050404; 80740050522</t>
  </si>
  <si>
    <t>7404 Jumacēni-Žīburti-Ceļmalnieki</t>
  </si>
  <si>
    <t>Kopā Mālpils pagasta B grupas ceļi</t>
  </si>
  <si>
    <t>Kopā Allažu pagasta C grupas ceļi</t>
  </si>
  <si>
    <t>Kopā Mālpils pagasta C grupas ceļi</t>
  </si>
  <si>
    <t>7405 Bukas – Burtnieki</t>
  </si>
  <si>
    <t>7406 Bukas-Žīburti-Tūžas</t>
  </si>
  <si>
    <t>7407 Siksnas-Burtnieki-Bramaņi</t>
  </si>
  <si>
    <t xml:space="preserve">7408 Bukas-Bauskas- Mergupes  </t>
  </si>
  <si>
    <t>7409 Žučkas-Ābelītes</t>
  </si>
  <si>
    <t>7410 Sidrabiņas-Podiņi</t>
  </si>
  <si>
    <t>7411 Baņģi-Pilskalni</t>
  </si>
  <si>
    <t>7412 Baņģi-Ķiberes</t>
  </si>
  <si>
    <t>7413 Ādmiņi-Vēveri</t>
  </si>
  <si>
    <t>7414 Čušļi-Lībenes-Vildeni</t>
  </si>
  <si>
    <t>7415 Ģistas-Krustkalni</t>
  </si>
  <si>
    <t>7416 Vecpils-Sliseri-Bebri</t>
  </si>
  <si>
    <t>7417 Upmalas-Vīzēni</t>
  </si>
  <si>
    <t xml:space="preserve">7418 Sidgundas p.f.-Kalnakreiči  </t>
  </si>
  <si>
    <t xml:space="preserve">7419 Gravas-Pļavkalni-Sidgunda </t>
  </si>
  <si>
    <t>7420 Ozolāji-Mieriņi</t>
  </si>
  <si>
    <t>7421 Kotkalni Tērces</t>
  </si>
  <si>
    <t>7422 Smilgas-Atpūtas</t>
  </si>
  <si>
    <t xml:space="preserve">7423 Sidgunda-Ezeri-Karde </t>
  </si>
  <si>
    <t>7424 Sidgundas dzelzceļa stac.- Zeltiņi</t>
  </si>
  <si>
    <t>7425 Sidgundas meh. darbn.-Liepiņas</t>
  </si>
  <si>
    <t>7426 Vadzeles-Brieži</t>
  </si>
  <si>
    <t>7427 Jaunbūņas-Avotiņi</t>
  </si>
  <si>
    <t>7429 Dzelzītes-Benzemnieki-Birzmaļi</t>
  </si>
  <si>
    <t xml:space="preserve">7430 Inciems-Ķegums-Jaunūdri </t>
  </si>
  <si>
    <t>7431 Liepkalni- Vēži-Tuntuļi</t>
  </si>
  <si>
    <t>7432 Audriņi-Kalnalapas</t>
  </si>
  <si>
    <t>7433 Jaunītes-Bērzkalni</t>
  </si>
  <si>
    <t>7434 Tauriņi- Pļavgaļi-Taigas- Birzes</t>
  </si>
  <si>
    <t>7435 Ziediņi-Sidgundas f.-Paegļi</t>
  </si>
  <si>
    <t>7436 Ceļmalnieki- Zemnieki- Kurlēni</t>
  </si>
  <si>
    <t>7437 Mālpils- Kliģene- Ēmuri</t>
  </si>
  <si>
    <t>7438 Sidgunda-Ropaži- Ceplīši</t>
  </si>
  <si>
    <t>7439 Vites kompleksa iebrauktuve</t>
  </si>
  <si>
    <t>7440 Ļauļas – Silenieki</t>
  </si>
  <si>
    <t>7441 Sidgundas Parks- Klintis</t>
  </si>
  <si>
    <t>7442 Lejciemi-Krievkalns</t>
  </si>
  <si>
    <t xml:space="preserve">7443 Putniņi-Rāmava     </t>
  </si>
  <si>
    <t>7444 Kniediņi-Pikulēni</t>
  </si>
  <si>
    <t>7445 Tiltnieki-Brišķēni</t>
  </si>
  <si>
    <t>7446 Sveķi-Ceriņi-Kalnaliepas</t>
  </si>
  <si>
    <t>7447 Pilskalni-Aniņi</t>
  </si>
  <si>
    <t>7448 Kaipšas-Bitēni</t>
  </si>
  <si>
    <t>7449 Bauskas-Sibīrija</t>
  </si>
  <si>
    <t>7450 Ļauļas-Austrumi</t>
  </si>
  <si>
    <t>7451 Pundes-Podiņi</t>
  </si>
  <si>
    <t>7452 Kosēni-Kūdras purvs</t>
  </si>
  <si>
    <t>7453 Brūnas-Kārkli</t>
  </si>
  <si>
    <t>7454 Tīles-Riemeņi</t>
  </si>
  <si>
    <t>7455 Vectuņķi-Lejnieki</t>
  </si>
  <si>
    <t>7456 Mālpils- kapsēta- Vite- Lejassvērpji</t>
  </si>
  <si>
    <t>7457 Mergupes ferma – Snaudas</t>
  </si>
  <si>
    <t>7458 Bukas- Burtnieki – Mūrnieki</t>
  </si>
  <si>
    <t>Plānupes iela</t>
  </si>
  <si>
    <t>Rūpniecības iela</t>
  </si>
  <si>
    <t>Vecais ceļš</t>
  </si>
  <si>
    <t>Laimes iela</t>
  </si>
  <si>
    <t xml:space="preserve">Ausmas iela </t>
  </si>
  <si>
    <t>Caunas iela</t>
  </si>
  <si>
    <t>Mazā Smilšu iela</t>
  </si>
  <si>
    <t>Dzelzceļa iela</t>
  </si>
  <si>
    <t>Medņu iela</t>
  </si>
  <si>
    <t>Ozolu iela</t>
  </si>
  <si>
    <t>Vāveres iela</t>
  </si>
  <si>
    <t>Vītolu iela</t>
  </si>
  <si>
    <t>Kopmītņu iela</t>
  </si>
  <si>
    <t>Avotkalnu iela</t>
  </si>
  <si>
    <t>Pasta iela</t>
  </si>
  <si>
    <t>Zemes iela</t>
  </si>
  <si>
    <t>Mazā Priežu iela</t>
  </si>
  <si>
    <t xml:space="preserve">Mākoņu iela </t>
  </si>
  <si>
    <t xml:space="preserve">Bišu iela </t>
  </si>
  <si>
    <t xml:space="preserve">Pavasara iela </t>
  </si>
  <si>
    <t xml:space="preserve">Mēness iela </t>
  </si>
  <si>
    <t xml:space="preserve">Rikteres iela </t>
  </si>
  <si>
    <t xml:space="preserve">Piena iela </t>
  </si>
  <si>
    <t xml:space="preserve">Melderu iela </t>
  </si>
  <si>
    <t xml:space="preserve">Kantora iela </t>
  </si>
  <si>
    <t xml:space="preserve">Kristālu iela </t>
  </si>
  <si>
    <t xml:space="preserve">Ābeļu iela </t>
  </si>
  <si>
    <t xml:space="preserve">Vīzēnu iela </t>
  </si>
  <si>
    <t xml:space="preserve">Tīnes iela </t>
  </si>
  <si>
    <t xml:space="preserve">Puķu iela </t>
  </si>
  <si>
    <t xml:space="preserve">Peldu iela </t>
  </si>
  <si>
    <t xml:space="preserve">Salas iela </t>
  </si>
  <si>
    <t xml:space="preserve">Melioratoru iela </t>
  </si>
  <si>
    <t xml:space="preserve">Muzeja iela </t>
  </si>
  <si>
    <t xml:space="preserve">Ziedu iela </t>
  </si>
  <si>
    <t xml:space="preserve">Ziedoņa iela </t>
  </si>
  <si>
    <t xml:space="preserve">Zemeņu iela </t>
  </si>
  <si>
    <t xml:space="preserve">Zaļā iela </t>
  </si>
  <si>
    <t xml:space="preserve">Vītolu iela </t>
  </si>
  <si>
    <t xml:space="preserve">Vīnkalna iela </t>
  </si>
  <si>
    <t xml:space="preserve">Vidus iela </t>
  </si>
  <si>
    <t xml:space="preserve">Vibrokas iela </t>
  </si>
  <si>
    <t xml:space="preserve">Vecpils iela </t>
  </si>
  <si>
    <t xml:space="preserve">Torņkalna iela </t>
  </si>
  <si>
    <t xml:space="preserve">Torņa iela </t>
  </si>
  <si>
    <t xml:space="preserve">Sudas iela </t>
  </si>
  <si>
    <t xml:space="preserve">Sprīdīšu iela </t>
  </si>
  <si>
    <t xml:space="preserve">Sporta iela </t>
  </si>
  <si>
    <t xml:space="preserve">Sniedzes iela </t>
  </si>
  <si>
    <t xml:space="preserve">Smilšu iela </t>
  </si>
  <si>
    <t xml:space="preserve">Skolas iela </t>
  </si>
  <si>
    <t xml:space="preserve">Saules iela </t>
  </si>
  <si>
    <t xml:space="preserve">Rūpniecības iela </t>
  </si>
  <si>
    <t xml:space="preserve">Rītausmas iela </t>
  </si>
  <si>
    <t xml:space="preserve">Pīpeņu iela </t>
  </si>
  <si>
    <t xml:space="preserve">Pilskalna iela </t>
  </si>
  <si>
    <t xml:space="preserve">Pils iela </t>
  </si>
  <si>
    <t xml:space="preserve">Parka iela </t>
  </si>
  <si>
    <t xml:space="preserve">Ozolu iela </t>
  </si>
  <si>
    <t xml:space="preserve">Mergupes iela </t>
  </si>
  <si>
    <t xml:space="preserve">Liepu iela </t>
  </si>
  <si>
    <t xml:space="preserve">Lejciema iela </t>
  </si>
  <si>
    <t xml:space="preserve">Lapu iela </t>
  </si>
  <si>
    <t xml:space="preserve">Krasta iela </t>
  </si>
  <si>
    <t xml:space="preserve">Klusā iela </t>
  </si>
  <si>
    <t xml:space="preserve">Kalna iela </t>
  </si>
  <si>
    <t xml:space="preserve">Jaunā iela </t>
  </si>
  <si>
    <t xml:space="preserve">Enerģētikas iela </t>
  </si>
  <si>
    <t xml:space="preserve">Dzirnavu iela </t>
  </si>
  <si>
    <t xml:space="preserve">Dīķu iela </t>
  </si>
  <si>
    <t xml:space="preserve">Celtnieku iela </t>
  </si>
  <si>
    <t xml:space="preserve">Alejas iela </t>
  </si>
  <si>
    <t>Kopā Inčukalna ciema ielas</t>
  </si>
  <si>
    <t>Gaujaslīču iela</t>
  </si>
  <si>
    <t>Darbnīcu iela</t>
  </si>
  <si>
    <t>Kopā Gaujas ciema ielas</t>
  </si>
  <si>
    <t>Baložu iela</t>
  </si>
  <si>
    <t xml:space="preserve">Dārzciema iela </t>
  </si>
  <si>
    <t>Egļupes iela</t>
  </si>
  <si>
    <t xml:space="preserve">Garā iela </t>
  </si>
  <si>
    <t>Loka iela</t>
  </si>
  <si>
    <t>Loka astotā iela</t>
  </si>
  <si>
    <t>Silpureņu iela</t>
  </si>
  <si>
    <t>Silziedu iela</t>
  </si>
  <si>
    <t>Ievkalnu iela</t>
  </si>
  <si>
    <t>Mazā Ievkalnu iela</t>
  </si>
  <si>
    <t>Kopā Krustiņu ciema ielas</t>
  </si>
  <si>
    <t>Biešu iela</t>
  </si>
  <si>
    <t>Bumbieru iela</t>
  </si>
  <si>
    <t xml:space="preserve">Ceriņu iela </t>
  </si>
  <si>
    <t>Kļavas iela</t>
  </si>
  <si>
    <t>Liliju iela</t>
  </si>
  <si>
    <t>Neļķu iela</t>
  </si>
  <si>
    <t>Sēnītes iela</t>
  </si>
  <si>
    <t>Ūdens iela</t>
  </si>
  <si>
    <t>Kopā Kļavu ciema ielas</t>
  </si>
  <si>
    <t>80640050150</t>
  </si>
  <si>
    <t>80640080201</t>
  </si>
  <si>
    <t>80640030241</t>
  </si>
  <si>
    <t>80640030413</t>
  </si>
  <si>
    <t>80640020619</t>
  </si>
  <si>
    <t>6401 Griķi-Puriņi</t>
  </si>
  <si>
    <t>6402 Salu ceļš</t>
  </si>
  <si>
    <t>6403 Uz Kļavām</t>
  </si>
  <si>
    <t>Kopā Inčukalna pagasta A grupas ceļi</t>
  </si>
  <si>
    <t>80640050139</t>
  </si>
  <si>
    <t>80640050205</t>
  </si>
  <si>
    <t>80640050204</t>
  </si>
  <si>
    <t>80640080202</t>
  </si>
  <si>
    <t>80640080357</t>
  </si>
  <si>
    <t>80640080215</t>
  </si>
  <si>
    <t>Kopā Inčukalna pagasta B grupas ceļi</t>
  </si>
  <si>
    <t>Ķieģeļu velves tilts</t>
  </si>
  <si>
    <t>Ķieģeļu mūra velves</t>
  </si>
  <si>
    <t>24.683104; 57.125071</t>
  </si>
  <si>
    <t>6404 Stacija-Eglītes</t>
  </si>
  <si>
    <t>6405 Uz Apiņiem</t>
  </si>
  <si>
    <t>6406 Ceļš uz Kastaņām</t>
  </si>
  <si>
    <t>6407 Ceļš uz Pūcēm</t>
  </si>
  <si>
    <t>6408 Ceļš uz Tīšiem</t>
  </si>
  <si>
    <t>6409 Uz Meža Mieru</t>
  </si>
  <si>
    <t>6410 Vangažu pilsēta-Lejasmuižnieki</t>
  </si>
  <si>
    <t>6411 Uz Marheļiem</t>
  </si>
  <si>
    <t>6412 Ferma "Vangaži"</t>
  </si>
  <si>
    <t>6413 Vangažu baznīca-Kārļzemnieki</t>
  </si>
  <si>
    <t>6414 Uz Apakšstaciju</t>
  </si>
  <si>
    <t>6415 Ceļš pie Stalšēniem</t>
  </si>
  <si>
    <t>6416 No šosejas uz Siliem</t>
  </si>
  <si>
    <t>6417 Totāls-Silzemnieki</t>
  </si>
  <si>
    <t>6418 Uz Dzirnavu dīķi</t>
  </si>
  <si>
    <t>6419 Uz Grantiņiem</t>
  </si>
  <si>
    <t>6420 Uz Smaidām</t>
  </si>
  <si>
    <t>6421 Ceļš uz Saknītēm</t>
  </si>
  <si>
    <t>6422 Uz purvu</t>
  </si>
  <si>
    <t>6423 Virši-zvēru ferma</t>
  </si>
  <si>
    <t>6424 Ceļš uz Rampām</t>
  </si>
  <si>
    <t>6425 Vecā šoseja pie Silciema</t>
  </si>
  <si>
    <t>6426 Vecbrenguļi-Lejiņas</t>
  </si>
  <si>
    <t>6427 Ceļš pie Zīlniekiem</t>
  </si>
  <si>
    <t>6428 Baznīca-Katrīnas ceļš</t>
  </si>
  <si>
    <t>6429 Pie Orloviem</t>
  </si>
  <si>
    <t>6430 Pašvaldības ceļš (uz Mētrām)</t>
  </si>
  <si>
    <t>6431 Sēņotāju ceļš</t>
  </si>
  <si>
    <t>6432 Bez adreses (uz Adumiem)</t>
  </si>
  <si>
    <t>6433 Inčukalns-Kļavas</t>
  </si>
  <si>
    <t>6434 Ceļš uz Karjeriem</t>
  </si>
  <si>
    <t>6435 Ceļš uz Mārsiliem</t>
  </si>
  <si>
    <t>Kopā Krimuldas pagasta A grupas ceļi</t>
  </si>
  <si>
    <t>E 24°40'00"
N 57°07'95"</t>
  </si>
  <si>
    <t>Murjāņu t.</t>
  </si>
  <si>
    <t>Dzelzsbet.</t>
  </si>
  <si>
    <t>Briedīšu t.</t>
  </si>
  <si>
    <t>E 24°39'11"
N 57°11'10"</t>
  </si>
  <si>
    <t>80680060042015</t>
  </si>
  <si>
    <t>80680090388001</t>
  </si>
  <si>
    <t>80680020004011</t>
  </si>
  <si>
    <t>80680020164001</t>
  </si>
  <si>
    <t>80680020095001</t>
  </si>
  <si>
    <t>80680080039007</t>
  </si>
  <si>
    <t>80680090419001</t>
  </si>
  <si>
    <t>80680080200001</t>
  </si>
  <si>
    <t>80680100045009</t>
  </si>
  <si>
    <t>80680070408001</t>
  </si>
  <si>
    <t>80680070348002</t>
  </si>
  <si>
    <t>80680100073009</t>
  </si>
  <si>
    <t>80680100138</t>
  </si>
  <si>
    <t>80680100037009</t>
  </si>
  <si>
    <t>6801 Saules iela - Ziediņi</t>
  </si>
  <si>
    <t>6802 Apšenieki - Zutiņi</t>
  </si>
  <si>
    <t>6803 Muižnieki - Lēdurgas pagasts</t>
  </si>
  <si>
    <t>6804 Inciems - Grīvas - Valmieras šoseja</t>
  </si>
  <si>
    <t>6805 P7 - Kungu gatve
(Ceļš uz Krimuldas sanatoriju)</t>
  </si>
  <si>
    <t>6806 Pulkas - Kapūnas - Murjāņi</t>
  </si>
  <si>
    <t>6807 Dzirnavas - Pausku šķūnis</t>
  </si>
  <si>
    <t>6808 Čārpas - Ziemeļu kapi - Dzirnavas</t>
  </si>
  <si>
    <t>6809 Mangaļi - Zilkalni - Mežlapiņas</t>
  </si>
  <si>
    <t>6810 Tūtumi - Valmieras šosejas vecais c.posms</t>
  </si>
  <si>
    <t>6811 Lejasdzeguzes - Valmieras ceļš</t>
  </si>
  <si>
    <t>6812 Papardes - Taigu ceļš</t>
  </si>
  <si>
    <t>6813 Ezerkalni - Dreimaņi</t>
  </si>
  <si>
    <t>6814 Ģīmju ceļš</t>
  </si>
  <si>
    <t>6815 Riemeri - Auniškalni - Puriņi</t>
  </si>
  <si>
    <t>6816 Valmieras šoseja - Birzgaļi</t>
  </si>
  <si>
    <t>6817 Vecteiči - Rudzīši - Valmieras šoseja</t>
  </si>
  <si>
    <t>6818 P8 - Dimzas</t>
  </si>
  <si>
    <t>6819 Krustiņi - Stokas - Skrāpji</t>
  </si>
  <si>
    <t>6820 Graši - Austriņi - Igauņi</t>
  </si>
  <si>
    <t>6821 Igauņi - Viešas -Bēršlejas</t>
  </si>
  <si>
    <t>6822 Turaidas kapi - Ķieģeļceplis</t>
  </si>
  <si>
    <t>6823 Pakuļi - Kalnbisenieki</t>
  </si>
  <si>
    <t>6824 Birznieki - Kalna Melderīši</t>
  </si>
  <si>
    <t>6825 Turaidas šoseja - Austrumi</t>
  </si>
  <si>
    <t>6826 Ilgas - Birznieki - Turaida</t>
  </si>
  <si>
    <t>6827 Bušelis - Rītiņi</t>
  </si>
  <si>
    <t>6828 Rebi - Vidusraudas</t>
  </si>
  <si>
    <t>6829 Strautiņi - Vidusraudas</t>
  </si>
  <si>
    <t>6830 Turaidas šoseja - Ģērbumi - Ciedras</t>
  </si>
  <si>
    <t>6831 Putniņi - Staņģi</t>
  </si>
  <si>
    <t>6832 Sedelnieki - Graši</t>
  </si>
  <si>
    <t>6833 Kalnlīves - Bušelis</t>
  </si>
  <si>
    <t>6834 Ērgļi - Melandri - Mālkalni</t>
  </si>
  <si>
    <t>6835 Kapūnas - Priedes - Lauvas</t>
  </si>
  <si>
    <t>6836 Dārza iela – Kapūnas</t>
  </si>
  <si>
    <t>6837 A3 - Laimas - Vējiņi - meh.sektors - Valmieras ceļš</t>
  </si>
  <si>
    <t>6838 Ceļš uz mehānisko sektoru</t>
  </si>
  <si>
    <t>6839 Almucas - Zābaki - Plūdoņi</t>
  </si>
  <si>
    <t>6840 Almucas-Estrāde</t>
  </si>
  <si>
    <t>6841 Sārumsila ceļš</t>
  </si>
  <si>
    <t>6842 Krasta ceļš</t>
  </si>
  <si>
    <t>Kopā Krimuldas pagasta B grupas ceļi</t>
  </si>
  <si>
    <t>80680030102001</t>
  </si>
  <si>
    <t>80680030023010</t>
  </si>
  <si>
    <t>80680040005001</t>
  </si>
  <si>
    <t>80680010065001</t>
  </si>
  <si>
    <t>80680060042014</t>
  </si>
  <si>
    <t>80680090174007</t>
  </si>
  <si>
    <t>80680080095001</t>
  </si>
  <si>
    <t>80680100040050</t>
  </si>
  <si>
    <t>Kopā Krimuldas pagasta C grupas ceļi</t>
  </si>
  <si>
    <t>6843 Zemgaļi - A3</t>
  </si>
  <si>
    <t>6844 Ceļš uz Aronijām</t>
  </si>
  <si>
    <t>6845 Ceļš pie Eikažu dīķa</t>
  </si>
  <si>
    <t>6846 Bīriņu ceļš - Ziemeļi</t>
  </si>
  <si>
    <t>6847 Vecā šoseja - Purgaiļi</t>
  </si>
  <si>
    <t>6848 Austras-Medenes</t>
  </si>
  <si>
    <t>6849 Riemeri - Ratnieki - Silzemnieki</t>
  </si>
  <si>
    <t>6850 Valmieras šoseja - Kārkliņi</t>
  </si>
  <si>
    <t>6851 Straupes ceļš - Raudiņas</t>
  </si>
  <si>
    <t>6852 Jaundzirkalni - Pīļezers</t>
  </si>
  <si>
    <t>6853 Valmieras šoseja-Tomēni</t>
  </si>
  <si>
    <t>6854 P8-Turaidas skola</t>
  </si>
  <si>
    <t>6855 Valmieras šoseja - Silvēveri</t>
  </si>
  <si>
    <t>6856 Amatas - Rūmnieki - Krecīši</t>
  </si>
  <si>
    <t>6857 Jaunpumpuri - Zemzari</t>
  </si>
  <si>
    <t>6858 Gaujieši – Kungu rija</t>
  </si>
  <si>
    <t>6859 Ausmas - Liepenes</t>
  </si>
  <si>
    <t>6860 Turaida šoseja - Villes</t>
  </si>
  <si>
    <t>6861 Straumēni - Gaujas mežs</t>
  </si>
  <si>
    <t>6862 Rodes - Gaujas kapi</t>
  </si>
  <si>
    <t>6863 Pulkas - V192</t>
  </si>
  <si>
    <t>6864 Centrs - zvēru ferma</t>
  </si>
  <si>
    <t>Juglas tilts</t>
  </si>
  <si>
    <r>
      <t>E 24</t>
    </r>
    <r>
      <rPr>
        <sz val="8"/>
        <rFont val="Calibri"/>
        <family val="2"/>
        <charset val="186"/>
      </rPr>
      <t>°51</t>
    </r>
    <r>
      <rPr>
        <sz val="8"/>
        <rFont val="Calibri"/>
        <family val="2"/>
        <charset val="186"/>
        <scheme val="minor"/>
      </rPr>
      <t>'33"
N 57°19'26"</t>
    </r>
  </si>
  <si>
    <t>Kopā Lēdurgas pagasta A grupas ceļi</t>
  </si>
  <si>
    <t>Aģes tilts</t>
  </si>
  <si>
    <t>E 24°44'60"
N 57°18'47"</t>
  </si>
  <si>
    <t>5601 Lejiņas - Nires</t>
  </si>
  <si>
    <t>5602 Jugla - Mežapiņi</t>
  </si>
  <si>
    <t>5603 Pūlīši - Jauncepļi</t>
  </si>
  <si>
    <t>5604 Akoti - Lisicas</t>
  </si>
  <si>
    <t>5605 Alkšņi - Aijaži</t>
  </si>
  <si>
    <t>5606 Alkšņi – Upmaļi</t>
  </si>
  <si>
    <t>5607 Akoti - Burkāni</t>
  </si>
  <si>
    <t>5608 Centrs - Ratnieki</t>
  </si>
  <si>
    <t>5609 Mežniecība - Kaktiņi</t>
  </si>
  <si>
    <t>5610 Mežniecība - Sviņķi</t>
  </si>
  <si>
    <t>5611 Lapsas - Zvejnieki</t>
  </si>
  <si>
    <t>5612 Lapsas - Rožkalni</t>
  </si>
  <si>
    <t>5613 Mudurgas - Ķipkalni</t>
  </si>
  <si>
    <t>5614 Tiltgaļi - Vecurči</t>
  </si>
  <si>
    <t>5615 Zaltes - Aģes ezers</t>
  </si>
  <si>
    <t>5616 Rīti - Pandas</t>
  </si>
  <si>
    <t>5617 Lodes - Ozoli</t>
  </si>
  <si>
    <t>5618 Romeži - Laukkalni</t>
  </si>
  <si>
    <t>5619 Mežāres - Melnsalas</t>
  </si>
  <si>
    <t>5620 Ābelītes - Eglaines</t>
  </si>
  <si>
    <t>5621 Dārziņi - Kauliņi</t>
  </si>
  <si>
    <t>5622 Ziedi - Kuguļi</t>
  </si>
  <si>
    <t>5623 Rentes - Gaiļi</t>
  </si>
  <si>
    <t>Kopā Lēdurgas pagasta B grupas ceļi</t>
  </si>
  <si>
    <t>66560020523002</t>
  </si>
  <si>
    <t>5624 Lejiņas - Karjers</t>
  </si>
  <si>
    <t>5625 Jaunzemi - Vizbuļi</t>
  </si>
  <si>
    <t>5626 Kalnieši - Mellauni</t>
  </si>
  <si>
    <t>5627 Žagatas - Purmaļi</t>
  </si>
  <si>
    <t>5628 Vecapiņi - Knīderu dzirnavas</t>
  </si>
  <si>
    <t>5629 Avoti - Avotbirze</t>
  </si>
  <si>
    <t>5630 Ceļš uz Dendroparku</t>
  </si>
  <si>
    <t>5631 Vanagi - Līves</t>
  </si>
  <si>
    <t>5632 Atmodas - Šicas</t>
  </si>
  <si>
    <t>5633 Grinduļi - Līčupes</t>
  </si>
  <si>
    <t>5634 Zūlas - Saliņas</t>
  </si>
  <si>
    <t>5635 Kuguļi - Induļi</t>
  </si>
  <si>
    <t>Kopā Lēdurgas pagasta C grupas ceļi</t>
  </si>
  <si>
    <t>Aviekstes iela</t>
  </si>
  <si>
    <t>80680070755001</t>
  </si>
  <si>
    <t>Gavēņu iela</t>
  </si>
  <si>
    <t>Gājēju iela</t>
  </si>
  <si>
    <t>80680070349005</t>
  </si>
  <si>
    <t>Meistaru iela</t>
  </si>
  <si>
    <t>80680070416008</t>
  </si>
  <si>
    <t>Sējas iela</t>
  </si>
  <si>
    <t>80680070593001</t>
  </si>
  <si>
    <t>Tirgus iela</t>
  </si>
  <si>
    <t>Vārpu iela</t>
  </si>
  <si>
    <t>Zaļkalna iela</t>
  </si>
  <si>
    <t>Kopā Raganas ciema ielas</t>
  </si>
  <si>
    <t>Anšlava Eglīša iela</t>
  </si>
  <si>
    <t>80680050332001</t>
  </si>
  <si>
    <t>Kastaņu iela</t>
  </si>
  <si>
    <t>Mazā Ošu iela</t>
  </si>
  <si>
    <t>Straupes iela</t>
  </si>
  <si>
    <t>Kopā Inciema ciema ielas</t>
  </si>
  <si>
    <t>Mazā Gaujas iela</t>
  </si>
  <si>
    <t>Ernesta Sovera iela</t>
  </si>
  <si>
    <t>Kopā Sunīšu ciema ielas</t>
  </si>
  <si>
    <t>Gaujiešu iela</t>
  </si>
  <si>
    <t>Zelmeņu iela</t>
  </si>
  <si>
    <t>80680090403001</t>
  </si>
  <si>
    <t>Kopā Turaidas ciema ielas</t>
  </si>
  <si>
    <t>Emiļa Melngaiļa iela</t>
  </si>
  <si>
    <t>Lakstīgalu iela</t>
  </si>
  <si>
    <t>Mazā Krasta iela</t>
  </si>
  <si>
    <t>Upeskalna iela</t>
  </si>
  <si>
    <t>66560020162004</t>
  </si>
  <si>
    <t>66560020161005</t>
  </si>
  <si>
    <t>Kopā Lēdurgas ciema ielas</t>
  </si>
  <si>
    <t>Kopā Lodes ciema ielas</t>
  </si>
  <si>
    <t>Datums</t>
  </si>
  <si>
    <r>
      <t xml:space="preserve">Sagatavoja  </t>
    </r>
    <r>
      <rPr>
        <u/>
        <sz val="8"/>
        <rFont val="Arial"/>
        <family val="2"/>
        <charset val="186"/>
      </rPr>
      <t xml:space="preserve">                                                                                                                                                          </t>
    </r>
  </si>
  <si>
    <t>(amats, vārds, uzvārds )</t>
  </si>
  <si>
    <t>(paraksts)</t>
  </si>
  <si>
    <t>Apstiprināja</t>
  </si>
  <si>
    <t>Kopā Siguldas novada  A grupas ceļi</t>
  </si>
  <si>
    <t>Kopā Siguldas novada B grupas ceļi</t>
  </si>
  <si>
    <t>Kopā Siguldas novada C grupas ceļi</t>
  </si>
  <si>
    <t>Kopā Siguldas novada ielas</t>
  </si>
  <si>
    <t>Uzturēšanas klase</t>
  </si>
  <si>
    <t>C</t>
  </si>
  <si>
    <t>D</t>
  </si>
  <si>
    <t>A</t>
  </si>
  <si>
    <t>B</t>
  </si>
  <si>
    <t>1000+</t>
  </si>
  <si>
    <t>500-1000</t>
  </si>
  <si>
    <t>100-499</t>
  </si>
  <si>
    <t>līdz 100</t>
  </si>
  <si>
    <t>100+</t>
  </si>
  <si>
    <t>E</t>
  </si>
  <si>
    <t>Nevar nodrošināt D</t>
  </si>
  <si>
    <t>Grants</t>
  </si>
  <si>
    <t>melnais segums</t>
  </si>
  <si>
    <t>4242 Caunas-Kangarīši</t>
  </si>
  <si>
    <t>Nepiederošs</t>
  </si>
  <si>
    <t>6 īpašumu robežas</t>
  </si>
  <si>
    <t>42660020009; 42660020035</t>
  </si>
  <si>
    <t>Atzars uz Bisenieku ceļu</t>
  </si>
  <si>
    <t>šķērso 5 īpašumus</t>
  </si>
  <si>
    <t>80640050034; 
80640050085</t>
  </si>
  <si>
    <t>80640080024; 
80640080031</t>
  </si>
  <si>
    <t>80640060354; 
80640060355</t>
  </si>
  <si>
    <t>80640060415; 80640030004; 80640060527</t>
  </si>
  <si>
    <t>80420020179; 80420020130</t>
  </si>
  <si>
    <t>Cepļa iela</t>
  </si>
  <si>
    <t>80640020786; 80640020220</t>
  </si>
  <si>
    <t>80940041123; 80940040566</t>
  </si>
  <si>
    <t>Siguldas novada domes izpilddirektore</t>
  </si>
  <si>
    <t>Jeļena Zarandija</t>
  </si>
  <si>
    <t>SIGULDAS  UN SIGULDAS NOVADAM NEPIEDEROŠO IKDIENAS UZTURĒŠANAS  IELU SARAKSTS</t>
  </si>
  <si>
    <t>SIGULDAS  UN SIGULDAS PAGASTAM NEPIEDEROŠĀS IELAS</t>
  </si>
  <si>
    <t>Nr.p.k</t>
  </si>
  <si>
    <t>Ielas nosaukums</t>
  </si>
  <si>
    <t>Uztur. Klase</t>
  </si>
  <si>
    <t>Segums</t>
  </si>
  <si>
    <t>Noteiktais garums (km)</t>
  </si>
  <si>
    <t>Platums (m)</t>
  </si>
  <si>
    <r>
      <t>Laukums (m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)</t>
    </r>
  </si>
  <si>
    <t>Zemes vienības apzīmējums</t>
  </si>
  <si>
    <t>NEPIEDEROŠAS IELAS</t>
  </si>
  <si>
    <t>Brūkleņu iela*</t>
  </si>
  <si>
    <t>Mazā Augļu iela*</t>
  </si>
  <si>
    <t>Pavasara iela*</t>
  </si>
  <si>
    <t>Pilskalnu iela*</t>
  </si>
  <si>
    <t>Vidzemes šoseja uz Nr.17B*</t>
  </si>
  <si>
    <t>Klusā iela*</t>
  </si>
  <si>
    <t>Sapņu iela*</t>
  </si>
  <si>
    <t>Saulrītu iela*</t>
  </si>
  <si>
    <t>Šķūņu iela*</t>
  </si>
  <si>
    <t>Vējupītes iela*</t>
  </si>
  <si>
    <t>Šķiliņi - Ozolkalns atzars*</t>
  </si>
  <si>
    <t>Klusās ielas atzars (Allaži)*</t>
  </si>
  <si>
    <t>Kļavu iela (Allaži)</t>
  </si>
  <si>
    <t>Patapinājuma līgumi  līdz 31.03.2019 Nr. 4.3-6.8/2018/1051;4.3-6.8/2018/1050; 4.3-6.8/2018/1052</t>
  </si>
  <si>
    <t>* Piezīme: Ielas parametri, izņemot garums, ir orientējoši. Šī piezīme attiecas tikai uz atsevišķi norādītajām ielām.</t>
  </si>
  <si>
    <t>N.p.k..</t>
  </si>
  <si>
    <r>
      <rPr>
        <b/>
        <sz val="10"/>
        <rFont val="Arial"/>
        <family val="2"/>
        <charset val="186"/>
      </rPr>
      <t>Laukumi/Stāvlaukumi:</t>
    </r>
    <r>
      <rPr>
        <sz val="10"/>
        <rFont val="Arial"/>
        <family val="2"/>
        <charset val="186"/>
      </rPr>
      <t xml:space="preserve"> 
Īpašuma nosaukums</t>
    </r>
  </si>
  <si>
    <t>Atrašanās vieta</t>
  </si>
  <si>
    <t>Stāvlaukuma nosaukums</t>
  </si>
  <si>
    <t>m2</t>
  </si>
  <si>
    <t>LAUKUMI</t>
  </si>
  <si>
    <t>Laukums, Jāņa Poruka iela 14</t>
  </si>
  <si>
    <t>Sigulda</t>
  </si>
  <si>
    <t>Laukums pie gaisa vagoniņa Siguldas pusē</t>
  </si>
  <si>
    <t>Laukums, Raiņa ielā 3B</t>
  </si>
  <si>
    <t>Laukums pie Pakalpojuma centra</t>
  </si>
  <si>
    <t>Laukums, Pils ielā 14A</t>
  </si>
  <si>
    <t>Stāvlaukums pie Krišjāņa Barona pieminekļa</t>
  </si>
  <si>
    <t>Laukms, Pils ielā 10</t>
  </si>
  <si>
    <t xml:space="preserve">Stāvlaukums pie Siguldas pilsētas viesnīcas "Sigulda" </t>
  </si>
  <si>
    <t>Dz/ceļa stacijas stāvlaukums, Ausekļa iela 2 un 6</t>
  </si>
  <si>
    <t>Dz/ceļa stacijas (vecais) stāvlaukums</t>
  </si>
  <si>
    <t>nobrauktuve no Ausekļa ielas uz CATA laukumu</t>
  </si>
  <si>
    <t>nobrauktuve no Dārza ielas uz CATA un Torņa laukuma</t>
  </si>
  <si>
    <t>Laukums, Zinātnes ielā 7</t>
  </si>
  <si>
    <t xml:space="preserve">Peltes </t>
  </si>
  <si>
    <t>Laukums pie pagasta Kultūras nama</t>
  </si>
  <si>
    <t>Laukums Šveices iela 17</t>
  </si>
  <si>
    <t xml:space="preserve">Laukums pie mākslas skolas "Baltais flīģelis" </t>
  </si>
  <si>
    <t>Laukums, Miera iela 24</t>
  </si>
  <si>
    <t>Gleznotājkalna stāvlaukums</t>
  </si>
  <si>
    <t xml:space="preserve">ceļš līdz GNP ietvei uz Gleznotājkalnu </t>
  </si>
  <si>
    <t xml:space="preserve">ceļš līdz jaunajai kapličai un laukums </t>
  </si>
  <si>
    <t>Laukums pie vecās kapličas</t>
  </si>
  <si>
    <t xml:space="preserve">ceļš līdz vecajai kapličai </t>
  </si>
  <si>
    <t xml:space="preserve">ceļš līdz kantorim </t>
  </si>
  <si>
    <t>Laukums, Pils iela 16</t>
  </si>
  <si>
    <t>Laukums pie Siguldas novada Domes un Dārznieku mājas</t>
  </si>
  <si>
    <t>Laukums un autobusa apgriešanās laukums pie Slimnīcas Ziedu ielā</t>
  </si>
  <si>
    <t>Stāvlaukums un autobusa apgriešanās lauk.pie Slimnīcas</t>
  </si>
  <si>
    <t>Nobrauktuve autobusa apgriešanās laukums Ziedu 2</t>
  </si>
  <si>
    <t>Laukums pie Poliklīnikas Ziedu ielā</t>
  </si>
  <si>
    <t>Stāvlaukums (asfaltētais) pie Poliklīnikas</t>
  </si>
  <si>
    <t xml:space="preserve">Autobusa pietura un laukums Kalna ielā pretī viesu namam "Kaķītis" </t>
  </si>
  <si>
    <t xml:space="preserve">Autobusa pietura un laukums Kalna ielā pretī "Kaķītis" </t>
  </si>
  <si>
    <t>Stāvlaukums Puķu ielā 4</t>
  </si>
  <si>
    <t>Laurenči</t>
  </si>
  <si>
    <t>Laukums pie Laurenču skolas</t>
  </si>
  <si>
    <t>Piebraucamais ceļš no Puķu ielas līdz Laurenču skolai</t>
  </si>
  <si>
    <t>Stāvlaukums Puķu ielā</t>
  </si>
  <si>
    <t>Laukums pie Laurenču SAAC</t>
  </si>
  <si>
    <t>Laukums Institūta ielā (autobusu galapunktā pie SIGRA)</t>
  </si>
  <si>
    <t>Laukums Stacijas ielā (pie dz/ceļa pārejas un tirgus)</t>
  </si>
  <si>
    <t>Laukums Kalnabeišu alejā (pie garāžām1)</t>
  </si>
  <si>
    <t>Sig.pagasts</t>
  </si>
  <si>
    <t>Laukums Kalnabeišu alejā (pie garāžām2)</t>
  </si>
  <si>
    <t>Nobrauktuve Kalnabeišu alejā (pie garāžām)</t>
  </si>
  <si>
    <t xml:space="preserve">Laukums Akas iela </t>
  </si>
  <si>
    <t>Laukums Gaujas iela</t>
  </si>
  <si>
    <t>Laukums Kadiķu iela</t>
  </si>
  <si>
    <t xml:space="preserve">Laukums Mednieku iela </t>
  </si>
  <si>
    <t>Krimulda</t>
  </si>
  <si>
    <t>9424 (Kreiļu ceļš)</t>
  </si>
  <si>
    <t>Pie slaloma trases</t>
  </si>
  <si>
    <t>Makara trase</t>
  </si>
  <si>
    <t>Pie bobsleja trases (pie angāra)</t>
  </si>
  <si>
    <t>pie bobsleja trases pļavā</t>
  </si>
  <si>
    <t>Kr.Barona</t>
  </si>
  <si>
    <t>pieturvieta</t>
  </si>
  <si>
    <t xml:space="preserve">Mores iela </t>
  </si>
  <si>
    <t>Kapu teritorijas laukums</t>
  </si>
  <si>
    <t>Mores pagasts</t>
  </si>
  <si>
    <t>Kapi</t>
  </si>
  <si>
    <t>Bibliotēka (13)</t>
  </si>
  <si>
    <t>Bibliotēka</t>
  </si>
  <si>
    <t>Skola (3)</t>
  </si>
  <si>
    <t>Skola</t>
  </si>
  <si>
    <t>Daudzdzīvokļu mājas 5/7 laukums</t>
  </si>
  <si>
    <t>Daudzdzīvokļu mājas laukums</t>
  </si>
  <si>
    <t>Mores pagasta ēka (11)</t>
  </si>
  <si>
    <r>
      <rPr>
        <b/>
        <sz val="10"/>
        <rFont val="Arial"/>
        <family val="2"/>
        <charset val="186"/>
      </rPr>
      <t xml:space="preserve">KABATAS/STĀVLAUKUMI: </t>
    </r>
    <r>
      <rPr>
        <sz val="10"/>
        <rFont val="Arial"/>
        <family val="2"/>
        <charset val="186"/>
      </rPr>
      <t xml:space="preserve">
Īpašuma nosaukums</t>
    </r>
  </si>
  <si>
    <t>KABATAS</t>
  </si>
  <si>
    <t>Stāvlaukums/ kabata pie Siguldas Valsts ģimnāzijas</t>
  </si>
  <si>
    <t>"kabata" uz Kr.Barona ielas pie SVĢ</t>
  </si>
  <si>
    <t>"kabata" uz Atbrīvotāju ielas pie SVĢ (abās ceļa pusēs)</t>
  </si>
  <si>
    <t>Stāvlaukums/ kabata Parka ielā pie Raiņa parka</t>
  </si>
  <si>
    <t>Stāvlaukums Parka ielā Raiņa parka</t>
  </si>
  <si>
    <t>Stāvlaukums/ kabata pie Svētku lauk., L.Paegles ielā</t>
  </si>
  <si>
    <t>"kabata" pie Svētku laukuma</t>
  </si>
  <si>
    <t>Stāvlaukums / kabata pie Siguldas nov.Laurenču sākumskolas</t>
  </si>
  <si>
    <t>"kabata" pie apļa (motelis/Laurenču/Puķu iela)</t>
  </si>
  <si>
    <t>stāvlaukums/ kabata Institūta ielā</t>
  </si>
  <si>
    <t>"kabatas" pie "Saulīte", Institūta iela</t>
  </si>
  <si>
    <t>Stāvlaukums/kabata pie PII "Saulīte", Institūts ielā 2</t>
  </si>
  <si>
    <t>"kabatas" pie "Saulīte", Institūta iela 2</t>
  </si>
  <si>
    <t>"kabata" pie "Saulīte", Mores ielā</t>
  </si>
  <si>
    <t>Stāvlaukums/ kabata pie PII "Ieviņa", Nurmižu iela 31</t>
  </si>
  <si>
    <t>"Kabata" pie PII "Ieviņa", Nurmižu iela 31</t>
  </si>
  <si>
    <t>Stāvlaukumi/ kabata pie PII " Pasaciņa",Skolas ielā</t>
  </si>
  <si>
    <t xml:space="preserve">"Kabata" pie PII "Pasaciņa" </t>
  </si>
  <si>
    <t>Stāvlaukums/kanatas Skolas ielā</t>
  </si>
  <si>
    <t>"kabata" uz Skolas ielas pie Jaunrades centra</t>
  </si>
  <si>
    <t>"kabata" uz Skolas ielas aiz Jaunrades centra</t>
  </si>
  <si>
    <t>"kabata"  pie Kr.Barona 18 (Skolas iela)</t>
  </si>
  <si>
    <t>Stāvlaukums/ kabata pie Baltā flīģeļa, Šveices iela 19</t>
  </si>
  <si>
    <t>Stāvlaukums/kabata pie Bebrenes ielas, Šveices ielā</t>
  </si>
  <si>
    <t xml:space="preserve">Stāvlaukums/kabata Ausekļa ielā (patēr.veikals, " Mēness aptieka" </t>
  </si>
  <si>
    <t>"kabata"  uz Ausekļa iela (TAXI)</t>
  </si>
  <si>
    <t>"kabata" uz Ausekļa iela 5</t>
  </si>
  <si>
    <t>" kabata" uz Ausekļa iela 3</t>
  </si>
  <si>
    <t>Kabatas Raiņa ielā</t>
  </si>
  <si>
    <t>"kabata" uz Raiņa ielas (labā puse)</t>
  </si>
  <si>
    <t>"kabata" uz Raiņa ielas (kreisā puse)</t>
  </si>
  <si>
    <t>StāvlaukumsValdemāra ielā/ kabata (kabatas ielas abās pusēs)</t>
  </si>
  <si>
    <t xml:space="preserve">"kabata" uz Valdemāra ielas </t>
  </si>
  <si>
    <t xml:space="preserve">Jāņa Poruka iela </t>
  </si>
  <si>
    <t>gar ielas malu</t>
  </si>
  <si>
    <t>N. P. k.</t>
  </si>
  <si>
    <t>Laukumi, iebrauktuves</t>
  </si>
  <si>
    <t xml:space="preserve">laukums pie pašvaldības administrācijas ēkas </t>
  </si>
  <si>
    <t xml:space="preserve">laukums pie bibliotēkas </t>
  </si>
  <si>
    <t>autobusa pietura  Mālpils centrs</t>
  </si>
  <si>
    <t xml:space="preserve">tirgus laukums </t>
  </si>
  <si>
    <t>laukums, iebrauktuves ap kopmītnēm (5stāvu)</t>
  </si>
  <si>
    <t xml:space="preserve">ceļi, laukumi ap kopmītnēs (2 stāvu) </t>
  </si>
  <si>
    <t>ceļi, laukumi pie profesionālās vidusskolas</t>
  </si>
  <si>
    <t xml:space="preserve">laukums pie vidusskolas </t>
  </si>
  <si>
    <t xml:space="preserve">apgriešanās laukums Sidgundā </t>
  </si>
  <si>
    <t xml:space="preserve">kad. nr </t>
  </si>
  <si>
    <t>adrese</t>
  </si>
  <si>
    <t>īpašnieks</t>
  </si>
  <si>
    <t>piezīmes</t>
  </si>
  <si>
    <t>Nākotnes iela 1, Mālpils, Mālpils pag.</t>
  </si>
  <si>
    <t>pašvaldība</t>
  </si>
  <si>
    <t xml:space="preserve">Akmens iela </t>
  </si>
  <si>
    <t>Nākotnes iela 5, Mālpils, Mālpils pag.</t>
  </si>
  <si>
    <t>Sniedzes iela 1, Mālpils , Mālpils pag</t>
  </si>
  <si>
    <t>Raimonds Grollis</t>
  </si>
  <si>
    <t>Kastaņu iela 6, Mālpils, Mālpils pag</t>
  </si>
  <si>
    <t>Pils iela 7, Mālpils, Mālpils pag</t>
  </si>
  <si>
    <t>Pils iela 10 un 12, Mālpils, Mālpils pag</t>
  </si>
  <si>
    <t>Pils iela 14, Mālpils, Mālpils pag</t>
  </si>
  <si>
    <t>Sporta iela 1, Mālpils , Mālpils pag</t>
  </si>
  <si>
    <t>80740050501; 80740050502</t>
  </si>
  <si>
    <t xml:space="preserve">Juglas  iela 21 un Mēness iela 1, Sidgunda,Mālpils pag </t>
  </si>
  <si>
    <t>dauddzīvokļu ēkas īpašnieki</t>
  </si>
  <si>
    <t>Siguldas novada pašvaldības ikdienas uzturēšanas ielu saraksts</t>
  </si>
  <si>
    <t>Siguldas novada pašvaldības ikdienas uzturēšanas ceļu saraksts A grupas ceļiem Siguldas pagastā</t>
  </si>
  <si>
    <t>Siguldas novada pašvaldības ikdienas uzturēšanas ceļu saraksts</t>
  </si>
  <si>
    <t>Siguldas novada pašvaldības ikdienas uzturēšanas ceļu saraksts A grupas ceļiem Allažu pagastā</t>
  </si>
  <si>
    <t>Siguldas novada pašvaldības ikdienas uzturēšanas ceļu saraksts A grupas ceļiem Mālpils pagastā</t>
  </si>
  <si>
    <t>Siguldas novada pašvaldības ikdienas uzturēšanas ceļu saraksts A grupas ceļiem Inčukalna pagastā</t>
  </si>
  <si>
    <t>Siguldas novada pašvaldības ikdienas uzturēšanas ceļu saraksts A grupas ceļiem Krimuldas pagastā</t>
  </si>
  <si>
    <t>Siguldas novada pašvaldības ikdienas uzturēšanas ceļu saraksts A grupas ceļiem Lēdurgas pagastā</t>
  </si>
  <si>
    <t>Siguldas novada pašvaldības ikdienas uzturēšanas ceļu saraksts B grupas ceļiem Siguldas pagastā</t>
  </si>
  <si>
    <t>Siguldas novada pašvaldības ikdienas uzturēšanas ceļu saraksts B grupas ceļiem Mores pagastā</t>
  </si>
  <si>
    <t>Siguldas novada pašvaldības ikdienas uzturēšanas ceļu saraksts B grupas ceļiem Allažu pagastā</t>
  </si>
  <si>
    <t>Siguldas novada pašvaldības ikdienas uzturēšanas ceļu saraksts B grupas ceļiem Mālpils pagastā</t>
  </si>
  <si>
    <t>Siguldas novada pašvaldības ikdienas uzturēšanas ceļu saraksts B grupas ceļiem Inčukalna pagastā</t>
  </si>
  <si>
    <t>Siguldas novada pašvaldības ikdienas uzturēšanas ceļu saraksts B grupas ceļiem Krimuldas pagastā</t>
  </si>
  <si>
    <t>Siguldas novada pašvaldības ikdienas uzturēšanas ceļu saraksts B grupas ceļiem Lēdurgas pagastā</t>
  </si>
  <si>
    <t>Siguldas novada pašvaldības ikdienas uzturēšanas ceļu saraksts C grupas ceļiem Siguldas pagastā</t>
  </si>
  <si>
    <t>Siguldas novada pašvaldības ikdienas uzturēšanas ceļu saraksts C grupas ceļiem Mores pagastā</t>
  </si>
  <si>
    <t>Siguldas novada pašvaldības ikdienas uzturēšanas ceļu saraksts C grupas ceļiem Allažu pagastā</t>
  </si>
  <si>
    <t>Siguldas novada pašvaldības ikdienas uzturēšanas ceļu saraksts C grupas ceļiem Mālpils pagastā</t>
  </si>
  <si>
    <t>Siguldas novada pašvaldības ikdienas uzturēšanas ceļu saraksts C grupas ceļiem Krimuldas pagastā</t>
  </si>
  <si>
    <t>Siguldas novada pašvaldības ikdienas uzturēšanas ceļu saraksts C grupas ceļiem Lēdurgas pagastā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</si>
  <si>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Siguldas pilsētā</t>
    </r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</si>
  <si>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Siguldas pilsētā (Peltēs)</t>
    </r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</si>
  <si>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Siguldas pilsētā (Ķiparos)</t>
    </r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</si>
  <si>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Siguldas pilsētā (Kalnabeitēs)</t>
    </r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</si>
  <si>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Matiņu ciemā</t>
    </r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</si>
  <si>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Vējupītes ciemā</t>
    </r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</si>
  <si>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Jūdažu ciemā</t>
    </r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</si>
  <si>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Mores ciemā</t>
    </r>
  </si>
  <si>
    <r>
      <rPr>
        <b/>
        <sz val="10"/>
        <rFont val="Arial"/>
        <family val="2"/>
        <charset val="186"/>
      </rPr>
      <t xml:space="preserve">Siguldas novada pašvaldības ikdienas uzturēšanas ielu saraksts </t>
    </r>
    <r>
      <rPr>
        <b/>
        <sz val="10"/>
        <color rgb="FFFF0000"/>
        <rFont val="Arial"/>
        <family val="2"/>
        <charset val="186"/>
      </rPr>
      <t>Allažu ciemā</t>
    </r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</si>
  <si>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Egļupes ciemā (Siguldas pagastā)</t>
    </r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</si>
  <si>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Mālpils ciemā</t>
    </r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</si>
  <si>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Upmalu ciemā</t>
    </r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</si>
  <si>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Sidgundas ciemā</t>
    </r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</si>
  <si>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Inčukalna ciemā</t>
    </r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</si>
  <si>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Gaujas ciemā</t>
    </r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</si>
  <si>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Egļupes ciemā (Inčukalna pagastā)</t>
    </r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</si>
  <si>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Krustiņu ciemā</t>
    </r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</si>
  <si>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Kļavu ciemā</t>
    </r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</si>
  <si>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Raganas ciemā</t>
    </r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</si>
  <si>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Inciema ciemā</t>
    </r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</si>
  <si>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Sunīšu ciemā</t>
    </r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</si>
  <si>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Turaidas ciemā</t>
    </r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</si>
  <si>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Lēdurgas ciemā</t>
    </r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</si>
  <si>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Lodes ciemā</t>
    </r>
  </si>
  <si>
    <t>6436 Ceļš uz Jaunajiem kapiem</t>
  </si>
  <si>
    <t>6437 Kārļzemnieki-Zuši</t>
  </si>
  <si>
    <t>80640020720; 
80640020718</t>
  </si>
  <si>
    <t>80640020643; 80640020629; 
80640020665; 
80640020639</t>
  </si>
  <si>
    <t>Pašvaldības zemes gabals, kuram pretī ir 80640020720; 
80640020718</t>
  </si>
  <si>
    <t>80640020534; 
80640020606</t>
  </si>
  <si>
    <t>Melnais segums</t>
  </si>
  <si>
    <t>Dubultā virsma</t>
  </si>
  <si>
    <t>Bruģa segums</t>
  </si>
  <si>
    <t>Grants segums</t>
  </si>
  <si>
    <t>Cits segums</t>
  </si>
  <si>
    <t>Nepiederoši ceļi</t>
  </si>
  <si>
    <t>Mālpils pagastā</t>
  </si>
  <si>
    <t>Siguldas novada domes izpilddirektors</t>
  </si>
  <si>
    <r>
      <t xml:space="preserve">Sagatavoja  </t>
    </r>
    <r>
      <rPr>
        <u/>
        <sz val="10"/>
        <rFont val="Arial"/>
        <family val="2"/>
        <charset val="186"/>
      </rPr>
      <t xml:space="preserve">                                                                                                                                                          </t>
    </r>
  </si>
  <si>
    <t>Siguldas pagastā A ceļi</t>
  </si>
  <si>
    <t>Siguldas pagastā B ceļi</t>
  </si>
  <si>
    <t>Siguldas pagastā C ceļi</t>
  </si>
  <si>
    <t>Siguldas pagasta ceļi (ieskaitot nepiederošus posmus)</t>
  </si>
  <si>
    <t>Allažu pagasta ceļi (ieskaitot nepiederošus posmus)</t>
  </si>
  <si>
    <t>Allažu pagasta A ceļi</t>
  </si>
  <si>
    <t>Allažu pagasta B ceļi</t>
  </si>
  <si>
    <t>Allažu pagasta C ceļi</t>
  </si>
  <si>
    <t>Mores pagasta ceļi (ieskaitot nepiederošus posmus)</t>
  </si>
  <si>
    <t>Mores pagasta A ceļi</t>
  </si>
  <si>
    <t>Mores pagasta B ceļi</t>
  </si>
  <si>
    <t>Mores pagasta C ceļi</t>
  </si>
  <si>
    <t>nav</t>
  </si>
  <si>
    <t>Mālpils pagasta ceļi (ieskaitot nepiederošus posmus)</t>
  </si>
  <si>
    <t>Mālpils pagasta A ceļi</t>
  </si>
  <si>
    <t>Mālpils pagasta B ceļi</t>
  </si>
  <si>
    <t>Mālpils pagasta C ceļi</t>
  </si>
  <si>
    <t>Inčukalna pagasta ceļi (ieskaitot nepiederošus posmus)</t>
  </si>
  <si>
    <t>Inčukalna pagasta A ceļi</t>
  </si>
  <si>
    <t>Inčukalna pagasta B ceļi</t>
  </si>
  <si>
    <t>Inčukalna pagasta C ceļi</t>
  </si>
  <si>
    <t>Krimuldas pagasta ceļi (ieskaitot nepiederošus posmus)</t>
  </si>
  <si>
    <t>Krimuldas pagasta A ceļi</t>
  </si>
  <si>
    <t>Krimuldas pagasta B ceļi</t>
  </si>
  <si>
    <t>Krimuldas pagasta C ceļi</t>
  </si>
  <si>
    <t>Lēdurgas pagasta ceļi (ieskaitot nepiederošus posmus)</t>
  </si>
  <si>
    <t>Lēdurgas pagasta A ceļi</t>
  </si>
  <si>
    <t>Lēdurgas pagasta B ceļi</t>
  </si>
  <si>
    <t>Lēdurgas pagasta C ceļi</t>
  </si>
  <si>
    <t>Kopā Siguldas novada ceļi (ieskaitot nepiederošus posmus)</t>
  </si>
  <si>
    <t>Siguldas pagasta ceļi (neieskaitot nepiederošus posmus)</t>
  </si>
  <si>
    <t>Allažu pagasta ceļi (neieskaitot nepiederošus posmus)</t>
  </si>
  <si>
    <t>Mores pagasta ceļi (neieskaitot nepiederošus posmus)</t>
  </si>
  <si>
    <t>Mālpils pagasta ceļi (neieskaitot nepiederošus posmus)</t>
  </si>
  <si>
    <t>Inčukalna pagasta ceļi (neieskaitot nepiederošus posmus)</t>
  </si>
  <si>
    <t>Krimuldas pagasta ceļi (neieskaitot nepiederošus posmus)</t>
  </si>
  <si>
    <t>Lēdurgas pagasta ceļi (neieskaitot nepiederošus posmus)</t>
  </si>
  <si>
    <t>Kopā Siguldas novada ceļi (neieskaitot nepiederošus posmus)</t>
  </si>
  <si>
    <t>Siguldas pilsētas ielas (ieskaitot nepiederošus posmus)</t>
  </si>
  <si>
    <t>Siguldas pilsētas</t>
  </si>
  <si>
    <t>Nepiederošas ielas</t>
  </si>
  <si>
    <t>Siguldas pilsētā Peltēs</t>
  </si>
  <si>
    <t>Siguldas pilsētā Ķiparos</t>
  </si>
  <si>
    <t>Siguldas pilsētā Kalnabeitēs</t>
  </si>
  <si>
    <t>Siguldas pilsētas ielas (neieskaitot nepiederošus posmus)</t>
  </si>
  <si>
    <t>Matiņu ciema ielas (ieskaitot nepiederošus posmus)</t>
  </si>
  <si>
    <t>Matiņu ciema</t>
  </si>
  <si>
    <t>Matiņu ciema ielas (neieskaitot nepiederošus posmus)</t>
  </si>
  <si>
    <t>Vējupītes ciema ielas (ieskaitot nepiederošus posmus)</t>
  </si>
  <si>
    <t>Vējupītes ciema</t>
  </si>
  <si>
    <t>Vējupītes ciema ielas (neieskaitot nepiederošus posmus)</t>
  </si>
  <si>
    <t>Jūdažu ciema ielas (ieskaitot nepiederošus posmus)</t>
  </si>
  <si>
    <t>Jūdažu ciema</t>
  </si>
  <si>
    <t>Jūdažu ciema ielas (neieskaitot nepiederošus posmus)</t>
  </si>
  <si>
    <t>Mores ciema ielas (ieskaitot nepiederošus posmus)</t>
  </si>
  <si>
    <t>Mores ciema</t>
  </si>
  <si>
    <t>Mores ciema ielas (neieskaitot nepiederošus posmus)</t>
  </si>
  <si>
    <t>Allažu ciema ielas (ieskaitot nepiederošus posmus)</t>
  </si>
  <si>
    <t>Allažu ciema</t>
  </si>
  <si>
    <t>Allažu ciema ielas (neieskaitot nepiederošus posmus)</t>
  </si>
  <si>
    <t>Egļupes ciema ielas (Siguldas pagastā) (neieskaitot nepiederošus posmus)</t>
  </si>
  <si>
    <t>Egļupes ciema ielas (Siguldas pagastā) ciema</t>
  </si>
  <si>
    <t>Egļupes ciema ielas (Siguldas pagastā) (ieskaitot nepiederošus posmus)</t>
  </si>
  <si>
    <t>Mālpils ciema ielas (ieskaitot nepiederošus posmus)</t>
  </si>
  <si>
    <t>Mālpils ciema</t>
  </si>
  <si>
    <t>Mālpils ciema ielas (neieskaitot nepiederošus posmus)</t>
  </si>
  <si>
    <t>Upmalu ciema ielas (ieskaitot nepiederošus posmus)</t>
  </si>
  <si>
    <t>Upmalu ciema</t>
  </si>
  <si>
    <t>Upmalu ciema ielas (neieskaitot nepiederošus posmus)</t>
  </si>
  <si>
    <t>Sidgundas ciema ielas (ieskaitot nepiederošus posmus)</t>
  </si>
  <si>
    <t>Sidgundas ciema</t>
  </si>
  <si>
    <t>Sidgundas ciema ielas (neieskaitot nepiederošus posmus)</t>
  </si>
  <si>
    <t>Inčukalna ciema ielas (ieskaitot nepiederošus posmus)</t>
  </si>
  <si>
    <t>Inčukalna ciema</t>
  </si>
  <si>
    <t>Inčukalna ciema ielas (neieskaitot nepiederošus posmus)</t>
  </si>
  <si>
    <t>Gaujas ciema ielas (ieskaitot nepiederošus posmus)</t>
  </si>
  <si>
    <t>Gaujas  ciema</t>
  </si>
  <si>
    <t>Gaujas  ciema ielas (neieskaitot nepiederošus posmus)</t>
  </si>
  <si>
    <t>Egļupes ciema ielas (Inčukalna pagasts) (ieskaitot nepiederošus posmus)</t>
  </si>
  <si>
    <t>Egļupes ciema ielas (Inčukalna pagasts) (neieskaitot nepiederošus posmus)</t>
  </si>
  <si>
    <t>Egļupes ciema ielas (Inčukalna pagasts)</t>
  </si>
  <si>
    <t>Krustiņu ciema ielas (ieskaitot nepiederošus posmus)</t>
  </si>
  <si>
    <t>Krustiņu ciema</t>
  </si>
  <si>
    <t>Krustiņu ciema ielas (neieskaitot nepiederošus posmus)</t>
  </si>
  <si>
    <t>Kļavu ciema ielas (ieskaitot nepiederošus posmus)</t>
  </si>
  <si>
    <t>Kļavu ciema</t>
  </si>
  <si>
    <t>Kļavu ciema ielas (neieskaitot nepiederošus posmus)</t>
  </si>
  <si>
    <t>Raganas ciema ielas (ieskaitot nepiederošus posmus)</t>
  </si>
  <si>
    <t>Raganas ciema</t>
  </si>
  <si>
    <t>Raganas ciema ielas (neieskaitot nepiederošus posmus)</t>
  </si>
  <si>
    <t>Inciema ciema ielas (ieskaitot nepiederošus posmus)</t>
  </si>
  <si>
    <t>Inciema ciema</t>
  </si>
  <si>
    <t>Inciema ciema ielas (neieskaitot nepiederošus posmus)</t>
  </si>
  <si>
    <t>Sunīšu ciema ielas (ieskaitot nepiederošus posmus)</t>
  </si>
  <si>
    <t>Sunīšu ciema</t>
  </si>
  <si>
    <t>Sunīšu ciema ielas (neieskaitot nepiederošus posmus)</t>
  </si>
  <si>
    <t>Turaidas ciema ielas (ieskaitot nepiederošus posmus)</t>
  </si>
  <si>
    <t>Turaidas ciema</t>
  </si>
  <si>
    <t>Turaidas ciema ielas (neieskaitot nepiederošus posmus)</t>
  </si>
  <si>
    <t>Lēdurgas ciema ielas (ieskaitot nepiederošus posmus)</t>
  </si>
  <si>
    <t>Lēdurgas ciema</t>
  </si>
  <si>
    <t>Lēdurgas ciema ielas (neieskaitot nepiederošus posmus)</t>
  </si>
  <si>
    <t>Lodes ciema ielas (ieskaitot nepiederošus posmus)</t>
  </si>
  <si>
    <t>Lodes ciema</t>
  </si>
  <si>
    <t>Lodes ciema ielas (neieskaitot nepiederošus posmus)</t>
  </si>
  <si>
    <t>Kopā Siguldas novada ielas (ieskaitot nepiederošus posmus)</t>
  </si>
  <si>
    <t>Kopā Siguldas novada ielas (neieskaitot nepiederošus posmus)</t>
  </si>
  <si>
    <t>Siguldas novada pašvaldības ceļi un ielas</t>
  </si>
  <si>
    <t>Siguldas novada ielas (ieskaitot nepiederošus posmus)</t>
  </si>
  <si>
    <t>Siguldas novada ielas (neieskaitot nepiederošus posmus)</t>
  </si>
  <si>
    <t>Siguldas novada ceļi (ieskaitot nepiederošus posmus)</t>
  </si>
  <si>
    <t>Siguldas novada ceļi (neieskaitot nepiederošus posmus)</t>
  </si>
  <si>
    <t>dubultā virsma</t>
  </si>
  <si>
    <t>t.sk. ar dubultās virsmas segumu</t>
  </si>
  <si>
    <t>80680100203</t>
  </si>
  <si>
    <t>Hemaņa Liepiņa iela</t>
  </si>
  <si>
    <t>7428 Žīburti-Lejasžīburti</t>
  </si>
  <si>
    <t>Siguldas novada ielas (ieskaitot nepiederošus posmus) izteikts procentos</t>
  </si>
  <si>
    <t>Siguldas pagasts</t>
  </si>
  <si>
    <t>Siguldas pilsēta</t>
  </si>
  <si>
    <t>Allažu pagasts</t>
  </si>
  <si>
    <t>Mālpils pagasts</t>
  </si>
  <si>
    <t>Inčukalna pagasts</t>
  </si>
  <si>
    <t>Krimuldas pagasts</t>
  </si>
  <si>
    <t>Lēdurgas pagasts</t>
  </si>
  <si>
    <t>%</t>
  </si>
  <si>
    <t>Nr.p.k.</t>
  </si>
  <si>
    <t>Kapsētas nosaukums</t>
  </si>
  <si>
    <r>
      <t xml:space="preserve">Zemes vienības kadastra numurs </t>
    </r>
    <r>
      <rPr>
        <i/>
        <sz val="8"/>
        <color theme="1"/>
        <rFont val="Arial"/>
        <family val="2"/>
        <charset val="186"/>
      </rPr>
      <t>(pēc kadastra informācijas www.kadastrs.lv)</t>
    </r>
  </si>
  <si>
    <t>Mores pagasta kapsēta</t>
  </si>
  <si>
    <t>Ziemeļu kapsēta</t>
  </si>
  <si>
    <t>Sniķeru kapsēta</t>
  </si>
  <si>
    <t>Torņkalna kapsēta (Pareizticīgo kapi (Torņakalns))</t>
  </si>
  <si>
    <t>Rūķīšu kapsēta</t>
  </si>
  <si>
    <t>Inčukalna Vecie kapi</t>
  </si>
  <si>
    <t>Inčukalna Jaunie kapi</t>
  </si>
  <si>
    <t>Vangažu kapi</t>
  </si>
  <si>
    <r>
      <t>Lēdurgas kapsēta</t>
    </r>
    <r>
      <rPr>
        <i/>
        <sz val="8"/>
        <rFont val="Arial"/>
        <family val="2"/>
        <charset val="186"/>
      </rPr>
      <t xml:space="preserve"> (divas daļas ar vienu kadastra numuru - pareizticigo kapi un Lēdurgas kapi)</t>
    </r>
  </si>
  <si>
    <t>Administratīvā teritorija</t>
  </si>
  <si>
    <t>Inčukalns</t>
  </si>
  <si>
    <t>Garums
(km)</t>
  </si>
  <si>
    <t>Seguma
veids</t>
  </si>
  <si>
    <t>Stāvvietas laukums (m2)</t>
  </si>
  <si>
    <t>ceļš iet pa fiz pers zemes gabalu</t>
  </si>
  <si>
    <t xml:space="preserve">80150020313; 80150020314 </t>
  </si>
  <si>
    <t>Asaru iela</t>
  </si>
  <si>
    <t>Baseina iela</t>
  </si>
  <si>
    <t>Centra pirmā iela</t>
  </si>
  <si>
    <t>Centra otrā iela</t>
  </si>
  <si>
    <t>Centra trešā iela</t>
  </si>
  <si>
    <t>Centra ceturtā iela</t>
  </si>
  <si>
    <t>Centra piektā iela</t>
  </si>
  <si>
    <t>Centra sestā iela</t>
  </si>
  <si>
    <t>Centra septītā iela</t>
  </si>
  <si>
    <t>Loka pirmā iela</t>
  </si>
  <si>
    <t>Loka otrā iela</t>
  </si>
  <si>
    <t>Loka trešā iela</t>
  </si>
  <si>
    <t>Loka ceturtā iela</t>
  </si>
  <si>
    <t>Loka piektā iela</t>
  </si>
  <si>
    <t>Loka sestā iela</t>
  </si>
  <si>
    <t>Loka septītā iela</t>
  </si>
  <si>
    <t>Nomaļu iela</t>
  </si>
  <si>
    <t>Pūces iela</t>
  </si>
  <si>
    <t>Rietumu iela</t>
  </si>
  <si>
    <t>Skudru iela</t>
  </si>
  <si>
    <t>Strazdu iela</t>
  </si>
  <si>
    <t>Vārnu iela</t>
  </si>
  <si>
    <t>Uzbēruma iela</t>
  </si>
  <si>
    <t>Zušu iela</t>
  </si>
  <si>
    <t>Ceļu būvinženieris Rihards Keišs</t>
  </si>
  <si>
    <t>Ministru kabineta 2017. gada</t>
  </si>
  <si>
    <t>27.jūnija noteikumiem Nr.361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</si>
</sst>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8"/>
      <name val="Calibri"/>
      <family val="2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b/>
      <sz val="8"/>
      <name val="Arial"/>
      <family val="2"/>
      <charset val="186"/>
    </font>
    <font>
      <vertAlign val="superscript"/>
      <sz val="8"/>
      <name val="Arial"/>
      <family val="2"/>
      <charset val="186"/>
    </font>
    <font>
      <i/>
      <sz val="7"/>
      <name val="Arial"/>
      <family val="2"/>
      <charset val="186"/>
    </font>
    <font>
      <i/>
      <sz val="8"/>
      <name val="Arial"/>
      <family val="2"/>
      <charset val="186"/>
    </font>
    <font>
      <i/>
      <sz val="8"/>
      <color theme="1"/>
      <name val="Calibri"/>
      <family val="2"/>
      <charset val="186"/>
      <scheme val="minor"/>
    </font>
    <font>
      <sz val="8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charset val="186"/>
      <scheme val="minor"/>
    </font>
    <font>
      <sz val="8"/>
      <color rgb="FFFF0000"/>
      <name val="Arial"/>
      <family val="2"/>
      <charset val="186"/>
    </font>
    <font>
      <sz val="11"/>
      <color indexed="8"/>
      <name val="Calibri"/>
      <family val="2"/>
    </font>
    <font>
      <i/>
      <sz val="8"/>
      <name val="Calibri"/>
      <family val="2"/>
      <charset val="186"/>
      <scheme val="minor"/>
    </font>
    <font>
      <sz val="11"/>
      <color indexed="8"/>
      <name val="Calibri"/>
      <family val="2"/>
      <charset val="1"/>
    </font>
    <font>
      <sz val="8"/>
      <name val="Calibri"/>
      <family val="2"/>
      <charset val="186"/>
    </font>
    <font>
      <sz val="8"/>
      <color theme="1" tint="4.9989318521683403E-2"/>
      <name val="Calibri"/>
      <family val="2"/>
      <scheme val="minor"/>
    </font>
    <font>
      <u/>
      <sz val="8"/>
      <name val="Arial"/>
      <family val="2"/>
      <charset val="186"/>
    </font>
    <font>
      <b/>
      <sz val="11"/>
      <name val="Calibri"/>
      <family val="2"/>
      <charset val="186"/>
      <scheme val="minor"/>
    </font>
    <font>
      <b/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charset val="186"/>
      <scheme val="minor"/>
    </font>
    <font>
      <b/>
      <sz val="8"/>
      <name val="Calibri"/>
      <family val="2"/>
      <scheme val="minor"/>
    </font>
    <font>
      <b/>
      <i/>
      <u/>
      <sz val="8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u/>
      <sz val="10"/>
      <name val="Arial"/>
      <family val="2"/>
      <charset val="186"/>
    </font>
    <font>
      <i/>
      <sz val="10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i/>
      <sz val="8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i/>
      <sz val="8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6" fillId="0" borderId="0"/>
    <xf numFmtId="0" fontId="20" fillId="0" borderId="0"/>
    <xf numFmtId="0" fontId="22" fillId="0" borderId="0"/>
    <xf numFmtId="0" fontId="27" fillId="3" borderId="30" applyNumberFormat="0" applyAlignment="0" applyProtection="0"/>
    <xf numFmtId="0" fontId="1" fillId="0" borderId="0"/>
  </cellStyleXfs>
  <cellXfs count="8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2" fontId="2" fillId="0" borderId="6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0" fontId="2" fillId="0" borderId="0" xfId="0" applyFont="1" applyBorder="1"/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/>
    <xf numFmtId="2" fontId="2" fillId="0" borderId="2" xfId="0" applyNumberFormat="1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2" fontId="0" fillId="0" borderId="0" xfId="0" applyNumberForma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10" fillId="0" borderId="0" xfId="2" applyFont="1" applyAlignment="1">
      <alignment horizontal="center" vertical="center"/>
    </xf>
    <xf numFmtId="0" fontId="8" fillId="0" borderId="0" xfId="2" applyFont="1" applyAlignment="1">
      <alignment horizontal="right"/>
    </xf>
    <xf numFmtId="0" fontId="8" fillId="0" borderId="0" xfId="1" applyFont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right" vertical="center"/>
    </xf>
    <xf numFmtId="0" fontId="8" fillId="0" borderId="0" xfId="2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/>
    <xf numFmtId="0" fontId="13" fillId="0" borderId="0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center" vertical="center"/>
    </xf>
    <xf numFmtId="1" fontId="12" fillId="0" borderId="1" xfId="1" applyNumberFormat="1" applyFont="1" applyFill="1" applyBorder="1" applyAlignment="1">
      <alignment horizontal="center" vertical="center"/>
    </xf>
    <xf numFmtId="0" fontId="8" fillId="0" borderId="0" xfId="1" applyFont="1" applyBorder="1" applyAlignment="1"/>
    <xf numFmtId="0" fontId="2" fillId="0" borderId="0" xfId="0" applyFont="1" applyBorder="1" applyAlignment="1">
      <alignment horizontal="center"/>
    </xf>
    <xf numFmtId="0" fontId="10" fillId="0" borderId="18" xfId="1" applyFont="1" applyFill="1" applyBorder="1" applyAlignment="1">
      <alignment horizontal="left" vertical="center"/>
    </xf>
    <xf numFmtId="0" fontId="10" fillId="0" borderId="17" xfId="1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vertical="center"/>
    </xf>
    <xf numFmtId="0" fontId="10" fillId="0" borderId="17" xfId="1" applyFont="1" applyBorder="1" applyAlignment="1">
      <alignment vertical="center"/>
    </xf>
    <xf numFmtId="4" fontId="10" fillId="0" borderId="1" xfId="1" applyNumberFormat="1" applyFont="1" applyFill="1" applyBorder="1" applyAlignment="1">
      <alignment horizontal="center"/>
    </xf>
    <xf numFmtId="3" fontId="10" fillId="0" borderId="0" xfId="1" applyNumberFormat="1" applyFont="1" applyBorder="1" applyAlignment="1"/>
    <xf numFmtId="3" fontId="10" fillId="0" borderId="0" xfId="1" applyNumberFormat="1" applyFont="1" applyFill="1" applyBorder="1" applyAlignment="1">
      <alignment horizontal="center"/>
    </xf>
    <xf numFmtId="0" fontId="10" fillId="0" borderId="18" xfId="1" applyFont="1" applyBorder="1" applyAlignment="1">
      <alignment horizontal="center"/>
    </xf>
    <xf numFmtId="1" fontId="10" fillId="0" borderId="1" xfId="1" applyNumberFormat="1" applyFont="1" applyFill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18" xfId="1" applyFont="1" applyFill="1" applyBorder="1" applyAlignment="1">
      <alignment horizontal="left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/>
    </xf>
    <xf numFmtId="0" fontId="8" fillId="0" borderId="17" xfId="1" applyFont="1" applyBorder="1" applyAlignment="1">
      <alignment vertical="center"/>
    </xf>
    <xf numFmtId="4" fontId="8" fillId="0" borderId="1" xfId="1" applyNumberFormat="1" applyFont="1" applyFill="1" applyBorder="1" applyAlignment="1">
      <alignment horizontal="right"/>
    </xf>
    <xf numFmtId="166" fontId="10" fillId="0" borderId="0" xfId="1" applyNumberFormat="1" applyFont="1" applyBorder="1" applyAlignment="1"/>
    <xf numFmtId="3" fontId="8" fillId="0" borderId="0" xfId="1" applyNumberFormat="1" applyFont="1" applyBorder="1"/>
    <xf numFmtId="0" fontId="8" fillId="0" borderId="0" xfId="1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8" fillId="0" borderId="0" xfId="1" applyFont="1" applyFill="1" applyAlignment="1">
      <alignment horizontal="center"/>
    </xf>
    <xf numFmtId="3" fontId="8" fillId="0" borderId="0" xfId="1" applyNumberFormat="1" applyFont="1"/>
    <xf numFmtId="166" fontId="8" fillId="0" borderId="0" xfId="1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2" fontId="2" fillId="0" borderId="1" xfId="0" applyNumberFormat="1" applyFont="1" applyBorder="1"/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8" fillId="0" borderId="0" xfId="1" applyFont="1" applyFill="1"/>
    <xf numFmtId="166" fontId="8" fillId="0" borderId="0" xfId="1" applyNumberFormat="1" applyFont="1" applyFill="1" applyAlignment="1">
      <alignment horizontal="center"/>
    </xf>
    <xf numFmtId="0" fontId="2" fillId="0" borderId="8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0" fontId="8" fillId="0" borderId="0" xfId="2" applyFont="1" applyBorder="1"/>
    <xf numFmtId="0" fontId="8" fillId="0" borderId="1" xfId="2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/>
    </xf>
    <xf numFmtId="1" fontId="12" fillId="0" borderId="1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vertical="center"/>
    </xf>
    <xf numFmtId="0" fontId="5" fillId="0" borderId="3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 vertical="center"/>
    </xf>
    <xf numFmtId="0" fontId="8" fillId="0" borderId="0" xfId="2" applyFont="1" applyFill="1" applyBorder="1"/>
    <xf numFmtId="0" fontId="5" fillId="0" borderId="2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164" fontId="3" fillId="0" borderId="1" xfId="2" applyNumberFormat="1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/>
    <xf numFmtId="0" fontId="3" fillId="0" borderId="3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164" fontId="3" fillId="0" borderId="2" xfId="2" applyNumberFormat="1" applyFont="1" applyFill="1" applyBorder="1" applyAlignment="1">
      <alignment horizontal="center"/>
    </xf>
    <xf numFmtId="164" fontId="3" fillId="0" borderId="1" xfId="2" applyNumberFormat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/>
    </xf>
    <xf numFmtId="0" fontId="5" fillId="0" borderId="8" xfId="2" applyFont="1" applyFill="1" applyBorder="1" applyAlignment="1">
      <alignment horizontal="center"/>
    </xf>
    <xf numFmtId="0" fontId="3" fillId="0" borderId="8" xfId="2" applyFont="1" applyFill="1" applyBorder="1" applyAlignment="1">
      <alignment horizontal="left" vertical="center"/>
    </xf>
    <xf numFmtId="1" fontId="3" fillId="0" borderId="1" xfId="2" applyNumberFormat="1" applyFont="1" applyFill="1" applyBorder="1"/>
    <xf numFmtId="0" fontId="3" fillId="0" borderId="4" xfId="2" applyFont="1" applyFill="1" applyBorder="1" applyAlignment="1">
      <alignment horizontal="left" vertical="center"/>
    </xf>
    <xf numFmtId="0" fontId="5" fillId="0" borderId="4" xfId="2" applyFont="1" applyFill="1" applyBorder="1"/>
    <xf numFmtId="0" fontId="3" fillId="0" borderId="2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/>
    </xf>
    <xf numFmtId="0" fontId="17" fillId="0" borderId="2" xfId="2" applyFont="1" applyFill="1" applyBorder="1" applyAlignment="1">
      <alignment horizontal="right" vertical="center"/>
    </xf>
    <xf numFmtId="0" fontId="14" fillId="0" borderId="2" xfId="2" applyFont="1" applyFill="1" applyBorder="1" applyAlignment="1">
      <alignment horizontal="right" vertical="center"/>
    </xf>
    <xf numFmtId="0" fontId="3" fillId="0" borderId="4" xfId="2" applyFont="1" applyFill="1" applyBorder="1"/>
    <xf numFmtId="0" fontId="5" fillId="0" borderId="7" xfId="2" applyFont="1" applyFill="1" applyBorder="1" applyAlignment="1">
      <alignment horizontal="center"/>
    </xf>
    <xf numFmtId="0" fontId="14" fillId="0" borderId="2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vertical="top"/>
    </xf>
    <xf numFmtId="3" fontId="8" fillId="0" borderId="0" xfId="2" applyNumberFormat="1" applyFont="1" applyFill="1" applyBorder="1"/>
    <xf numFmtId="164" fontId="8" fillId="0" borderId="0" xfId="2" applyNumberFormat="1" applyFont="1" applyFill="1" applyBorder="1"/>
    <xf numFmtId="164" fontId="8" fillId="0" borderId="0" xfId="2" applyNumberFormat="1" applyFont="1" applyFill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0" fontId="10" fillId="0" borderId="18" xfId="2" applyFont="1" applyFill="1" applyBorder="1" applyAlignment="1">
      <alignment vertical="center"/>
    </xf>
    <xf numFmtId="0" fontId="10" fillId="0" borderId="17" xfId="2" applyFont="1" applyFill="1" applyBorder="1" applyAlignment="1">
      <alignment vertical="center"/>
    </xf>
    <xf numFmtId="0" fontId="10" fillId="0" borderId="17" xfId="2" applyFont="1" applyBorder="1" applyAlignment="1">
      <alignment vertical="center"/>
    </xf>
    <xf numFmtId="0" fontId="10" fillId="0" borderId="21" xfId="2" applyFont="1" applyBorder="1" applyAlignment="1">
      <alignment vertical="center"/>
    </xf>
    <xf numFmtId="166" fontId="10" fillId="0" borderId="1" xfId="2" applyNumberFormat="1" applyFont="1" applyFill="1" applyBorder="1" applyAlignment="1">
      <alignment horizontal="center"/>
    </xf>
    <xf numFmtId="3" fontId="10" fillId="0" borderId="1" xfId="2" applyNumberFormat="1" applyFont="1" applyFill="1" applyBorder="1" applyAlignment="1">
      <alignment horizontal="right"/>
    </xf>
    <xf numFmtId="3" fontId="10" fillId="0" borderId="0" xfId="2" applyNumberFormat="1" applyFont="1" applyBorder="1" applyAlignment="1"/>
    <xf numFmtId="3" fontId="10" fillId="0" borderId="0" xfId="2" applyNumberFormat="1" applyFont="1" applyFill="1" applyBorder="1" applyAlignment="1">
      <alignment horizontal="center"/>
    </xf>
    <xf numFmtId="0" fontId="10" fillId="0" borderId="18" xfId="2" applyFont="1" applyBorder="1" applyAlignment="1">
      <alignment horizontal="center"/>
    </xf>
    <xf numFmtId="1" fontId="10" fillId="0" borderId="1" xfId="2" applyNumberFormat="1" applyFont="1" applyFill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18" xfId="2" applyFont="1" applyFill="1" applyBorder="1" applyAlignment="1">
      <alignment vertical="center"/>
    </xf>
    <xf numFmtId="0" fontId="8" fillId="0" borderId="17" xfId="2" applyFont="1" applyFill="1" applyBorder="1" applyAlignment="1">
      <alignment vertical="center"/>
    </xf>
    <xf numFmtId="0" fontId="8" fillId="0" borderId="17" xfId="2" applyFont="1" applyBorder="1" applyAlignment="1">
      <alignment vertical="center"/>
    </xf>
    <xf numFmtId="0" fontId="8" fillId="0" borderId="21" xfId="2" applyFont="1" applyBorder="1" applyAlignment="1">
      <alignment vertical="center"/>
    </xf>
    <xf numFmtId="166" fontId="8" fillId="0" borderId="1" xfId="2" applyNumberFormat="1" applyFont="1" applyBorder="1" applyAlignment="1">
      <alignment vertical="center"/>
    </xf>
    <xf numFmtId="3" fontId="8" fillId="0" borderId="1" xfId="2" applyNumberFormat="1" applyFont="1" applyBorder="1"/>
    <xf numFmtId="166" fontId="10" fillId="0" borderId="0" xfId="2" applyNumberFormat="1" applyFont="1" applyBorder="1" applyAlignment="1"/>
    <xf numFmtId="3" fontId="8" fillId="0" borderId="0" xfId="2" applyNumberFormat="1" applyFont="1" applyBorder="1"/>
    <xf numFmtId="165" fontId="8" fillId="0" borderId="0" xfId="2" applyNumberFormat="1" applyFont="1" applyFill="1" applyBorder="1" applyAlignment="1">
      <alignment horizontal="center" vertical="center"/>
    </xf>
    <xf numFmtId="166" fontId="8" fillId="0" borderId="1" xfId="2" applyNumberFormat="1" applyFont="1" applyFill="1" applyBorder="1" applyAlignment="1">
      <alignment horizontal="right"/>
    </xf>
    <xf numFmtId="3" fontId="8" fillId="0" borderId="1" xfId="2" applyNumberFormat="1" applyFont="1" applyFill="1" applyBorder="1" applyAlignment="1">
      <alignment horizontal="right"/>
    </xf>
    <xf numFmtId="0" fontId="8" fillId="0" borderId="0" xfId="2" applyFont="1" applyAlignment="1">
      <alignment horizontal="center"/>
    </xf>
    <xf numFmtId="164" fontId="8" fillId="0" borderId="0" xfId="2" applyNumberFormat="1" applyFont="1" applyAlignment="1">
      <alignment horizontal="center"/>
    </xf>
    <xf numFmtId="0" fontId="8" fillId="0" borderId="0" xfId="2" applyFont="1" applyFill="1" applyAlignment="1">
      <alignment horizontal="center"/>
    </xf>
    <xf numFmtId="0" fontId="8" fillId="0" borderId="0" xfId="2" applyFont="1"/>
    <xf numFmtId="164" fontId="8" fillId="0" borderId="1" xfId="2" applyNumberFormat="1" applyFont="1" applyFill="1" applyBorder="1" applyAlignment="1">
      <alignment horizontal="right"/>
    </xf>
    <xf numFmtId="166" fontId="8" fillId="0" borderId="0" xfId="2" applyNumberFormat="1" applyFont="1"/>
    <xf numFmtId="3" fontId="8" fillId="0" borderId="0" xfId="2" applyNumberFormat="1" applyFont="1"/>
    <xf numFmtId="166" fontId="8" fillId="0" borderId="0" xfId="2" applyNumberFormat="1" applyFont="1" applyAlignment="1">
      <alignment horizontal="center"/>
    </xf>
    <xf numFmtId="0" fontId="4" fillId="0" borderId="3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left" vertical="center"/>
    </xf>
    <xf numFmtId="0" fontId="4" fillId="0" borderId="8" xfId="2" applyFont="1" applyFill="1" applyBorder="1"/>
    <xf numFmtId="0" fontId="4" fillId="0" borderId="8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left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/>
    <xf numFmtId="0" fontId="4" fillId="0" borderId="1" xfId="2" applyNumberFormat="1" applyFont="1" applyFill="1" applyBorder="1" applyAlignment="1">
      <alignment horizontal="center" vertical="center"/>
    </xf>
    <xf numFmtId="0" fontId="4" fillId="0" borderId="4" xfId="2" applyFont="1" applyFill="1" applyBorder="1"/>
    <xf numFmtId="0" fontId="4" fillId="0" borderId="1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4" fillId="0" borderId="10" xfId="2" applyFont="1" applyFill="1" applyBorder="1"/>
    <xf numFmtId="0" fontId="10" fillId="0" borderId="19" xfId="2" applyFont="1" applyFill="1" applyBorder="1" applyAlignment="1">
      <alignment vertical="center"/>
    </xf>
    <xf numFmtId="0" fontId="10" fillId="0" borderId="20" xfId="2" applyFont="1" applyFill="1" applyBorder="1" applyAlignment="1">
      <alignment vertical="center"/>
    </xf>
    <xf numFmtId="0" fontId="10" fillId="0" borderId="20" xfId="2" applyFont="1" applyBorder="1" applyAlignment="1">
      <alignment vertical="center"/>
    </xf>
    <xf numFmtId="0" fontId="10" fillId="0" borderId="25" xfId="2" applyFont="1" applyBorder="1" applyAlignment="1">
      <alignment vertical="center"/>
    </xf>
    <xf numFmtId="166" fontId="10" fillId="0" borderId="2" xfId="2" applyNumberFormat="1" applyFont="1" applyFill="1" applyBorder="1" applyAlignment="1">
      <alignment horizontal="center"/>
    </xf>
    <xf numFmtId="3" fontId="10" fillId="0" borderId="2" xfId="2" applyNumberFormat="1" applyFont="1" applyFill="1" applyBorder="1" applyAlignment="1">
      <alignment horizontal="right"/>
    </xf>
    <xf numFmtId="0" fontId="10" fillId="0" borderId="19" xfId="2" applyFont="1" applyBorder="1" applyAlignment="1">
      <alignment horizontal="center"/>
    </xf>
    <xf numFmtId="1" fontId="10" fillId="0" borderId="2" xfId="2" applyNumberFormat="1" applyFont="1" applyFill="1" applyBorder="1" applyAlignment="1">
      <alignment horizontal="center"/>
    </xf>
    <xf numFmtId="1" fontId="8" fillId="0" borderId="1" xfId="2" applyNumberFormat="1" applyFont="1" applyFill="1" applyBorder="1" applyAlignment="1">
      <alignment horizontal="right"/>
    </xf>
    <xf numFmtId="0" fontId="8" fillId="0" borderId="0" xfId="2" applyFont="1" applyFill="1" applyBorder="1" applyAlignment="1">
      <alignment vertical="center"/>
    </xf>
    <xf numFmtId="164" fontId="8" fillId="0" borderId="0" xfId="2" applyNumberFormat="1" applyFont="1" applyFill="1" applyBorder="1" applyAlignment="1">
      <alignment horizontal="right"/>
    </xf>
    <xf numFmtId="1" fontId="8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center"/>
    </xf>
    <xf numFmtId="164" fontId="4" fillId="0" borderId="1" xfId="2" applyNumberFormat="1" applyFont="1" applyFill="1" applyBorder="1" applyAlignment="1">
      <alignment horizontal="center"/>
    </xf>
    <xf numFmtId="1" fontId="4" fillId="0" borderId="1" xfId="2" applyNumberFormat="1" applyFont="1" applyFill="1" applyBorder="1"/>
    <xf numFmtId="0" fontId="4" fillId="0" borderId="2" xfId="2" applyFont="1" applyFill="1" applyBorder="1" applyAlignment="1">
      <alignment horizontal="center"/>
    </xf>
    <xf numFmtId="0" fontId="12" fillId="0" borderId="3" xfId="2" applyFont="1" applyFill="1" applyBorder="1" applyAlignment="1">
      <alignment horizontal="center" vertical="center"/>
    </xf>
    <xf numFmtId="1" fontId="12" fillId="0" borderId="3" xfId="2" applyNumberFormat="1" applyFont="1" applyFill="1" applyBorder="1" applyAlignment="1">
      <alignment horizontal="center" vertical="center"/>
    </xf>
    <xf numFmtId="0" fontId="4" fillId="0" borderId="2" xfId="2" applyFont="1" applyFill="1" applyBorder="1"/>
    <xf numFmtId="3" fontId="8" fillId="0" borderId="0" xfId="2" applyNumberFormat="1" applyFont="1" applyFill="1" applyBorder="1" applyAlignment="1">
      <alignment horizontal="right"/>
    </xf>
    <xf numFmtId="3" fontId="10" fillId="0" borderId="1" xfId="2" applyNumberFormat="1" applyFont="1" applyFill="1" applyBorder="1" applyAlignment="1">
      <alignment horizontal="center"/>
    </xf>
    <xf numFmtId="1" fontId="8" fillId="0" borderId="0" xfId="2" applyNumberFormat="1" applyFont="1" applyFill="1" applyBorder="1" applyAlignment="1">
      <alignment vertical="center"/>
    </xf>
    <xf numFmtId="0" fontId="10" fillId="0" borderId="1" xfId="2" applyFont="1" applyFill="1" applyBorder="1" applyAlignment="1">
      <alignment horizontal="center" vertical="center"/>
    </xf>
    <xf numFmtId="1" fontId="10" fillId="0" borderId="1" xfId="2" applyNumberFormat="1" applyFont="1" applyFill="1" applyBorder="1" applyAlignment="1">
      <alignment horizontal="center" vertical="center"/>
    </xf>
    <xf numFmtId="166" fontId="8" fillId="0" borderId="1" xfId="2" applyNumberFormat="1" applyFont="1" applyFill="1" applyBorder="1" applyAlignment="1">
      <alignment horizontal="center"/>
    </xf>
    <xf numFmtId="3" fontId="8" fillId="0" borderId="1" xfId="2" applyNumberFormat="1" applyFont="1" applyFill="1" applyBorder="1" applyAlignment="1">
      <alignment horizontal="center"/>
    </xf>
    <xf numFmtId="166" fontId="8" fillId="0" borderId="0" xfId="2" applyNumberFormat="1" applyFont="1" applyFill="1" applyBorder="1" applyAlignment="1">
      <alignment horizontal="center"/>
    </xf>
    <xf numFmtId="3" fontId="8" fillId="0" borderId="0" xfId="2" applyNumberFormat="1" applyFont="1" applyFill="1" applyBorder="1" applyAlignment="1">
      <alignment horizontal="center"/>
    </xf>
    <xf numFmtId="0" fontId="4" fillId="0" borderId="0" xfId="2" applyFont="1" applyFill="1" applyBorder="1"/>
    <xf numFmtId="0" fontId="4" fillId="0" borderId="0" xfId="2" applyFont="1" applyFill="1" applyBorder="1" applyAlignment="1">
      <alignment horizontal="center" vertical="center"/>
    </xf>
    <xf numFmtId="166" fontId="4" fillId="0" borderId="0" xfId="2" applyNumberFormat="1" applyFont="1" applyFill="1" applyBorder="1"/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horizontal="center"/>
    </xf>
    <xf numFmtId="164" fontId="4" fillId="0" borderId="8" xfId="2" applyNumberFormat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left"/>
    </xf>
    <xf numFmtId="164" fontId="4" fillId="0" borderId="2" xfId="2" applyNumberFormat="1" applyFont="1" applyFill="1" applyBorder="1" applyAlignment="1">
      <alignment horizontal="center" vertical="center"/>
    </xf>
    <xf numFmtId="0" fontId="2" fillId="0" borderId="2" xfId="2" applyFont="1" applyFill="1" applyBorder="1"/>
    <xf numFmtId="0" fontId="2" fillId="0" borderId="2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left"/>
    </xf>
    <xf numFmtId="0" fontId="2" fillId="0" borderId="1" xfId="2" applyFont="1" applyFill="1" applyBorder="1"/>
    <xf numFmtId="0" fontId="2" fillId="0" borderId="1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3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vertical="center" wrapText="1"/>
    </xf>
    <xf numFmtId="0" fontId="4" fillId="0" borderId="5" xfId="3" applyFont="1" applyFill="1" applyBorder="1" applyAlignment="1">
      <alignment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24" xfId="3" applyFont="1" applyFill="1" applyBorder="1" applyAlignment="1">
      <alignment vertical="center" wrapText="1"/>
    </xf>
    <xf numFmtId="0" fontId="4" fillId="0" borderId="4" xfId="3" applyFont="1" applyFill="1" applyBorder="1" applyAlignment="1">
      <alignment vertical="center" wrapText="1"/>
    </xf>
    <xf numFmtId="0" fontId="4" fillId="0" borderId="1" xfId="3" applyFont="1" applyFill="1" applyBorder="1" applyAlignment="1">
      <alignment horizontal="center" vertical="center" wrapText="1"/>
    </xf>
    <xf numFmtId="164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righ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164" fontId="8" fillId="0" borderId="0" xfId="2" applyNumberFormat="1" applyFont="1" applyBorder="1" applyAlignment="1">
      <alignment horizontal="center"/>
    </xf>
    <xf numFmtId="3" fontId="8" fillId="0" borderId="0" xfId="2" applyNumberFormat="1" applyFont="1" applyBorder="1" applyAlignment="1">
      <alignment vertical="center"/>
    </xf>
    <xf numFmtId="0" fontId="5" fillId="0" borderId="2" xfId="2" applyFont="1" applyFill="1" applyBorder="1"/>
    <xf numFmtId="0" fontId="4" fillId="0" borderId="3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1" fontId="4" fillId="0" borderId="1" xfId="2" applyNumberFormat="1" applyFont="1" applyFill="1" applyBorder="1" applyAlignment="1">
      <alignment horizontal="right"/>
    </xf>
    <xf numFmtId="0" fontId="4" fillId="0" borderId="25" xfId="3" applyFont="1" applyFill="1" applyBorder="1" applyAlignment="1">
      <alignment horizontal="right" vertical="center" wrapText="1"/>
    </xf>
    <xf numFmtId="0" fontId="21" fillId="0" borderId="2" xfId="3" applyFont="1" applyFill="1" applyBorder="1" applyAlignment="1">
      <alignment horizontal="right" vertical="center" wrapText="1"/>
    </xf>
    <xf numFmtId="164" fontId="8" fillId="0" borderId="1" xfId="2" applyNumberFormat="1" applyFont="1" applyFill="1" applyBorder="1"/>
    <xf numFmtId="164" fontId="8" fillId="0" borderId="1" xfId="2" applyNumberFormat="1" applyFont="1" applyBorder="1" applyAlignment="1">
      <alignment horizontal="center"/>
    </xf>
    <xf numFmtId="3" fontId="4" fillId="0" borderId="1" xfId="2" applyNumberFormat="1" applyFont="1" applyBorder="1" applyAlignment="1">
      <alignment vertical="center"/>
    </xf>
    <xf numFmtId="3" fontId="4" fillId="0" borderId="1" xfId="2" applyNumberFormat="1" applyFont="1" applyBorder="1"/>
    <xf numFmtId="164" fontId="4" fillId="0" borderId="21" xfId="2" applyNumberFormat="1" applyFont="1" applyFill="1" applyBorder="1"/>
    <xf numFmtId="164" fontId="4" fillId="0" borderId="1" xfId="2" applyNumberFormat="1" applyFont="1" applyBorder="1" applyAlignment="1">
      <alignment horizontal="center"/>
    </xf>
    <xf numFmtId="164" fontId="4" fillId="0" borderId="1" xfId="2" applyNumberFormat="1" applyFont="1" applyFill="1" applyBorder="1"/>
    <xf numFmtId="1" fontId="4" fillId="0" borderId="1" xfId="2" applyNumberFormat="1" applyFont="1" applyBorder="1" applyAlignment="1">
      <alignment horizontal="center"/>
    </xf>
    <xf numFmtId="1" fontId="4" fillId="0" borderId="1" xfId="2" applyNumberFormat="1" applyFont="1" applyFill="1" applyBorder="1" applyAlignment="1">
      <alignment horizontal="center"/>
    </xf>
    <xf numFmtId="166" fontId="4" fillId="0" borderId="1" xfId="2" applyNumberFormat="1" applyFont="1" applyBorder="1" applyAlignment="1">
      <alignment horizontal="center"/>
    </xf>
    <xf numFmtId="166" fontId="4" fillId="0" borderId="1" xfId="2" applyNumberFormat="1" applyFont="1" applyBorder="1" applyAlignment="1">
      <alignment horizontal="center" vertical="center"/>
    </xf>
    <xf numFmtId="4" fontId="10" fillId="0" borderId="1" xfId="2" applyNumberFormat="1" applyFont="1" applyFill="1" applyBorder="1" applyAlignment="1">
      <alignment horizontal="center"/>
    </xf>
    <xf numFmtId="2" fontId="8" fillId="0" borderId="1" xfId="2" applyNumberFormat="1" applyFont="1" applyFill="1" applyBorder="1" applyAlignment="1">
      <alignment horizontal="right"/>
    </xf>
    <xf numFmtId="1" fontId="4" fillId="0" borderId="1" xfId="2" applyNumberFormat="1" applyFont="1" applyBorder="1" applyAlignment="1">
      <alignment horizontal="center" wrapText="1"/>
    </xf>
    <xf numFmtId="1" fontId="4" fillId="0" borderId="1" xfId="2" applyNumberFormat="1" applyFont="1" applyFill="1" applyBorder="1" applyAlignment="1">
      <alignment horizontal="center" wrapText="1"/>
    </xf>
    <xf numFmtId="164" fontId="4" fillId="0" borderId="1" xfId="2" applyNumberFormat="1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wrapText="1"/>
    </xf>
    <xf numFmtId="2" fontId="4" fillId="0" borderId="1" xfId="2" applyNumberFormat="1" applyFont="1" applyBorder="1" applyAlignment="1">
      <alignment horizontal="center"/>
    </xf>
    <xf numFmtId="164" fontId="4" fillId="0" borderId="1" xfId="2" applyNumberFormat="1" applyFont="1" applyBorder="1" applyAlignment="1">
      <alignment horizontal="center" wrapText="1"/>
    </xf>
    <xf numFmtId="1" fontId="4" fillId="0" borderId="1" xfId="2" applyNumberFormat="1" applyFont="1" applyBorder="1" applyAlignment="1">
      <alignment horizontal="center" vertical="center"/>
    </xf>
    <xf numFmtId="1" fontId="4" fillId="0" borderId="1" xfId="2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right"/>
    </xf>
    <xf numFmtId="0" fontId="2" fillId="0" borderId="1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4" fillId="0" borderId="19" xfId="1" applyFont="1" applyFill="1" applyBorder="1" applyAlignment="1">
      <alignment horizontal="center" vertical="center"/>
    </xf>
    <xf numFmtId="3" fontId="10" fillId="0" borderId="1" xfId="1" applyNumberFormat="1" applyFont="1" applyFill="1" applyBorder="1" applyAlignment="1">
      <alignment horizontal="center"/>
    </xf>
    <xf numFmtId="1" fontId="12" fillId="0" borderId="3" xfId="1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164" fontId="4" fillId="0" borderId="21" xfId="2" applyNumberFormat="1" applyFont="1" applyBorder="1" applyAlignment="1">
      <alignment horizontal="center"/>
    </xf>
    <xf numFmtId="0" fontId="4" fillId="0" borderId="3" xfId="2" applyFont="1" applyFill="1" applyBorder="1"/>
    <xf numFmtId="0" fontId="4" fillId="0" borderId="5" xfId="2" applyFont="1" applyFill="1" applyBorder="1"/>
    <xf numFmtId="0" fontId="4" fillId="0" borderId="25" xfId="2" applyFont="1" applyFill="1" applyBorder="1"/>
    <xf numFmtId="0" fontId="4" fillId="0" borderId="3" xfId="2" applyNumberFormat="1" applyFont="1" applyFill="1" applyBorder="1" applyAlignment="1">
      <alignment horizontal="center" vertical="center"/>
    </xf>
    <xf numFmtId="0" fontId="4" fillId="0" borderId="2" xfId="2" applyNumberFormat="1" applyFont="1" applyFill="1" applyBorder="1" applyAlignment="1">
      <alignment horizontal="center" vertical="center"/>
    </xf>
    <xf numFmtId="166" fontId="4" fillId="0" borderId="21" xfId="2" applyNumberFormat="1" applyFont="1" applyBorder="1" applyAlignment="1">
      <alignment horizontal="center"/>
    </xf>
    <xf numFmtId="0" fontId="4" fillId="0" borderId="24" xfId="2" applyFont="1" applyFill="1" applyBorder="1"/>
    <xf numFmtId="0" fontId="21" fillId="0" borderId="25" xfId="2" applyFont="1" applyFill="1" applyBorder="1" applyAlignment="1">
      <alignment horizontal="right"/>
    </xf>
    <xf numFmtId="3" fontId="4" fillId="0" borderId="1" xfId="2" applyNumberFormat="1" applyFont="1" applyBorder="1" applyAlignment="1">
      <alignment horizontal="right"/>
    </xf>
    <xf numFmtId="1" fontId="8" fillId="0" borderId="1" xfId="2" applyNumberFormat="1" applyFont="1" applyBorder="1" applyAlignment="1">
      <alignment horizontal="center"/>
    </xf>
    <xf numFmtId="1" fontId="8" fillId="0" borderId="1" xfId="2" applyNumberFormat="1" applyFont="1" applyFill="1" applyBorder="1" applyAlignment="1">
      <alignment horizontal="center"/>
    </xf>
    <xf numFmtId="1" fontId="8" fillId="0" borderId="1" xfId="2" applyNumberFormat="1" applyFont="1" applyBorder="1" applyAlignment="1">
      <alignment horizontal="center" vertical="center"/>
    </xf>
    <xf numFmtId="1" fontId="8" fillId="0" borderId="1" xfId="2" applyNumberFormat="1" applyFont="1" applyFill="1" applyBorder="1" applyAlignment="1">
      <alignment horizontal="center" vertical="center"/>
    </xf>
    <xf numFmtId="2" fontId="0" fillId="0" borderId="1" xfId="0" applyNumberFormat="1" applyBorder="1"/>
    <xf numFmtId="0" fontId="2" fillId="0" borderId="9" xfId="0" applyFont="1" applyBorder="1" applyAlignment="1">
      <alignment horizontal="left" vertical="center"/>
    </xf>
    <xf numFmtId="164" fontId="4" fillId="0" borderId="1" xfId="2" applyNumberFormat="1" applyFont="1" applyFill="1" applyBorder="1" applyAlignment="1">
      <alignment wrapText="1"/>
    </xf>
    <xf numFmtId="0" fontId="2" fillId="0" borderId="5" xfId="1" applyFont="1" applyFill="1" applyBorder="1"/>
    <xf numFmtId="0" fontId="2" fillId="0" borderId="25" xfId="1" applyFont="1" applyFill="1" applyBorder="1"/>
    <xf numFmtId="0" fontId="2" fillId="0" borderId="1" xfId="1" applyFont="1" applyBorder="1" applyAlignment="1">
      <alignment horizontal="left"/>
    </xf>
    <xf numFmtId="0" fontId="2" fillId="0" borderId="1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18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10" xfId="1" applyFont="1" applyBorder="1" applyAlignment="1">
      <alignment horizontal="center"/>
    </xf>
    <xf numFmtId="49" fontId="2" fillId="0" borderId="10" xfId="1" applyNumberFormat="1" applyFont="1" applyFill="1" applyBorder="1" applyAlignment="1">
      <alignment horizontal="center"/>
    </xf>
    <xf numFmtId="2" fontId="2" fillId="0" borderId="21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0" fontId="2" fillId="0" borderId="16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/>
    </xf>
    <xf numFmtId="0" fontId="2" fillId="0" borderId="19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49" fontId="2" fillId="0" borderId="6" xfId="1" applyNumberFormat="1" applyFont="1" applyFill="1" applyBorder="1" applyAlignment="1">
      <alignment horizontal="center"/>
    </xf>
    <xf numFmtId="49" fontId="2" fillId="0" borderId="8" xfId="1" applyNumberFormat="1" applyFont="1" applyFill="1" applyBorder="1" applyAlignment="1">
      <alignment horizontal="center"/>
    </xf>
    <xf numFmtId="49" fontId="2" fillId="0" borderId="7" xfId="1" applyNumberFormat="1" applyFont="1" applyFill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1" applyNumberFormat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1" fontId="2" fillId="0" borderId="1" xfId="1" applyNumberFormat="1" applyFont="1" applyFill="1" applyBorder="1" applyAlignment="1">
      <alignment horizontal="center"/>
    </xf>
    <xf numFmtId="0" fontId="2" fillId="0" borderId="4" xfId="1" applyFont="1" applyFill="1" applyBorder="1" applyAlignment="1">
      <alignment horizontal="left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wrapText="1"/>
    </xf>
    <xf numFmtId="0" fontId="2" fillId="0" borderId="6" xfId="1" applyFont="1" applyFill="1" applyBorder="1" applyAlignment="1">
      <alignment horizontal="center" wrapText="1"/>
    </xf>
    <xf numFmtId="0" fontId="2" fillId="0" borderId="8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" xfId="1" applyFont="1" applyFill="1" applyBorder="1"/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2" fontId="2" fillId="0" borderId="21" xfId="1" applyNumberFormat="1" applyFont="1" applyBorder="1" applyAlignment="1">
      <alignment horizontal="center"/>
    </xf>
    <xf numFmtId="0" fontId="2" fillId="0" borderId="2" xfId="1" applyFont="1" applyFill="1" applyBorder="1"/>
    <xf numFmtId="0" fontId="2" fillId="0" borderId="3" xfId="1" applyFont="1" applyFill="1" applyBorder="1"/>
    <xf numFmtId="0" fontId="3" fillId="0" borderId="2" xfId="1" applyFont="1" applyFill="1" applyBorder="1" applyAlignment="1">
      <alignment horizontal="left" wrapText="1"/>
    </xf>
    <xf numFmtId="49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2" fillId="0" borderId="8" xfId="1" applyFont="1" applyFill="1" applyBorder="1"/>
    <xf numFmtId="0" fontId="2" fillId="0" borderId="3" xfId="1" applyFont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14" fillId="0" borderId="4" xfId="1" applyFont="1" applyFill="1" applyBorder="1" applyAlignment="1">
      <alignment horizontal="right"/>
    </xf>
    <xf numFmtId="0" fontId="3" fillId="0" borderId="1" xfId="1" applyFont="1" applyFill="1" applyBorder="1" applyAlignment="1">
      <alignment horizontal="left"/>
    </xf>
    <xf numFmtId="0" fontId="24" fillId="0" borderId="1" xfId="1" applyFont="1" applyFill="1" applyBorder="1"/>
    <xf numFmtId="164" fontId="2" fillId="0" borderId="1" xfId="1" applyNumberFormat="1" applyFont="1" applyFill="1" applyBorder="1" applyAlignment="1">
      <alignment horizontal="center"/>
    </xf>
    <xf numFmtId="0" fontId="24" fillId="0" borderId="8" xfId="1" applyFont="1" applyFill="1" applyBorder="1"/>
    <xf numFmtId="0" fontId="24" fillId="0" borderId="3" xfId="1" applyFont="1" applyFill="1" applyBorder="1"/>
    <xf numFmtId="0" fontId="24" fillId="0" borderId="4" xfId="1" applyFont="1" applyFill="1" applyBorder="1"/>
    <xf numFmtId="0" fontId="24" fillId="0" borderId="2" xfId="1" applyFont="1" applyFill="1" applyBorder="1"/>
    <xf numFmtId="0" fontId="2" fillId="0" borderId="4" xfId="1" applyFont="1" applyBorder="1" applyAlignment="1">
      <alignment horizontal="center"/>
    </xf>
    <xf numFmtId="0" fontId="2" fillId="0" borderId="4" xfId="1" applyFont="1" applyFill="1" applyBorder="1"/>
    <xf numFmtId="0" fontId="2" fillId="0" borderId="1" xfId="1" applyFont="1" applyBorder="1" applyAlignment="1">
      <alignment horizontal="center" vertical="top"/>
    </xf>
    <xf numFmtId="0" fontId="8" fillId="0" borderId="2" xfId="2" applyFont="1" applyBorder="1"/>
    <xf numFmtId="0" fontId="2" fillId="0" borderId="1" xfId="1" applyFont="1" applyFill="1" applyBorder="1" applyAlignment="1">
      <alignment horizontal="center" wrapText="1"/>
    </xf>
    <xf numFmtId="0" fontId="3" fillId="0" borderId="6" xfId="1" applyFont="1" applyFill="1" applyBorder="1" applyAlignment="1">
      <alignment horizontal="left" wrapText="1"/>
    </xf>
    <xf numFmtId="164" fontId="2" fillId="0" borderId="1" xfId="2" applyNumberFormat="1" applyFont="1" applyFill="1" applyBorder="1" applyAlignment="1">
      <alignment horizontal="center"/>
    </xf>
    <xf numFmtId="0" fontId="3" fillId="0" borderId="1" xfId="2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1" fontId="3" fillId="0" borderId="1" xfId="2" applyNumberFormat="1" applyFont="1" applyFill="1" applyBorder="1" applyAlignment="1">
      <alignment horizontal="center"/>
    </xf>
    <xf numFmtId="1" fontId="3" fillId="0" borderId="1" xfId="2" applyNumberFormat="1" applyFont="1" applyFill="1" applyBorder="1" applyAlignment="1">
      <alignment horizontal="right"/>
    </xf>
    <xf numFmtId="1" fontId="3" fillId="0" borderId="1" xfId="2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1" fontId="18" fillId="0" borderId="1" xfId="2" applyNumberFormat="1" applyFont="1" applyFill="1" applyBorder="1"/>
    <xf numFmtId="0" fontId="2" fillId="0" borderId="1" xfId="2" applyFont="1" applyFill="1" applyBorder="1" applyAlignment="1">
      <alignment horizontal="center"/>
    </xf>
    <xf numFmtId="0" fontId="4" fillId="0" borderId="1" xfId="2" applyNumberFormat="1" applyFont="1" applyFill="1" applyBorder="1" applyAlignment="1">
      <alignment horizontal="right" vertical="center"/>
    </xf>
    <xf numFmtId="1" fontId="4" fillId="0" borderId="1" xfId="2" applyNumberFormat="1" applyFont="1" applyFill="1" applyBorder="1" applyAlignment="1">
      <alignment horizontal="right" vertical="center"/>
    </xf>
    <xf numFmtId="164" fontId="2" fillId="0" borderId="1" xfId="2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vertic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164" fontId="8" fillId="0" borderId="0" xfId="1" applyNumberFormat="1" applyFont="1" applyBorder="1" applyAlignment="1">
      <alignment horizontal="center"/>
    </xf>
    <xf numFmtId="164" fontId="8" fillId="0" borderId="26" xfId="1" applyNumberFormat="1" applyFont="1" applyBorder="1" applyAlignment="1">
      <alignment horizontal="center"/>
    </xf>
    <xf numFmtId="0" fontId="8" fillId="0" borderId="0" xfId="2" applyFont="1" applyFill="1"/>
    <xf numFmtId="0" fontId="8" fillId="0" borderId="26" xfId="2" applyFont="1" applyFill="1" applyBorder="1" applyAlignment="1"/>
    <xf numFmtId="3" fontId="8" fillId="0" borderId="0" xfId="1" applyNumberFormat="1" applyFont="1" applyBorder="1" applyAlignment="1">
      <alignment vertical="center"/>
    </xf>
    <xf numFmtId="0" fontId="8" fillId="0" borderId="0" xfId="1" applyFont="1" applyFill="1" applyBorder="1"/>
    <xf numFmtId="164" fontId="8" fillId="0" borderId="0" xfId="1" applyNumberFormat="1" applyFont="1" applyFill="1" applyBorder="1"/>
    <xf numFmtId="0" fontId="8" fillId="0" borderId="0" xfId="2" applyFont="1" applyFill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4" fontId="8" fillId="0" borderId="1" xfId="2" applyNumberFormat="1" applyFont="1" applyFill="1" applyBorder="1" applyAlignment="1">
      <alignment horizontal="right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5" xfId="1" applyFont="1" applyBorder="1" applyAlignment="1">
      <alignment vertical="center"/>
    </xf>
    <xf numFmtId="0" fontId="8" fillId="0" borderId="24" xfId="1" applyFont="1" applyBorder="1" applyAlignment="1">
      <alignment vertical="center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5" xfId="1" applyFont="1" applyBorder="1" applyAlignment="1">
      <alignment vertical="center"/>
    </xf>
    <xf numFmtId="0" fontId="8" fillId="0" borderId="2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19" xfId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21" xfId="0" applyNumberFormat="1" applyFont="1" applyFill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164" fontId="24" fillId="0" borderId="3" xfId="1" applyNumberFormat="1" applyFont="1" applyFill="1" applyBorder="1" applyAlignment="1">
      <alignment horizontal="center" vertical="center" wrapText="1"/>
    </xf>
    <xf numFmtId="2" fontId="2" fillId="0" borderId="2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2" fontId="2" fillId="0" borderId="21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2" fontId="2" fillId="0" borderId="2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8" fillId="0" borderId="18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10" fillId="0" borderId="17" xfId="2" applyFont="1" applyFill="1" applyBorder="1" applyAlignment="1">
      <alignment horizontal="center" vertical="center"/>
    </xf>
    <xf numFmtId="0" fontId="8" fillId="0" borderId="17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10" fillId="0" borderId="2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/>
    </xf>
    <xf numFmtId="0" fontId="24" fillId="0" borderId="3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/>
    </xf>
    <xf numFmtId="0" fontId="3" fillId="0" borderId="25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4" fillId="0" borderId="3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1" fontId="8" fillId="0" borderId="1" xfId="2" applyNumberFormat="1" applyFont="1" applyFill="1" applyBorder="1" applyAlignment="1">
      <alignment horizontal="center" vertical="center" wrapText="1"/>
    </xf>
    <xf numFmtId="1" fontId="8" fillId="0" borderId="1" xfId="2" applyNumberFormat="1" applyFont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vertical="center" wrapText="1"/>
    </xf>
    <xf numFmtId="0" fontId="4" fillId="0" borderId="10" xfId="3" applyFont="1" applyFill="1" applyBorder="1" applyAlignment="1">
      <alignment horizontal="left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vertical="center" wrapText="1"/>
    </xf>
    <xf numFmtId="0" fontId="4" fillId="0" borderId="5" xfId="2" applyFont="1" applyFill="1" applyBorder="1" applyAlignment="1">
      <alignment horizontal="left" vertical="center"/>
    </xf>
    <xf numFmtId="0" fontId="4" fillId="0" borderId="24" xfId="2" applyFont="1" applyFill="1" applyBorder="1" applyAlignment="1">
      <alignment horizontal="left" vertical="center"/>
    </xf>
    <xf numFmtId="0" fontId="21" fillId="0" borderId="25" xfId="2" applyFont="1" applyFill="1" applyBorder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20" xfId="0" applyFont="1" applyBorder="1"/>
    <xf numFmtId="14" fontId="2" fillId="0" borderId="0" xfId="0" applyNumberFormat="1" applyFont="1" applyBorder="1"/>
    <xf numFmtId="0" fontId="26" fillId="0" borderId="0" xfId="0" applyFont="1" applyFill="1"/>
    <xf numFmtId="0" fontId="28" fillId="0" borderId="34" xfId="0" applyFont="1" applyFill="1" applyBorder="1" applyAlignment="1">
      <alignment horizontal="center" vertical="center" textRotation="90" wrapText="1"/>
    </xf>
    <xf numFmtId="0" fontId="28" fillId="0" borderId="35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/>
    <xf numFmtId="0" fontId="30" fillId="0" borderId="17" xfId="0" applyFont="1" applyFill="1" applyBorder="1"/>
    <xf numFmtId="0" fontId="2" fillId="0" borderId="17" xfId="0" applyFont="1" applyFill="1" applyBorder="1"/>
    <xf numFmtId="0" fontId="5" fillId="0" borderId="39" xfId="0" applyFont="1" applyFill="1" applyBorder="1"/>
    <xf numFmtId="0" fontId="28" fillId="0" borderId="1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/>
    <xf numFmtId="0" fontId="5" fillId="0" borderId="40" xfId="0" applyFont="1" applyFill="1" applyBorder="1"/>
    <xf numFmtId="0" fontId="28" fillId="0" borderId="41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1" xfId="0" applyFont="1" applyFill="1" applyBorder="1"/>
    <xf numFmtId="164" fontId="2" fillId="0" borderId="41" xfId="0" applyNumberFormat="1" applyFont="1" applyFill="1" applyBorder="1" applyAlignment="1">
      <alignment horizontal="center"/>
    </xf>
    <xf numFmtId="2" fontId="2" fillId="0" borderId="41" xfId="0" applyNumberFormat="1" applyFont="1" applyFill="1" applyBorder="1" applyAlignment="1">
      <alignment horizontal="center"/>
    </xf>
    <xf numFmtId="1" fontId="3" fillId="0" borderId="41" xfId="0" applyNumberFormat="1" applyFont="1" applyFill="1" applyBorder="1"/>
    <xf numFmtId="0" fontId="31" fillId="0" borderId="3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2" fontId="4" fillId="0" borderId="1" xfId="0" applyNumberFormat="1" applyFont="1" applyFill="1" applyBorder="1" applyAlignment="1">
      <alignment horizontal="center"/>
    </xf>
    <xf numFmtId="0" fontId="31" fillId="5" borderId="39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2" fontId="4" fillId="5" borderId="1" xfId="0" applyNumberFormat="1" applyFont="1" applyFill="1" applyBorder="1" applyAlignment="1">
      <alignment horizontal="center"/>
    </xf>
    <xf numFmtId="0" fontId="31" fillId="0" borderId="42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left" vertical="center"/>
    </xf>
    <xf numFmtId="164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1" fillId="0" borderId="43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left" vertical="center"/>
    </xf>
    <xf numFmtId="164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/>
    <xf numFmtId="2" fontId="4" fillId="0" borderId="4" xfId="0" applyNumberFormat="1" applyFont="1" applyFill="1" applyBorder="1" applyAlignment="1">
      <alignment horizontal="center"/>
    </xf>
    <xf numFmtId="0" fontId="4" fillId="0" borderId="7" xfId="0" applyFont="1" applyFill="1" applyBorder="1"/>
    <xf numFmtId="0" fontId="31" fillId="0" borderId="4" xfId="0" applyFont="1" applyFill="1" applyBorder="1" applyAlignment="1">
      <alignment horizontal="right" vertical="center"/>
    </xf>
    <xf numFmtId="0" fontId="4" fillId="0" borderId="9" xfId="0" applyFont="1" applyFill="1" applyBorder="1"/>
    <xf numFmtId="164" fontId="4" fillId="0" borderId="9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0" fontId="31" fillId="0" borderId="44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right" vertical="center"/>
    </xf>
    <xf numFmtId="0" fontId="5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33" fillId="0" borderId="0" xfId="1" applyFont="1" applyAlignment="1">
      <alignment vertical="center"/>
    </xf>
    <xf numFmtId="0" fontId="33" fillId="0" borderId="0" xfId="1" applyFont="1" applyAlignment="1">
      <alignment horizontal="center" vertical="center"/>
    </xf>
    <xf numFmtId="0" fontId="0" fillId="0" borderId="0" xfId="0" applyAlignment="1">
      <alignment wrapText="1"/>
    </xf>
    <xf numFmtId="14" fontId="2" fillId="0" borderId="0" xfId="0" applyNumberFormat="1" applyFont="1" applyFill="1" applyBorder="1"/>
    <xf numFmtId="0" fontId="7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6" fillId="0" borderId="1" xfId="0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 wrapText="1"/>
    </xf>
    <xf numFmtId="1" fontId="34" fillId="0" borderId="1" xfId="0" applyNumberFormat="1" applyFont="1" applyFill="1" applyBorder="1"/>
    <xf numFmtId="0" fontId="34" fillId="0" borderId="1" xfId="0" applyFont="1" applyFill="1" applyBorder="1"/>
    <xf numFmtId="0" fontId="34" fillId="0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1" fontId="6" fillId="0" borderId="1" xfId="0" applyNumberFormat="1" applyFont="1" applyFill="1" applyBorder="1"/>
    <xf numFmtId="0" fontId="34" fillId="0" borderId="1" xfId="0" applyFont="1" applyFill="1" applyBorder="1" applyAlignment="1">
      <alignment horizontal="left" wrapText="1"/>
    </xf>
    <xf numFmtId="0" fontId="34" fillId="0" borderId="0" xfId="0" applyFont="1" applyFill="1" applyBorder="1"/>
    <xf numFmtId="0" fontId="34" fillId="0" borderId="0" xfId="0" applyFont="1" applyFill="1" applyAlignment="1">
      <alignment wrapText="1"/>
    </xf>
    <xf numFmtId="0" fontId="34" fillId="0" borderId="0" xfId="0" applyFont="1" applyFill="1"/>
    <xf numFmtId="0" fontId="34" fillId="0" borderId="45" xfId="0" applyFont="1" applyFill="1" applyBorder="1"/>
    <xf numFmtId="1" fontId="34" fillId="0" borderId="1" xfId="0" applyNumberFormat="1" applyFont="1" applyFill="1" applyBorder="1" applyAlignment="1">
      <alignment wrapText="1"/>
    </xf>
    <xf numFmtId="0" fontId="0" fillId="0" borderId="46" xfId="0" applyBorder="1"/>
    <xf numFmtId="0" fontId="0" fillId="0" borderId="46" xfId="0" applyBorder="1" applyAlignment="1">
      <alignment wrapText="1"/>
    </xf>
    <xf numFmtId="1" fontId="0" fillId="0" borderId="46" xfId="0" applyNumberFormat="1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left" vertical="center"/>
    </xf>
    <xf numFmtId="4" fontId="8" fillId="0" borderId="0" xfId="1" applyNumberFormat="1" applyFont="1" applyBorder="1"/>
    <xf numFmtId="166" fontId="4" fillId="0" borderId="21" xfId="2" applyNumberFormat="1" applyFont="1" applyFill="1" applyBorder="1" applyAlignment="1">
      <alignment horizontal="center"/>
    </xf>
    <xf numFmtId="166" fontId="4" fillId="0" borderId="1" xfId="2" applyNumberFormat="1" applyFont="1" applyFill="1" applyBorder="1" applyAlignment="1">
      <alignment horizontal="center"/>
    </xf>
    <xf numFmtId="166" fontId="4" fillId="0" borderId="1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/>
    <xf numFmtId="0" fontId="4" fillId="0" borderId="4" xfId="2" applyNumberFormat="1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horizontal="center"/>
    </xf>
    <xf numFmtId="164" fontId="4" fillId="0" borderId="21" xfId="2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4" fontId="24" fillId="0" borderId="1" xfId="1" applyNumberFormat="1" applyFont="1" applyFill="1" applyBorder="1" applyAlignment="1">
      <alignment horizontal="center" vertical="center" wrapText="1"/>
    </xf>
    <xf numFmtId="166" fontId="8" fillId="0" borderId="1" xfId="2" applyNumberFormat="1" applyFont="1" applyBorder="1"/>
    <xf numFmtId="0" fontId="10" fillId="0" borderId="1" xfId="2" applyFont="1" applyBorder="1" applyAlignment="1">
      <alignment horizontal="right"/>
    </xf>
    <xf numFmtId="166" fontId="10" fillId="0" borderId="1" xfId="2" applyNumberFormat="1" applyFont="1" applyBorder="1" applyAlignment="1">
      <alignment horizontal="right"/>
    </xf>
    <xf numFmtId="1" fontId="10" fillId="0" borderId="1" xfId="2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1" fontId="2" fillId="0" borderId="0" xfId="0" applyNumberFormat="1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4" fontId="8" fillId="0" borderId="1" xfId="2" applyNumberFormat="1" applyFont="1" applyBorder="1"/>
    <xf numFmtId="0" fontId="10" fillId="0" borderId="1" xfId="2" applyFont="1" applyBorder="1" applyAlignment="1">
      <alignment horizontal="center" wrapText="1"/>
    </xf>
    <xf numFmtId="0" fontId="10" fillId="0" borderId="1" xfId="2" applyFont="1" applyBorder="1" applyAlignment="1">
      <alignment horizontal="center"/>
    </xf>
    <xf numFmtId="0" fontId="10" fillId="0" borderId="1" xfId="2" applyFont="1" applyFill="1" applyBorder="1" applyAlignment="1">
      <alignment horizontal="center"/>
    </xf>
    <xf numFmtId="3" fontId="10" fillId="0" borderId="0" xfId="2" applyNumberFormat="1" applyFont="1" applyBorder="1" applyAlignment="1">
      <alignment horizontal="right"/>
    </xf>
    <xf numFmtId="166" fontId="15" fillId="0" borderId="1" xfId="0" applyNumberFormat="1" applyFont="1" applyBorder="1"/>
    <xf numFmtId="4" fontId="15" fillId="0" borderId="1" xfId="0" applyNumberFormat="1" applyFont="1" applyBorder="1"/>
    <xf numFmtId="4" fontId="8" fillId="0" borderId="0" xfId="1" applyNumberFormat="1" applyFont="1" applyBorder="1" applyAlignment="1">
      <alignment vertical="center"/>
    </xf>
    <xf numFmtId="2" fontId="8" fillId="0" borderId="0" xfId="2" applyNumberFormat="1" applyFont="1" applyFill="1" applyBorder="1" applyAlignment="1">
      <alignment horizontal="right"/>
    </xf>
    <xf numFmtId="4" fontId="0" fillId="0" borderId="0" xfId="0" applyNumberFormat="1"/>
    <xf numFmtId="2" fontId="0" fillId="0" borderId="0" xfId="0" applyNumberFormat="1" applyBorder="1"/>
    <xf numFmtId="166" fontId="8" fillId="0" borderId="0" xfId="2" applyNumberFormat="1" applyFont="1" applyBorder="1" applyAlignment="1">
      <alignment vertical="center"/>
    </xf>
    <xf numFmtId="0" fontId="8" fillId="6" borderId="0" xfId="2" applyFont="1" applyFill="1" applyBorder="1" applyAlignment="1">
      <alignment vertical="center"/>
    </xf>
    <xf numFmtId="0" fontId="0" fillId="6" borderId="0" xfId="0" applyFill="1"/>
    <xf numFmtId="0" fontId="2" fillId="0" borderId="47" xfId="0" applyFont="1" applyFill="1" applyBorder="1" applyAlignment="1">
      <alignment horizontal="center"/>
    </xf>
    <xf numFmtId="0" fontId="2" fillId="0" borderId="48" xfId="0" applyFont="1" applyFill="1" applyBorder="1" applyAlignment="1">
      <alignment horizontal="right"/>
    </xf>
    <xf numFmtId="0" fontId="2" fillId="0" borderId="49" xfId="0" applyFont="1" applyFill="1" applyBorder="1" applyAlignment="1">
      <alignment horizontal="right"/>
    </xf>
    <xf numFmtId="0" fontId="4" fillId="0" borderId="50" xfId="0" applyFont="1" applyFill="1" applyBorder="1" applyAlignment="1">
      <alignment horizontal="right" vertical="center"/>
    </xf>
    <xf numFmtId="0" fontId="4" fillId="5" borderId="50" xfId="0" applyFont="1" applyFill="1" applyBorder="1" applyAlignment="1">
      <alignment horizontal="right" vertical="center"/>
    </xf>
    <xf numFmtId="0" fontId="4" fillId="0" borderId="51" xfId="0" applyFont="1" applyFill="1" applyBorder="1" applyAlignment="1">
      <alignment horizontal="right" vertical="center"/>
    </xf>
    <xf numFmtId="0" fontId="31" fillId="0" borderId="34" xfId="0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left" vertical="center"/>
    </xf>
    <xf numFmtId="164" fontId="4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/>
    <xf numFmtId="2" fontId="4" fillId="0" borderId="35" xfId="0" applyNumberFormat="1" applyFont="1" applyFill="1" applyBorder="1" applyAlignment="1">
      <alignment horizontal="center"/>
    </xf>
    <xf numFmtId="0" fontId="4" fillId="0" borderId="35" xfId="0" applyFont="1" applyFill="1" applyBorder="1"/>
    <xf numFmtId="0" fontId="4" fillId="0" borderId="52" xfId="0" applyFont="1" applyFill="1" applyBorder="1" applyAlignment="1">
      <alignment horizontal="right" vertical="center" wrapText="1"/>
    </xf>
    <xf numFmtId="0" fontId="8" fillId="0" borderId="26" xfId="2" applyFont="1" applyBorder="1" applyAlignment="1"/>
    <xf numFmtId="0" fontId="8" fillId="0" borderId="0" xfId="2" applyFont="1" applyFill="1" applyBorder="1" applyAlignment="1"/>
    <xf numFmtId="0" fontId="2" fillId="0" borderId="0" xfId="0" applyFont="1" applyAlignment="1"/>
    <xf numFmtId="0" fontId="12" fillId="0" borderId="0" xfId="2" applyFont="1" applyFill="1" applyBorder="1" applyAlignment="1"/>
    <xf numFmtId="0" fontId="8" fillId="0" borderId="0" xfId="2" applyFont="1" applyFill="1" applyAlignment="1">
      <alignment horizontal="right"/>
    </xf>
    <xf numFmtId="0" fontId="6" fillId="0" borderId="0" xfId="2" applyFont="1" applyFill="1" applyAlignment="1">
      <alignment horizontal="right" vertical="center"/>
    </xf>
    <xf numFmtId="0" fontId="6" fillId="0" borderId="26" xfId="2" applyFont="1" applyBorder="1" applyAlignment="1"/>
    <xf numFmtId="0" fontId="6" fillId="0" borderId="0" xfId="2" applyFont="1"/>
    <xf numFmtId="0" fontId="6" fillId="0" borderId="0" xfId="2" applyFont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0" fontId="6" fillId="0" borderId="0" xfId="2" applyFont="1" applyFill="1" applyAlignment="1">
      <alignment horizontal="right"/>
    </xf>
    <xf numFmtId="0" fontId="37" fillId="0" borderId="0" xfId="2" applyFont="1" applyFill="1" applyBorder="1" applyAlignment="1"/>
    <xf numFmtId="0" fontId="6" fillId="0" borderId="20" xfId="2" applyFont="1" applyFill="1" applyBorder="1" applyAlignment="1"/>
    <xf numFmtId="0" fontId="0" fillId="0" borderId="20" xfId="0" applyBorder="1"/>
    <xf numFmtId="164" fontId="37" fillId="0" borderId="0" xfId="1" applyNumberFormat="1" applyFont="1" applyBorder="1" applyAlignment="1">
      <alignment horizontal="center"/>
    </xf>
    <xf numFmtId="164" fontId="6" fillId="0" borderId="20" xfId="1" applyNumberFormat="1" applyFont="1" applyBorder="1" applyAlignment="1">
      <alignment horizontal="center"/>
    </xf>
    <xf numFmtId="166" fontId="0" fillId="0" borderId="0" xfId="0" applyNumberFormat="1"/>
    <xf numFmtId="166" fontId="10" fillId="0" borderId="1" xfId="2" applyNumberFormat="1" applyFont="1" applyBorder="1"/>
    <xf numFmtId="166" fontId="10" fillId="0" borderId="1" xfId="2" applyNumberFormat="1" applyFont="1" applyBorder="1" applyAlignment="1">
      <alignment horizontal="center" wrapText="1"/>
    </xf>
    <xf numFmtId="166" fontId="10" fillId="0" borderId="1" xfId="2" applyNumberFormat="1" applyFont="1" applyBorder="1" applyAlignment="1">
      <alignment horizontal="center"/>
    </xf>
    <xf numFmtId="4" fontId="10" fillId="0" borderId="1" xfId="2" applyNumberFormat="1" applyFont="1" applyBorder="1" applyAlignment="1">
      <alignment horizontal="center" wrapText="1"/>
    </xf>
    <xf numFmtId="4" fontId="10" fillId="0" borderId="1" xfId="2" applyNumberFormat="1" applyFont="1" applyBorder="1" applyAlignment="1">
      <alignment horizontal="center"/>
    </xf>
    <xf numFmtId="4" fontId="0" fillId="6" borderId="0" xfId="0" applyNumberFormat="1" applyFill="1"/>
    <xf numFmtId="0" fontId="8" fillId="0" borderId="0" xfId="2" applyFont="1" applyBorder="1" applyAlignment="1"/>
    <xf numFmtId="0" fontId="10" fillId="0" borderId="0" xfId="2" applyFont="1" applyBorder="1" applyAlignment="1">
      <alignment horizontal="center"/>
    </xf>
    <xf numFmtId="1" fontId="10" fillId="0" borderId="0" xfId="2" applyNumberFormat="1" applyFont="1" applyFill="1" applyBorder="1" applyAlignment="1">
      <alignment horizontal="center"/>
    </xf>
    <xf numFmtId="166" fontId="0" fillId="6" borderId="0" xfId="0" applyNumberFormat="1" applyFill="1"/>
    <xf numFmtId="166" fontId="10" fillId="2" borderId="1" xfId="2" applyNumberFormat="1" applyFont="1" applyFill="1" applyBorder="1"/>
    <xf numFmtId="166" fontId="8" fillId="0" borderId="0" xfId="2" applyNumberFormat="1" applyFont="1" applyFill="1" applyBorder="1"/>
    <xf numFmtId="166" fontId="10" fillId="0" borderId="0" xfId="2" applyNumberFormat="1" applyFont="1" applyBorder="1" applyAlignment="1">
      <alignment horizontal="right"/>
    </xf>
    <xf numFmtId="0" fontId="2" fillId="0" borderId="3" xfId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/>
    </xf>
    <xf numFmtId="166" fontId="10" fillId="0" borderId="0" xfId="2" applyNumberFormat="1" applyFont="1" applyBorder="1"/>
    <xf numFmtId="166" fontId="10" fillId="0" borderId="0" xfId="2" applyNumberFormat="1" applyFont="1" applyFill="1" applyBorder="1"/>
    <xf numFmtId="164" fontId="2" fillId="0" borderId="21" xfId="1" applyNumberFormat="1" applyFont="1" applyFill="1" applyBorder="1" applyAlignment="1">
      <alignment horizontal="center"/>
    </xf>
    <xf numFmtId="2" fontId="2" fillId="0" borderId="1" xfId="1" applyNumberFormat="1" applyFont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2" applyFont="1" applyBorder="1" applyAlignment="1">
      <alignment horizontal="left"/>
    </xf>
    <xf numFmtId="2" fontId="2" fillId="0" borderId="2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4" fontId="2" fillId="0" borderId="0" xfId="0" applyNumberFormat="1" applyFont="1" applyFill="1" applyBorder="1"/>
    <xf numFmtId="4" fontId="10" fillId="0" borderId="0" xfId="1" applyNumberFormat="1" applyFont="1" applyBorder="1" applyAlignment="1"/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24" xfId="0" applyFont="1" applyFill="1" applyBorder="1"/>
    <xf numFmtId="0" fontId="2" fillId="0" borderId="25" xfId="0" applyFont="1" applyFill="1" applyBorder="1"/>
    <xf numFmtId="0" fontId="2" fillId="0" borderId="4" xfId="0" applyFont="1" applyFill="1" applyBorder="1" applyAlignment="1">
      <alignment wrapText="1"/>
    </xf>
    <xf numFmtId="0" fontId="0" fillId="0" borderId="4" xfId="0" applyFill="1" applyBorder="1"/>
    <xf numFmtId="0" fontId="0" fillId="0" borderId="2" xfId="0" applyFill="1" applyBorder="1"/>
    <xf numFmtId="0" fontId="2" fillId="0" borderId="24" xfId="1" applyFont="1" applyFill="1" applyBorder="1"/>
    <xf numFmtId="0" fontId="2" fillId="0" borderId="21" xfId="1" applyFont="1" applyFill="1" applyBorder="1"/>
    <xf numFmtId="0" fontId="2" fillId="0" borderId="24" xfId="1" applyFont="1" applyFill="1" applyBorder="1" applyAlignment="1">
      <alignment wrapText="1"/>
    </xf>
    <xf numFmtId="0" fontId="2" fillId="0" borderId="21" xfId="1" applyFont="1" applyFill="1" applyBorder="1" applyAlignment="1">
      <alignment vertical="center"/>
    </xf>
    <xf numFmtId="0" fontId="2" fillId="0" borderId="5" xfId="1" applyFont="1" applyFill="1" applyBorder="1" applyAlignment="1">
      <alignment wrapText="1"/>
    </xf>
    <xf numFmtId="0" fontId="2" fillId="0" borderId="25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2" fillId="0" borderId="3" xfId="1" applyFont="1" applyFill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5" fillId="0" borderId="5" xfId="1" applyFont="1" applyFill="1" applyBorder="1" applyAlignment="1">
      <alignment wrapText="1"/>
    </xf>
    <xf numFmtId="0" fontId="5" fillId="0" borderId="24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3" fillId="0" borderId="25" xfId="1" applyFont="1" applyFill="1" applyBorder="1" applyAlignment="1">
      <alignment horizontal="left" wrapText="1"/>
    </xf>
    <xf numFmtId="0" fontId="2" fillId="0" borderId="3" xfId="0" applyFont="1" applyFill="1" applyBorder="1"/>
    <xf numFmtId="0" fontId="14" fillId="0" borderId="24" xfId="0" applyFont="1" applyFill="1" applyBorder="1" applyAlignment="1">
      <alignment horizontal="right"/>
    </xf>
    <xf numFmtId="0" fontId="2" fillId="0" borderId="4" xfId="0" applyFont="1" applyFill="1" applyBorder="1"/>
    <xf numFmtId="0" fontId="2" fillId="0" borderId="28" xfId="0" applyFont="1" applyFill="1" applyBorder="1" applyAlignment="1">
      <alignment wrapText="1"/>
    </xf>
    <xf numFmtId="0" fontId="14" fillId="0" borderId="0" xfId="0" applyFont="1" applyFill="1" applyBorder="1" applyAlignment="1">
      <alignment horizontal="right"/>
    </xf>
    <xf numFmtId="0" fontId="0" fillId="0" borderId="0" xfId="0" applyFill="1"/>
    <xf numFmtId="0" fontId="8" fillId="0" borderId="0" xfId="1" applyFont="1" applyFill="1" applyBorder="1" applyAlignment="1"/>
    <xf numFmtId="0" fontId="2" fillId="0" borderId="3" xfId="0" applyFont="1" applyFill="1" applyBorder="1" applyAlignment="1">
      <alignment wrapText="1"/>
    </xf>
    <xf numFmtId="0" fontId="14" fillId="0" borderId="24" xfId="0" applyFont="1" applyFill="1" applyBorder="1" applyAlignment="1">
      <alignment horizontal="right" wrapText="1"/>
    </xf>
    <xf numFmtId="0" fontId="2" fillId="0" borderId="21" xfId="0" applyFont="1" applyFill="1" applyBorder="1" applyAlignment="1">
      <alignment wrapText="1"/>
    </xf>
    <xf numFmtId="0" fontId="2" fillId="0" borderId="16" xfId="0" applyFont="1" applyFill="1" applyBorder="1" applyAlignment="1">
      <alignment wrapText="1"/>
    </xf>
    <xf numFmtId="0" fontId="2" fillId="0" borderId="15" xfId="0" applyFont="1" applyFill="1" applyBorder="1" applyAlignment="1">
      <alignment wrapText="1"/>
    </xf>
    <xf numFmtId="0" fontId="14" fillId="0" borderId="19" xfId="0" applyFont="1" applyFill="1" applyBorder="1" applyAlignment="1">
      <alignment horizontal="right" wrapText="1"/>
    </xf>
    <xf numFmtId="0" fontId="14" fillId="0" borderId="4" xfId="0" applyFont="1" applyFill="1" applyBorder="1" applyAlignment="1">
      <alignment horizontal="right" wrapText="1"/>
    </xf>
    <xf numFmtId="0" fontId="4" fillId="0" borderId="2" xfId="1" applyFont="1" applyFill="1" applyBorder="1" applyAlignment="1">
      <alignment horizontal="left" vertical="center" wrapText="1"/>
    </xf>
    <xf numFmtId="164" fontId="24" fillId="0" borderId="3" xfId="1" applyNumberFormat="1" applyFont="1" applyFill="1" applyBorder="1" applyAlignment="1">
      <alignment wrapText="1"/>
    </xf>
    <xf numFmtId="0" fontId="0" fillId="0" borderId="0" xfId="0" applyAlignment="1">
      <alignment horizontal="right"/>
    </xf>
    <xf numFmtId="0" fontId="0" fillId="7" borderId="0" xfId="0" applyFill="1"/>
    <xf numFmtId="0" fontId="0" fillId="7" borderId="0" xfId="0" applyFill="1" applyAlignment="1">
      <alignment horizontal="right"/>
    </xf>
    <xf numFmtId="166" fontId="10" fillId="7" borderId="1" xfId="2" applyNumberFormat="1" applyFont="1" applyFill="1" applyBorder="1" applyAlignment="1">
      <alignment horizontal="right"/>
    </xf>
    <xf numFmtId="165" fontId="0" fillId="0" borderId="0" xfId="0" applyNumberFormat="1"/>
    <xf numFmtId="166" fontId="10" fillId="0" borderId="0" xfId="2" applyNumberFormat="1" applyFont="1" applyFill="1" applyBorder="1" applyAlignment="1">
      <alignment horizontal="center"/>
    </xf>
    <xf numFmtId="166" fontId="10" fillId="0" borderId="0" xfId="2" applyNumberFormat="1" applyFont="1" applyFill="1" applyBorder="1" applyAlignment="1">
      <alignment horizontal="center" wrapText="1"/>
    </xf>
    <xf numFmtId="0" fontId="39" fillId="0" borderId="0" xfId="6" applyFont="1" applyAlignment="1">
      <alignment horizontal="center" vertical="center" wrapText="1"/>
    </xf>
    <xf numFmtId="0" fontId="15" fillId="0" borderId="0" xfId="6" applyFont="1" applyAlignment="1">
      <alignment vertical="top"/>
    </xf>
    <xf numFmtId="0" fontId="39" fillId="0" borderId="0" xfId="6" applyFont="1" applyFill="1" applyAlignment="1">
      <alignment horizontal="center" vertical="center" wrapText="1"/>
    </xf>
    <xf numFmtId="0" fontId="15" fillId="0" borderId="0" xfId="6" applyFont="1" applyFill="1" applyAlignment="1">
      <alignment vertical="top"/>
    </xf>
    <xf numFmtId="0" fontId="8" fillId="0" borderId="1" xfId="1" applyFont="1" applyBorder="1" applyAlignment="1">
      <alignment vertical="center" wrapText="1"/>
    </xf>
    <xf numFmtId="0" fontId="8" fillId="0" borderId="1" xfId="1" applyFont="1" applyFill="1" applyBorder="1" applyAlignment="1">
      <alignment vertical="center" wrapText="1"/>
    </xf>
    <xf numFmtId="0" fontId="8" fillId="0" borderId="1" xfId="6" applyFont="1" applyFill="1" applyBorder="1" applyAlignment="1">
      <alignment horizontal="left" vertical="top" wrapText="1"/>
    </xf>
    <xf numFmtId="0" fontId="15" fillId="0" borderId="0" xfId="6" applyFont="1" applyFill="1" applyAlignment="1">
      <alignment horizontal="center" vertical="center"/>
    </xf>
    <xf numFmtId="0" fontId="15" fillId="0" borderId="0" xfId="6" applyFont="1" applyFill="1" applyAlignment="1">
      <alignment horizontal="center" vertical="center" wrapText="1"/>
    </xf>
    <xf numFmtId="164" fontId="15" fillId="0" borderId="1" xfId="6" applyNumberFormat="1" applyFont="1" applyFill="1" applyBorder="1" applyAlignment="1">
      <alignment horizontal="center" vertical="center"/>
    </xf>
    <xf numFmtId="2" fontId="15" fillId="0" borderId="1" xfId="6" applyNumberFormat="1" applyFont="1" applyFill="1" applyBorder="1" applyAlignment="1">
      <alignment horizontal="center" vertical="center"/>
    </xf>
    <xf numFmtId="1" fontId="15" fillId="0" borderId="1" xfId="6" applyNumberFormat="1" applyFont="1" applyFill="1" applyBorder="1" applyAlignment="1">
      <alignment horizontal="center" vertical="center"/>
    </xf>
    <xf numFmtId="164" fontId="15" fillId="0" borderId="1" xfId="6" applyNumberFormat="1" applyFont="1" applyFill="1" applyBorder="1" applyAlignment="1">
      <alignment horizontal="center" vertical="center" wrapText="1"/>
    </xf>
    <xf numFmtId="0" fontId="15" fillId="0" borderId="1" xfId="6" applyFont="1" applyFill="1" applyBorder="1" applyAlignment="1">
      <alignment horizontal="center" vertical="center" wrapText="1"/>
    </xf>
    <xf numFmtId="0" fontId="15" fillId="0" borderId="1" xfId="6" applyFont="1" applyFill="1" applyBorder="1" applyAlignment="1">
      <alignment horizontal="left" vertical="center" wrapText="1"/>
    </xf>
    <xf numFmtId="0" fontId="10" fillId="0" borderId="1" xfId="6" applyFont="1" applyFill="1" applyBorder="1" applyAlignment="1">
      <alignment vertical="center" wrapText="1"/>
    </xf>
    <xf numFmtId="0" fontId="41" fillId="0" borderId="1" xfId="1" applyFont="1" applyFill="1" applyBorder="1" applyAlignment="1">
      <alignment horizontal="center" vertical="center" wrapText="1"/>
    </xf>
    <xf numFmtId="0" fontId="39" fillId="0" borderId="1" xfId="6" applyFont="1" applyFill="1" applyBorder="1" applyAlignment="1">
      <alignment horizontal="center" vertical="center" wrapText="1"/>
    </xf>
    <xf numFmtId="1" fontId="3" fillId="0" borderId="1" xfId="2" applyNumberFormat="1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center" wrapText="1"/>
    </xf>
    <xf numFmtId="1" fontId="8" fillId="0" borderId="1" xfId="2" applyNumberFormat="1" applyFont="1" applyBorder="1" applyAlignment="1">
      <alignment horizontal="center" wrapText="1"/>
    </xf>
    <xf numFmtId="1" fontId="8" fillId="0" borderId="1" xfId="2" applyNumberFormat="1" applyFont="1" applyFill="1" applyBorder="1" applyAlignment="1">
      <alignment horizontal="center" wrapText="1"/>
    </xf>
    <xf numFmtId="1" fontId="2" fillId="0" borderId="1" xfId="2" applyNumberFormat="1" applyFont="1" applyFill="1" applyBorder="1"/>
    <xf numFmtId="0" fontId="4" fillId="0" borderId="16" xfId="2" applyFont="1" applyFill="1" applyBorder="1" applyAlignment="1">
      <alignment horizontal="center" vertical="center"/>
    </xf>
    <xf numFmtId="0" fontId="8" fillId="0" borderId="26" xfId="2" applyFont="1" applyBorder="1" applyAlignment="1">
      <alignment horizontal="left"/>
    </xf>
    <xf numFmtId="0" fontId="35" fillId="0" borderId="0" xfId="0" applyFont="1" applyAlignment="1">
      <alignment horizontal="center"/>
    </xf>
    <xf numFmtId="166" fontId="35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12" fillId="0" borderId="27" xfId="2" applyFont="1" applyFill="1" applyBorder="1" applyAlignment="1">
      <alignment horizontal="center"/>
    </xf>
    <xf numFmtId="164" fontId="13" fillId="0" borderId="27" xfId="1" applyNumberFormat="1" applyFont="1" applyBorder="1" applyAlignment="1">
      <alignment horizontal="center"/>
    </xf>
    <xf numFmtId="0" fontId="8" fillId="0" borderId="26" xfId="2" applyFont="1" applyFill="1" applyBorder="1" applyAlignment="1">
      <alignment horizontal="left"/>
    </xf>
    <xf numFmtId="0" fontId="7" fillId="0" borderId="0" xfId="2" applyFont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164" fontId="8" fillId="0" borderId="2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15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1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164" fontId="8" fillId="0" borderId="4" xfId="2" applyNumberFormat="1" applyFont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/>
    </xf>
    <xf numFmtId="164" fontId="8" fillId="0" borderId="3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8" fillId="0" borderId="25" xfId="2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/>
    </xf>
    <xf numFmtId="0" fontId="2" fillId="0" borderId="3" xfId="1" applyFont="1" applyFill="1" applyBorder="1" applyAlignment="1">
      <alignment horizontal="left" vertical="top"/>
    </xf>
    <xf numFmtId="0" fontId="2" fillId="0" borderId="4" xfId="1" applyFont="1" applyFill="1" applyBorder="1" applyAlignment="1">
      <alignment horizontal="left" vertical="top"/>
    </xf>
    <xf numFmtId="0" fontId="2" fillId="0" borderId="2" xfId="1" applyFont="1" applyFill="1" applyBorder="1" applyAlignment="1">
      <alignment horizontal="left" vertical="top"/>
    </xf>
    <xf numFmtId="0" fontId="24" fillId="0" borderId="3" xfId="1" applyFont="1" applyFill="1" applyBorder="1" applyAlignment="1">
      <alignment horizontal="left" vertical="top"/>
    </xf>
    <xf numFmtId="0" fontId="24" fillId="0" borderId="2" xfId="1" applyFont="1" applyFill="1" applyBorder="1" applyAlignment="1">
      <alignment horizontal="left" vertical="top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left" vertical="top"/>
    </xf>
    <xf numFmtId="0" fontId="28" fillId="4" borderId="31" xfId="5" applyFont="1" applyFill="1" applyBorder="1" applyAlignment="1">
      <alignment horizontal="center" vertical="center"/>
    </xf>
    <xf numFmtId="0" fontId="28" fillId="4" borderId="32" xfId="5" applyFont="1" applyFill="1" applyBorder="1" applyAlignment="1">
      <alignment horizontal="center" vertical="center"/>
    </xf>
    <xf numFmtId="0" fontId="28" fillId="4" borderId="33" xfId="5" applyFont="1" applyFill="1" applyBorder="1" applyAlignment="1">
      <alignment horizontal="center" vertical="center"/>
    </xf>
    <xf numFmtId="0" fontId="32" fillId="0" borderId="0" xfId="0" applyFont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35" fillId="0" borderId="20" xfId="0" applyFont="1" applyBorder="1" applyAlignment="1">
      <alignment horizontal="center"/>
    </xf>
    <xf numFmtId="164" fontId="37" fillId="0" borderId="28" xfId="1" applyNumberFormat="1" applyFont="1" applyBorder="1" applyAlignment="1">
      <alignment horizontal="center"/>
    </xf>
  </cellXfs>
  <cellStyles count="7">
    <cellStyle name="Check Cell 2" xfId="5" xr:uid="{00000000-0005-0000-0000-000000000000}"/>
    <cellStyle name="Excel Built-in Normal" xfId="4" xr:uid="{00000000-0005-0000-0000-000001000000}"/>
    <cellStyle name="Normal 2" xfId="2" xr:uid="{00000000-0005-0000-0000-000003000000}"/>
    <cellStyle name="Normal 3" xfId="6" xr:uid="{00000000-0005-0000-0000-000004000000}"/>
    <cellStyle name="Parasts" xfId="0" builtinId="0"/>
    <cellStyle name="Parasts 2" xfId="1" xr:uid="{00000000-0005-0000-0000-000005000000}"/>
    <cellStyle name="Parasts 2 2" xfId="3" xr:uid="{00000000-0005-0000-0000-000006000000}"/>
  </cellStyles>
  <dxfs count="0"/>
  <tableStyles count="0" defaultTableStyle="TableStyleMedium2" defaultPivotStyle="PivotStyleLight16"/>
  <colors>
    <mruColors>
      <color rgb="FFF1ABF1"/>
      <color rgb="FFFF66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02"/>
  <sheetViews>
    <sheetView topLeftCell="A91" workbookViewId="0">
      <selection activeCell="D141" sqref="D141"/>
    </sheetView>
  </sheetViews>
  <sheetFormatPr defaultRowHeight="15" x14ac:dyDescent="0.25"/>
  <cols>
    <col min="3" max="3" width="15.85546875" customWidth="1"/>
    <col min="11" max="11" width="16" customWidth="1"/>
    <col min="13" max="13" width="9.42578125" customWidth="1"/>
  </cols>
  <sheetData>
    <row r="2" spans="3:17" ht="18.75" x14ac:dyDescent="0.3">
      <c r="C2" s="777" t="s">
        <v>1208</v>
      </c>
      <c r="D2" s="777"/>
      <c r="E2" s="777"/>
      <c r="F2" s="777"/>
      <c r="G2" s="777"/>
      <c r="H2" s="777"/>
      <c r="I2" s="777"/>
      <c r="J2" s="777"/>
      <c r="K2" s="777"/>
      <c r="L2" s="777"/>
      <c r="M2" s="777"/>
      <c r="N2" s="777"/>
      <c r="O2" s="777"/>
      <c r="P2" s="777"/>
      <c r="Q2" s="777"/>
    </row>
    <row r="4" spans="3:17" x14ac:dyDescent="0.25">
      <c r="C4" s="775" t="s">
        <v>1209</v>
      </c>
      <c r="D4" s="775"/>
      <c r="E4" s="775"/>
      <c r="F4" s="775"/>
      <c r="G4" s="775"/>
      <c r="H4" s="775"/>
      <c r="I4" s="775"/>
      <c r="K4" s="775" t="s">
        <v>1210</v>
      </c>
      <c r="L4" s="775"/>
      <c r="M4" s="775"/>
      <c r="N4" s="775"/>
      <c r="O4" s="775"/>
      <c r="P4" s="775"/>
      <c r="Q4" s="775"/>
    </row>
    <row r="5" spans="3:17" ht="23.25" x14ac:dyDescent="0.25">
      <c r="C5" s="102"/>
      <c r="D5" s="625" t="s">
        <v>1092</v>
      </c>
      <c r="E5" s="625" t="s">
        <v>1093</v>
      </c>
      <c r="F5" s="625" t="s">
        <v>1094</v>
      </c>
      <c r="G5" s="625" t="s">
        <v>1095</v>
      </c>
      <c r="H5" s="625" t="s">
        <v>1096</v>
      </c>
      <c r="I5" s="627" t="s">
        <v>269</v>
      </c>
      <c r="K5" s="102"/>
      <c r="L5" s="625" t="s">
        <v>1092</v>
      </c>
      <c r="M5" s="625" t="s">
        <v>1093</v>
      </c>
      <c r="N5" s="625" t="s">
        <v>1094</v>
      </c>
      <c r="O5" s="625" t="s">
        <v>1095</v>
      </c>
      <c r="P5" s="625" t="s">
        <v>1096</v>
      </c>
      <c r="Q5" s="627" t="s">
        <v>269</v>
      </c>
    </row>
    <row r="6" spans="3:17" x14ac:dyDescent="0.25">
      <c r="C6" s="628" t="s">
        <v>844</v>
      </c>
      <c r="D6" s="625" t="s">
        <v>231</v>
      </c>
      <c r="E6" s="625" t="s">
        <v>231</v>
      </c>
      <c r="F6" s="625" t="s">
        <v>231</v>
      </c>
      <c r="G6" s="625" t="s">
        <v>231</v>
      </c>
      <c r="H6" s="625" t="s">
        <v>231</v>
      </c>
      <c r="I6" s="626" t="s">
        <v>231</v>
      </c>
      <c r="K6" s="628" t="s">
        <v>844</v>
      </c>
      <c r="L6" s="625" t="s">
        <v>231</v>
      </c>
      <c r="M6" s="625" t="s">
        <v>231</v>
      </c>
      <c r="N6" s="625" t="s">
        <v>231</v>
      </c>
      <c r="O6" s="625" t="s">
        <v>231</v>
      </c>
      <c r="P6" s="625" t="s">
        <v>231</v>
      </c>
      <c r="Q6" s="626" t="s">
        <v>231</v>
      </c>
    </row>
    <row r="7" spans="3:17" x14ac:dyDescent="0.25">
      <c r="C7" s="616" t="s">
        <v>847</v>
      </c>
      <c r="D7" s="614">
        <f>'Kopā ielas'!C198</f>
        <v>0</v>
      </c>
      <c r="E7" s="614">
        <f>'Kopā ielas'!D198</f>
        <v>0</v>
      </c>
      <c r="F7" s="614">
        <f>'Kopā ielas'!E198</f>
        <v>0</v>
      </c>
      <c r="G7" s="614">
        <f>'Kopā ielas'!F198</f>
        <v>0</v>
      </c>
      <c r="H7" s="614">
        <f>'Kopā ielas'!G198</f>
        <v>0</v>
      </c>
      <c r="I7" s="668">
        <f>'Kopā ielas'!H198</f>
        <v>0</v>
      </c>
      <c r="K7" s="616" t="s">
        <v>847</v>
      </c>
      <c r="L7" s="614">
        <f>'Kopā ielas'!BS198</f>
        <v>0</v>
      </c>
      <c r="M7" s="614">
        <f>'Kopā ielas'!BT198</f>
        <v>0</v>
      </c>
      <c r="N7" s="614">
        <f>'Kopā ielas'!BU198</f>
        <v>0</v>
      </c>
      <c r="O7" s="614">
        <f>'Kopā ielas'!BV198</f>
        <v>0</v>
      </c>
      <c r="P7" s="614">
        <f>'Kopā ielas'!BW198</f>
        <v>0</v>
      </c>
      <c r="Q7" s="668">
        <f>'Kopā ielas'!BX198</f>
        <v>0</v>
      </c>
    </row>
    <row r="8" spans="3:17" x14ac:dyDescent="0.25">
      <c r="C8" s="616" t="s">
        <v>848</v>
      </c>
      <c r="D8" s="614">
        <f>'Kopā ielas'!C199</f>
        <v>28.652999999999999</v>
      </c>
      <c r="E8" s="614">
        <f>'Kopā ielas'!D199</f>
        <v>0</v>
      </c>
      <c r="F8" s="614">
        <f>'Kopā ielas'!E199</f>
        <v>0.13</v>
      </c>
      <c r="G8" s="614">
        <f>'Kopā ielas'!F199</f>
        <v>0.46500000000000002</v>
      </c>
      <c r="H8" s="614">
        <f>'Kopā ielas'!G199</f>
        <v>0</v>
      </c>
      <c r="I8" s="668">
        <f>'Kopā ielas'!H199</f>
        <v>29.247999999999998</v>
      </c>
      <c r="K8" s="616" t="s">
        <v>848</v>
      </c>
      <c r="L8" s="614">
        <f>'Kopā ielas'!BS199</f>
        <v>28.652999999999999</v>
      </c>
      <c r="M8" s="614">
        <f>'Kopā ielas'!BT199</f>
        <v>0</v>
      </c>
      <c r="N8" s="614">
        <f>'Kopā ielas'!BU199</f>
        <v>0.13</v>
      </c>
      <c r="O8" s="614">
        <f>'Kopā ielas'!BV199</f>
        <v>0.46500000000000002</v>
      </c>
      <c r="P8" s="614">
        <f>'Kopā ielas'!BW199</f>
        <v>0</v>
      </c>
      <c r="Q8" s="668">
        <f>'Kopā ielas'!BX199</f>
        <v>29.247999999999998</v>
      </c>
    </row>
    <row r="9" spans="3:17" x14ac:dyDescent="0.25">
      <c r="C9" s="616" t="s">
        <v>845</v>
      </c>
      <c r="D9" s="614">
        <f>'Kopā ielas'!C200</f>
        <v>15.074999999999999</v>
      </c>
      <c r="E9" s="614">
        <f>'Kopā ielas'!D200</f>
        <v>0.4</v>
      </c>
      <c r="F9" s="614">
        <f>'Kopā ielas'!E200</f>
        <v>0</v>
      </c>
      <c r="G9" s="614">
        <f>'Kopā ielas'!F200</f>
        <v>4.7869999999999999</v>
      </c>
      <c r="H9" s="614">
        <f>'Kopā ielas'!G200</f>
        <v>0.11</v>
      </c>
      <c r="I9" s="668">
        <f>'Kopā ielas'!H200</f>
        <v>20.372</v>
      </c>
      <c r="K9" s="616" t="s">
        <v>845</v>
      </c>
      <c r="L9" s="614">
        <f>'Kopā ielas'!BS200</f>
        <v>15.074999999999999</v>
      </c>
      <c r="M9" s="614">
        <f>'Kopā ielas'!BT200</f>
        <v>0.4</v>
      </c>
      <c r="N9" s="614">
        <f>'Kopā ielas'!BU200</f>
        <v>0</v>
      </c>
      <c r="O9" s="614">
        <f>'Kopā ielas'!BV200</f>
        <v>4.7869999999999999</v>
      </c>
      <c r="P9" s="614">
        <f>'Kopā ielas'!BW200</f>
        <v>0.11</v>
      </c>
      <c r="Q9" s="668">
        <f>'Kopā ielas'!BX200</f>
        <v>20.372</v>
      </c>
    </row>
    <row r="10" spans="3:17" x14ac:dyDescent="0.25">
      <c r="C10" s="616" t="s">
        <v>846</v>
      </c>
      <c r="D10" s="614">
        <f>'Kopā ielas'!C201</f>
        <v>49.090999999999994</v>
      </c>
      <c r="E10" s="614">
        <f>'Kopā ielas'!D201</f>
        <v>12.006</v>
      </c>
      <c r="F10" s="614">
        <f>'Kopā ielas'!E201</f>
        <v>3.4780000000000002</v>
      </c>
      <c r="G10" s="614">
        <f>'Kopā ielas'!F201</f>
        <v>90.702999999999975</v>
      </c>
      <c r="H10" s="614">
        <f>'Kopā ielas'!G201</f>
        <v>5.1160000000000005</v>
      </c>
      <c r="I10" s="668">
        <f>'Kopā ielas'!H201</f>
        <v>160.39400000000001</v>
      </c>
      <c r="K10" s="616" t="s">
        <v>846</v>
      </c>
      <c r="L10" s="614">
        <f>'Kopā ielas'!BS201</f>
        <v>48.86</v>
      </c>
      <c r="M10" s="614">
        <f>'Kopā ielas'!BT201</f>
        <v>12.006</v>
      </c>
      <c r="N10" s="614">
        <f>'Kopā ielas'!BU201</f>
        <v>3.4780000000000002</v>
      </c>
      <c r="O10" s="614">
        <f>'Kopā ielas'!BV201</f>
        <v>88.996000000000009</v>
      </c>
      <c r="P10" s="614">
        <f>'Kopā ielas'!BW201</f>
        <v>5.1160000000000005</v>
      </c>
      <c r="Q10" s="668">
        <f>'Kopā ielas'!BX201</f>
        <v>158.45600000000002</v>
      </c>
    </row>
    <row r="11" spans="3:17" x14ac:dyDescent="0.25">
      <c r="C11" s="667"/>
      <c r="D11" s="668">
        <f>'Kopā ielas'!C202</f>
        <v>92.818999999999988</v>
      </c>
      <c r="E11" s="668">
        <f>'Kopā ielas'!D202</f>
        <v>12.406000000000001</v>
      </c>
      <c r="F11" s="668">
        <f>'Kopā ielas'!E202</f>
        <v>3.6080000000000001</v>
      </c>
      <c r="G11" s="668">
        <f>'Kopā ielas'!F202</f>
        <v>95.954999999999984</v>
      </c>
      <c r="H11" s="668">
        <f>'Kopā ielas'!G202</f>
        <v>5.2260000000000009</v>
      </c>
      <c r="I11" s="678">
        <f>'Kopā ielas'!H202</f>
        <v>210.01400000000001</v>
      </c>
      <c r="K11" s="667"/>
      <c r="L11" s="668">
        <f>'Kopā ielas'!BS202</f>
        <v>92.587999999999994</v>
      </c>
      <c r="M11" s="668">
        <f>'Kopā ielas'!BT202</f>
        <v>12.406000000000001</v>
      </c>
      <c r="N11" s="668">
        <f>'Kopā ielas'!BU202</f>
        <v>3.6080000000000001</v>
      </c>
      <c r="O11" s="668">
        <f>'Kopā ielas'!BV202</f>
        <v>94.248000000000019</v>
      </c>
      <c r="P11" s="668">
        <f>'Kopā ielas'!BW202</f>
        <v>5.2260000000000009</v>
      </c>
      <c r="Q11" s="678">
        <f>'Kopā ielas'!BX202</f>
        <v>208.07599999999996</v>
      </c>
    </row>
    <row r="12" spans="3:17" x14ac:dyDescent="0.25">
      <c r="C12" s="667"/>
      <c r="D12" s="667"/>
      <c r="E12" s="667"/>
      <c r="F12" s="667"/>
      <c r="G12" s="667"/>
      <c r="H12" s="667"/>
      <c r="I12" s="667"/>
      <c r="K12" s="667"/>
      <c r="L12" s="667"/>
      <c r="M12" s="667"/>
      <c r="N12" s="667"/>
      <c r="O12" s="667"/>
      <c r="P12" s="667"/>
      <c r="Q12" s="667"/>
    </row>
    <row r="13" spans="3:17" x14ac:dyDescent="0.25">
      <c r="C13" s="776" t="s">
        <v>1211</v>
      </c>
      <c r="D13" s="776"/>
      <c r="E13" s="776"/>
      <c r="F13" s="776"/>
      <c r="G13" s="776"/>
      <c r="H13" s="776"/>
      <c r="I13" s="776"/>
      <c r="K13" s="776" t="s">
        <v>1212</v>
      </c>
      <c r="L13" s="776"/>
      <c r="M13" s="776"/>
      <c r="N13" s="776"/>
      <c r="O13" s="776"/>
      <c r="P13" s="776"/>
      <c r="Q13" s="776"/>
    </row>
    <row r="14" spans="3:17" ht="23.25" x14ac:dyDescent="0.25">
      <c r="C14" s="679"/>
      <c r="D14" s="669" t="s">
        <v>1092</v>
      </c>
      <c r="E14" s="669" t="s">
        <v>1093</v>
      </c>
      <c r="F14" s="669" t="s">
        <v>1094</v>
      </c>
      <c r="G14" s="669" t="s">
        <v>1095</v>
      </c>
      <c r="H14" s="669" t="s">
        <v>1096</v>
      </c>
      <c r="I14" s="141" t="s">
        <v>269</v>
      </c>
      <c r="K14" s="679"/>
      <c r="L14" s="669" t="s">
        <v>1092</v>
      </c>
      <c r="M14" s="669" t="s">
        <v>1093</v>
      </c>
      <c r="N14" s="669" t="s">
        <v>1094</v>
      </c>
      <c r="O14" s="669" t="s">
        <v>1095</v>
      </c>
      <c r="P14" s="669" t="s">
        <v>1096</v>
      </c>
      <c r="Q14" s="141" t="s">
        <v>269</v>
      </c>
    </row>
    <row r="15" spans="3:17" x14ac:dyDescent="0.25">
      <c r="C15" s="680" t="s">
        <v>844</v>
      </c>
      <c r="D15" s="669" t="s">
        <v>231</v>
      </c>
      <c r="E15" s="669" t="s">
        <v>231</v>
      </c>
      <c r="F15" s="669" t="s">
        <v>231</v>
      </c>
      <c r="G15" s="669" t="s">
        <v>231</v>
      </c>
      <c r="H15" s="669" t="s">
        <v>231</v>
      </c>
      <c r="I15" s="670" t="s">
        <v>231</v>
      </c>
      <c r="K15" s="680" t="s">
        <v>844</v>
      </c>
      <c r="L15" s="669" t="s">
        <v>231</v>
      </c>
      <c r="M15" s="669" t="s">
        <v>231</v>
      </c>
      <c r="N15" s="669" t="s">
        <v>231</v>
      </c>
      <c r="O15" s="669" t="s">
        <v>231</v>
      </c>
      <c r="P15" s="669" t="s">
        <v>231</v>
      </c>
      <c r="Q15" s="670" t="s">
        <v>231</v>
      </c>
    </row>
    <row r="16" spans="3:17" x14ac:dyDescent="0.25">
      <c r="C16" s="616" t="s">
        <v>847</v>
      </c>
      <c r="D16" s="614">
        <f>'Kopā ceļi'!C72</f>
        <v>0</v>
      </c>
      <c r="E16" s="614">
        <f>'Kopā ceļi'!D72</f>
        <v>0</v>
      </c>
      <c r="F16" s="614">
        <f>'Kopā ceļi'!E72</f>
        <v>0</v>
      </c>
      <c r="G16" s="614">
        <f>'Kopā ceļi'!F72</f>
        <v>0</v>
      </c>
      <c r="H16" s="614">
        <f>'Kopā ceļi'!G72</f>
        <v>0</v>
      </c>
      <c r="I16" s="668">
        <f>'Kopā ceļi'!H72</f>
        <v>0</v>
      </c>
      <c r="K16" s="616" t="s">
        <v>847</v>
      </c>
      <c r="L16" s="614">
        <f>'Kopā ceļi'!BJ72</f>
        <v>0</v>
      </c>
      <c r="M16" s="614">
        <f>'Kopā ceļi'!BK72</f>
        <v>0</v>
      </c>
      <c r="N16" s="614">
        <f>'Kopā ceļi'!BL72</f>
        <v>0</v>
      </c>
      <c r="O16" s="614">
        <f>'Kopā ceļi'!BM72</f>
        <v>0</v>
      </c>
      <c r="P16" s="614">
        <f>'Kopā ceļi'!BN72</f>
        <v>0</v>
      </c>
      <c r="Q16" s="668">
        <f>'Kopā ceļi'!BO72</f>
        <v>0</v>
      </c>
    </row>
    <row r="17" spans="2:20" x14ac:dyDescent="0.25">
      <c r="C17" s="616" t="s">
        <v>848</v>
      </c>
      <c r="D17" s="614">
        <f>'Kopā ceļi'!C73</f>
        <v>0</v>
      </c>
      <c r="E17" s="614">
        <f>'Kopā ceļi'!D73</f>
        <v>0</v>
      </c>
      <c r="F17" s="614">
        <f>'Kopā ceļi'!E73</f>
        <v>0</v>
      </c>
      <c r="G17" s="614">
        <f>'Kopā ceļi'!F73</f>
        <v>0</v>
      </c>
      <c r="H17" s="614">
        <f>'Kopā ceļi'!G73</f>
        <v>0</v>
      </c>
      <c r="I17" s="668">
        <f>'Kopā ceļi'!H73</f>
        <v>0</v>
      </c>
      <c r="K17" s="616" t="s">
        <v>848</v>
      </c>
      <c r="L17" s="614">
        <f>'Kopā ceļi'!BJ73</f>
        <v>0</v>
      </c>
      <c r="M17" s="614">
        <f>'Kopā ceļi'!BK73</f>
        <v>0</v>
      </c>
      <c r="N17" s="614">
        <f>'Kopā ceļi'!BL73</f>
        <v>0</v>
      </c>
      <c r="O17" s="614">
        <f>'Kopā ceļi'!BM73</f>
        <v>0</v>
      </c>
      <c r="P17" s="614">
        <f>'Kopā ceļi'!BN73</f>
        <v>0</v>
      </c>
      <c r="Q17" s="668">
        <f>'Kopā ceļi'!BO73</f>
        <v>0</v>
      </c>
    </row>
    <row r="18" spans="2:20" x14ac:dyDescent="0.25">
      <c r="C18" s="616" t="s">
        <v>845</v>
      </c>
      <c r="D18" s="614">
        <f>'Kopā ceļi'!C74</f>
        <v>12.14</v>
      </c>
      <c r="E18" s="614">
        <f>'Kopā ceļi'!D74</f>
        <v>0</v>
      </c>
      <c r="F18" s="614">
        <f>'Kopā ceļi'!E74</f>
        <v>0</v>
      </c>
      <c r="G18" s="614">
        <f>'Kopā ceļi'!F74</f>
        <v>112.21999999999998</v>
      </c>
      <c r="H18" s="614">
        <f>'Kopā ceļi'!G74</f>
        <v>1.0099999999999998</v>
      </c>
      <c r="I18" s="668">
        <f>'Kopā ceļi'!H74</f>
        <v>125.37</v>
      </c>
      <c r="K18" s="616" t="s">
        <v>845</v>
      </c>
      <c r="L18" s="614">
        <f>'Kopā ceļi'!BJ74</f>
        <v>12.14</v>
      </c>
      <c r="M18" s="614">
        <f>'Kopā ceļi'!BK74</f>
        <v>0</v>
      </c>
      <c r="N18" s="614">
        <f>'Kopā ceļi'!BL74</f>
        <v>0</v>
      </c>
      <c r="O18" s="614">
        <f>'Kopā ceļi'!BM74</f>
        <v>105.44000000000001</v>
      </c>
      <c r="P18" s="614">
        <f>'Kopā ceļi'!BN74</f>
        <v>1.0099999999999998</v>
      </c>
      <c r="Q18" s="668">
        <f>'Kopā ceļi'!BO74</f>
        <v>118.59</v>
      </c>
    </row>
    <row r="19" spans="2:20" x14ac:dyDescent="0.25">
      <c r="C19" s="616" t="s">
        <v>846</v>
      </c>
      <c r="D19" s="614">
        <f>'Kopā ceļi'!C75</f>
        <v>9.4600000000000009</v>
      </c>
      <c r="E19" s="614">
        <f>'Kopā ceļi'!D75</f>
        <v>0</v>
      </c>
      <c r="F19" s="614">
        <f>'Kopā ceļi'!E75</f>
        <v>0.99</v>
      </c>
      <c r="G19" s="614">
        <f>'Kopā ceļi'!F75</f>
        <v>327.29000000000002</v>
      </c>
      <c r="H19" s="614">
        <f>'Kopā ceļi'!G75</f>
        <v>26.72</v>
      </c>
      <c r="I19" s="668">
        <f>'Kopā ceļi'!H75</f>
        <v>364.46000000000004</v>
      </c>
      <c r="K19" s="616" t="s">
        <v>846</v>
      </c>
      <c r="L19" s="614">
        <f>'Kopā ceļi'!BJ75</f>
        <v>9.2800000000000011</v>
      </c>
      <c r="M19" s="614">
        <f>'Kopā ceļi'!BK75</f>
        <v>0</v>
      </c>
      <c r="N19" s="614">
        <f>'Kopā ceļi'!BL75</f>
        <v>0.99</v>
      </c>
      <c r="O19" s="614">
        <f>'Kopā ceļi'!BM75</f>
        <v>311.95999999999998</v>
      </c>
      <c r="P19" s="614">
        <f>'Kopā ceļi'!BN75</f>
        <v>25.29</v>
      </c>
      <c r="Q19" s="668">
        <f>'Kopā ceļi'!BO75</f>
        <v>347.52</v>
      </c>
    </row>
    <row r="20" spans="2:20" x14ac:dyDescent="0.25">
      <c r="C20" s="667"/>
      <c r="D20" s="668">
        <f>'Kopā ceļi'!C76</f>
        <v>21.599999999999998</v>
      </c>
      <c r="E20" s="668">
        <f>'Kopā ceļi'!D76</f>
        <v>0</v>
      </c>
      <c r="F20" s="668">
        <f>'Kopā ceļi'!E76</f>
        <v>0.99</v>
      </c>
      <c r="G20" s="668">
        <f>'Kopā ceļi'!F76</f>
        <v>439.5100000000001</v>
      </c>
      <c r="H20" s="668">
        <f>'Kopā ceļi'!G76</f>
        <v>27.729999999999997</v>
      </c>
      <c r="I20" s="678">
        <f>'Kopā ceļi'!H76</f>
        <v>489.83</v>
      </c>
      <c r="K20" s="667"/>
      <c r="L20" s="668">
        <f>'Kopā ceļi'!BJ76</f>
        <v>21.419999999999998</v>
      </c>
      <c r="M20" s="668">
        <f>'Kopā ceļi'!BK76</f>
        <v>0</v>
      </c>
      <c r="N20" s="668">
        <f>'Kopā ceļi'!BL76</f>
        <v>0.99</v>
      </c>
      <c r="O20" s="668">
        <f>'Kopā ceļi'!BM76</f>
        <v>417.4</v>
      </c>
      <c r="P20" s="668">
        <f>'Kopā ceļi'!BN76</f>
        <v>26.299999999999997</v>
      </c>
      <c r="Q20" s="678">
        <f>'Kopā ceļi'!BO76</f>
        <v>466.10999999999996</v>
      </c>
    </row>
    <row r="21" spans="2:20" x14ac:dyDescent="0.25">
      <c r="I21" s="633">
        <f>I11+I20</f>
        <v>699.84400000000005</v>
      </c>
      <c r="Q21" s="633">
        <f>Q11+Q20</f>
        <v>674.18599999999992</v>
      </c>
      <c r="T21" s="633">
        <f>I21-Q21</f>
        <v>25.658000000000129</v>
      </c>
    </row>
    <row r="22" spans="2:20" x14ac:dyDescent="0.25">
      <c r="I22">
        <v>691.45499999999993</v>
      </c>
      <c r="Q22">
        <v>665.79699999999991</v>
      </c>
      <c r="T22">
        <v>25.658000000000015</v>
      </c>
    </row>
    <row r="23" spans="2:20" x14ac:dyDescent="0.25">
      <c r="I23" s="633"/>
      <c r="Q23" s="633"/>
    </row>
    <row r="25" spans="2:20" x14ac:dyDescent="0.25">
      <c r="C25" s="775" t="s">
        <v>1218</v>
      </c>
      <c r="D25" s="775"/>
      <c r="E25" s="775"/>
      <c r="F25" s="775"/>
      <c r="G25" s="775"/>
      <c r="H25" s="775"/>
      <c r="I25" s="775"/>
      <c r="K25" s="775" t="s">
        <v>1145</v>
      </c>
      <c r="L25" s="775"/>
      <c r="M25" s="775"/>
      <c r="N25" s="775"/>
      <c r="O25" s="775"/>
      <c r="P25" s="775"/>
      <c r="Q25" s="775"/>
    </row>
    <row r="26" spans="2:20" ht="23.25" x14ac:dyDescent="0.25">
      <c r="C26" s="102"/>
      <c r="D26" s="625" t="s">
        <v>1092</v>
      </c>
      <c r="E26" s="625" t="s">
        <v>1093</v>
      </c>
      <c r="F26" s="625" t="s">
        <v>1094</v>
      </c>
      <c r="G26" s="625" t="s">
        <v>1095</v>
      </c>
      <c r="H26" s="625" t="s">
        <v>1096</v>
      </c>
      <c r="I26" s="682"/>
      <c r="K26" s="102"/>
      <c r="L26" s="625" t="s">
        <v>1092</v>
      </c>
      <c r="M26" s="625" t="s">
        <v>1093</v>
      </c>
      <c r="N26" s="625" t="s">
        <v>1094</v>
      </c>
      <c r="O26" s="625" t="s">
        <v>1095</v>
      </c>
      <c r="P26" s="625" t="s">
        <v>1096</v>
      </c>
      <c r="Q26" s="682"/>
    </row>
    <row r="27" spans="2:20" x14ac:dyDescent="0.25">
      <c r="C27" s="628" t="s">
        <v>844</v>
      </c>
      <c r="D27" s="625" t="s">
        <v>231</v>
      </c>
      <c r="E27" s="625" t="s">
        <v>231</v>
      </c>
      <c r="F27" s="625" t="s">
        <v>231</v>
      </c>
      <c r="G27" s="625" t="s">
        <v>231</v>
      </c>
      <c r="H27" s="625" t="s">
        <v>231</v>
      </c>
      <c r="I27" s="682"/>
      <c r="K27" s="628" t="s">
        <v>844</v>
      </c>
      <c r="L27" s="625" t="s">
        <v>231</v>
      </c>
      <c r="M27" s="625" t="s">
        <v>231</v>
      </c>
      <c r="N27" s="625" t="s">
        <v>231</v>
      </c>
      <c r="O27" s="625" t="s">
        <v>231</v>
      </c>
      <c r="P27" s="625" t="s">
        <v>231</v>
      </c>
      <c r="Q27" s="675"/>
    </row>
    <row r="28" spans="2:20" x14ac:dyDescent="0.25">
      <c r="C28" s="616" t="s">
        <v>847</v>
      </c>
      <c r="D28" s="614"/>
      <c r="E28" s="614"/>
      <c r="F28" s="614"/>
      <c r="G28" s="614"/>
      <c r="H28" s="614"/>
      <c r="I28" s="684"/>
      <c r="K28" s="616" t="s">
        <v>847</v>
      </c>
      <c r="L28" s="614"/>
      <c r="M28" s="614"/>
      <c r="N28" s="614"/>
      <c r="O28" s="614"/>
      <c r="P28" s="614"/>
      <c r="Q28" s="683"/>
    </row>
    <row r="29" spans="2:20" x14ac:dyDescent="0.25">
      <c r="B29" s="742" t="s">
        <v>1220</v>
      </c>
      <c r="C29" s="616" t="s">
        <v>848</v>
      </c>
      <c r="D29" s="614">
        <f>'Kopā ielas'!C10/D8*100</f>
        <v>96.719366209471957</v>
      </c>
      <c r="E29" s="614"/>
      <c r="F29" s="614">
        <f>'Kopā ielas'!E10/F8*100</f>
        <v>100</v>
      </c>
      <c r="G29" s="614">
        <f>'Kopā ielas'!F10/G8*100</f>
        <v>100</v>
      </c>
      <c r="H29" s="614"/>
      <c r="I29" s="684"/>
      <c r="K29" s="616" t="s">
        <v>848</v>
      </c>
      <c r="L29" s="614">
        <f>'Kopā ielas'!BS10/KOPĀ!L8*100</f>
        <v>96.719366209471957</v>
      </c>
      <c r="M29" s="614"/>
      <c r="N29" s="614">
        <f>'Kopā ielas'!BU10/KOPĀ!N8*100</f>
        <v>100</v>
      </c>
      <c r="O29" s="614">
        <f>'Kopā ielas'!BV10/KOPĀ!O8*100</f>
        <v>100</v>
      </c>
      <c r="P29" s="614"/>
      <c r="Q29" s="683"/>
    </row>
    <row r="30" spans="2:20" x14ac:dyDescent="0.25">
      <c r="B30" s="742" t="s">
        <v>1219</v>
      </c>
      <c r="C30" s="616"/>
      <c r="D30" s="614"/>
      <c r="E30" s="614"/>
      <c r="F30" s="614"/>
      <c r="G30" s="614"/>
      <c r="H30" s="614"/>
      <c r="I30" s="684"/>
      <c r="K30" s="616"/>
      <c r="L30" s="614"/>
      <c r="M30" s="614"/>
      <c r="N30" s="614"/>
      <c r="O30" s="614"/>
      <c r="P30" s="614"/>
      <c r="Q30" s="683"/>
    </row>
    <row r="31" spans="2:20" x14ac:dyDescent="0.25">
      <c r="B31" s="742" t="s">
        <v>966</v>
      </c>
      <c r="C31" s="616"/>
      <c r="D31" s="614">
        <f>'Kopā ielas'!C46/KOPĀ!$D$8*100</f>
        <v>0</v>
      </c>
      <c r="E31" s="614"/>
      <c r="F31" s="614"/>
      <c r="G31" s="614"/>
      <c r="H31" s="614"/>
      <c r="I31" s="684"/>
      <c r="K31" s="616"/>
      <c r="L31" s="614"/>
      <c r="M31" s="614"/>
      <c r="N31" s="614"/>
      <c r="O31" s="614"/>
      <c r="P31" s="614"/>
      <c r="Q31" s="683"/>
    </row>
    <row r="32" spans="2:20" x14ac:dyDescent="0.25">
      <c r="B32" s="742" t="s">
        <v>1221</v>
      </c>
      <c r="C32" s="616"/>
      <c r="D32" s="614">
        <f>'Kopā ielas'!C21/KOPĀ!$D$8*100</f>
        <v>0</v>
      </c>
      <c r="E32" s="614"/>
      <c r="F32" s="614"/>
      <c r="G32" s="614"/>
      <c r="H32" s="614"/>
      <c r="I32" s="684"/>
      <c r="K32" s="616"/>
      <c r="L32" s="614"/>
      <c r="M32" s="614"/>
      <c r="N32" s="614"/>
      <c r="O32" s="614"/>
      <c r="P32" s="614"/>
      <c r="Q32" s="683"/>
    </row>
    <row r="33" spans="2:20" x14ac:dyDescent="0.25">
      <c r="B33" s="742" t="s">
        <v>1222</v>
      </c>
      <c r="C33" s="616"/>
      <c r="D33" s="614"/>
      <c r="E33" s="614"/>
      <c r="F33" s="614"/>
      <c r="G33" s="614"/>
      <c r="H33" s="614"/>
      <c r="I33" s="684"/>
      <c r="K33" s="616"/>
      <c r="L33" s="614"/>
      <c r="M33" s="614"/>
      <c r="N33" s="614"/>
      <c r="O33" s="614"/>
      <c r="P33" s="614"/>
      <c r="Q33" s="683"/>
    </row>
    <row r="34" spans="2:20" x14ac:dyDescent="0.25">
      <c r="B34" s="742" t="s">
        <v>1223</v>
      </c>
      <c r="C34" s="616"/>
      <c r="D34" s="614"/>
      <c r="E34" s="614"/>
      <c r="F34" s="614"/>
      <c r="G34" s="614"/>
      <c r="H34" s="614"/>
      <c r="I34" s="684"/>
      <c r="K34" s="616"/>
      <c r="L34" s="614"/>
      <c r="M34" s="614"/>
      <c r="N34" s="614"/>
      <c r="O34" s="614"/>
      <c r="P34" s="614"/>
      <c r="Q34" s="683"/>
    </row>
    <row r="35" spans="2:20" x14ac:dyDescent="0.25">
      <c r="B35" s="742" t="s">
        <v>1224</v>
      </c>
      <c r="C35" s="616"/>
      <c r="D35" s="614"/>
      <c r="E35" s="614"/>
      <c r="F35" s="614"/>
      <c r="G35" s="614"/>
      <c r="H35" s="614"/>
      <c r="I35" s="684"/>
      <c r="K35" s="616"/>
      <c r="L35" s="614"/>
      <c r="M35" s="614"/>
      <c r="N35" s="614"/>
      <c r="O35" s="614"/>
      <c r="P35" s="614"/>
      <c r="Q35" s="683"/>
    </row>
    <row r="36" spans="2:20" x14ac:dyDescent="0.25">
      <c r="B36" s="742" t="s">
        <v>1225</v>
      </c>
      <c r="C36" s="616"/>
      <c r="D36" s="614"/>
      <c r="E36" s="614"/>
      <c r="F36" s="614"/>
      <c r="G36" s="614"/>
      <c r="H36" s="614"/>
      <c r="I36" s="684"/>
      <c r="K36" s="616"/>
      <c r="L36" s="614"/>
      <c r="M36" s="614"/>
      <c r="N36" s="614"/>
      <c r="O36" s="614"/>
      <c r="P36" s="614"/>
      <c r="Q36" s="683"/>
    </row>
    <row r="37" spans="2:20" x14ac:dyDescent="0.25">
      <c r="C37" s="616" t="s">
        <v>845</v>
      </c>
      <c r="D37" s="614">
        <f>D9/D11*100</f>
        <v>16.241286805503186</v>
      </c>
      <c r="E37" s="614">
        <f>'Kopā ielas'!D11/KOPĀ!E9*100</f>
        <v>100</v>
      </c>
      <c r="F37" s="614"/>
      <c r="G37" s="614">
        <f>'Kopā ielas'!F11/KOPĀ!G9*100</f>
        <v>54.18842698976394</v>
      </c>
      <c r="H37" s="614">
        <f>'Kopā ielas'!G11/KOPĀ!H9*100</f>
        <v>100</v>
      </c>
      <c r="I37" s="684"/>
      <c r="K37" s="616" t="s">
        <v>845</v>
      </c>
      <c r="L37" s="614">
        <f>KOPĀ!BT11/KOPĀ!L9*100</f>
        <v>0</v>
      </c>
      <c r="M37" s="614">
        <f>KOPĀ!BU11/KOPĀ!M9*100</f>
        <v>0</v>
      </c>
      <c r="N37" s="614"/>
      <c r="O37" s="614">
        <f>KOPĀ!BW11/KOPĀ!O9*100</f>
        <v>0</v>
      </c>
      <c r="P37" s="614">
        <f>KOPĀ!BX11/KOPĀ!P9*100</f>
        <v>0</v>
      </c>
      <c r="Q37" s="683"/>
    </row>
    <row r="38" spans="2:20" x14ac:dyDescent="0.25">
      <c r="C38" s="616" t="s">
        <v>846</v>
      </c>
      <c r="D38" s="614">
        <f>D10/D11*100</f>
        <v>52.888955924972258</v>
      </c>
      <c r="E38" s="614">
        <f>'Kopā ielas'!D12/KOPĀ!E10*100</f>
        <v>100</v>
      </c>
      <c r="F38" s="614">
        <f>'Kopā ielas'!E12/KOPĀ!F10*100</f>
        <v>100</v>
      </c>
      <c r="G38" s="614">
        <f>'Kopā ielas'!F12/KOPĀ!G10*100</f>
        <v>28.184293794031063</v>
      </c>
      <c r="H38" s="614">
        <f>'Kopā ielas'!G12/KOPĀ!H10*100</f>
        <v>5.0820953870211101</v>
      </c>
      <c r="I38" s="684"/>
      <c r="K38" s="616" t="s">
        <v>846</v>
      </c>
      <c r="L38" s="614">
        <f>KOPĀ!BT12/KOPĀ!L10*100</f>
        <v>0</v>
      </c>
      <c r="M38" s="614">
        <f>KOPĀ!BU12/KOPĀ!M10*100</f>
        <v>0</v>
      </c>
      <c r="N38" s="614">
        <f>KOPĀ!BV12/KOPĀ!N10*100</f>
        <v>0</v>
      </c>
      <c r="O38" s="614">
        <f>KOPĀ!BW12/KOPĀ!O10*100</f>
        <v>0</v>
      </c>
      <c r="P38" s="614">
        <f>KOPĀ!BX12/KOPĀ!P10*100</f>
        <v>0</v>
      </c>
      <c r="Q38" s="683"/>
      <c r="T38" s="746"/>
    </row>
    <row r="39" spans="2:20" x14ac:dyDescent="0.25">
      <c r="C39" s="667"/>
      <c r="D39" s="683"/>
      <c r="E39" s="683"/>
      <c r="F39" s="683"/>
      <c r="G39" s="683"/>
      <c r="H39" s="683"/>
      <c r="I39" s="684"/>
      <c r="K39" s="667"/>
      <c r="L39" s="683"/>
      <c r="M39" s="683"/>
      <c r="N39" s="683"/>
      <c r="O39" s="683"/>
      <c r="P39" s="683"/>
      <c r="Q39" s="684"/>
    </row>
    <row r="40" spans="2:20" x14ac:dyDescent="0.25">
      <c r="C40" s="667"/>
      <c r="D40" s="667"/>
      <c r="E40" s="667"/>
      <c r="F40" s="667"/>
      <c r="G40" s="667"/>
      <c r="H40" s="667"/>
      <c r="I40" s="667"/>
      <c r="K40" s="667"/>
      <c r="L40" s="667"/>
      <c r="M40" s="667"/>
      <c r="N40" s="667"/>
      <c r="O40" s="667"/>
      <c r="P40" s="667"/>
      <c r="Q40" s="667"/>
    </row>
    <row r="41" spans="2:20" x14ac:dyDescent="0.25">
      <c r="C41" s="776" t="s">
        <v>1211</v>
      </c>
      <c r="D41" s="776"/>
      <c r="E41" s="776"/>
      <c r="F41" s="776"/>
      <c r="G41" s="776"/>
      <c r="H41" s="776"/>
      <c r="I41" s="776"/>
      <c r="K41" s="776" t="s">
        <v>1212</v>
      </c>
      <c r="L41" s="776"/>
      <c r="M41" s="776"/>
      <c r="N41" s="776"/>
      <c r="O41" s="776"/>
      <c r="P41" s="776"/>
      <c r="Q41" s="776"/>
    </row>
    <row r="42" spans="2:20" ht="23.25" x14ac:dyDescent="0.25">
      <c r="C42" s="679"/>
      <c r="D42" s="669" t="s">
        <v>1092</v>
      </c>
      <c r="E42" s="669" t="s">
        <v>1093</v>
      </c>
      <c r="F42" s="669" t="s">
        <v>1094</v>
      </c>
      <c r="G42" s="669" t="s">
        <v>1095</v>
      </c>
      <c r="H42" s="669" t="s">
        <v>1096</v>
      </c>
      <c r="I42" s="747"/>
      <c r="K42" s="679"/>
      <c r="L42" s="669" t="s">
        <v>1092</v>
      </c>
      <c r="M42" s="669" t="s">
        <v>1093</v>
      </c>
      <c r="N42" s="669" t="s">
        <v>1094</v>
      </c>
      <c r="O42" s="669" t="s">
        <v>1095</v>
      </c>
      <c r="P42" s="669" t="s">
        <v>1096</v>
      </c>
      <c r="Q42" s="747"/>
    </row>
    <row r="43" spans="2:20" x14ac:dyDescent="0.25">
      <c r="C43" s="680" t="s">
        <v>844</v>
      </c>
      <c r="D43" s="669" t="s">
        <v>1226</v>
      </c>
      <c r="E43" s="669" t="s">
        <v>1226</v>
      </c>
      <c r="F43" s="669" t="s">
        <v>1226</v>
      </c>
      <c r="G43" s="669" t="s">
        <v>1226</v>
      </c>
      <c r="H43" s="669" t="s">
        <v>1226</v>
      </c>
      <c r="I43" s="748"/>
      <c r="K43" s="680" t="s">
        <v>844</v>
      </c>
      <c r="L43" s="669" t="s">
        <v>1226</v>
      </c>
      <c r="M43" s="669" t="s">
        <v>1226</v>
      </c>
      <c r="N43" s="669" t="s">
        <v>1226</v>
      </c>
      <c r="O43" s="669" t="s">
        <v>1226</v>
      </c>
      <c r="P43" s="669" t="s">
        <v>1226</v>
      </c>
      <c r="Q43" s="747"/>
    </row>
    <row r="44" spans="2:20" x14ac:dyDescent="0.25">
      <c r="C44" s="616" t="s">
        <v>847</v>
      </c>
      <c r="D44" s="614">
        <f>'Kopā ceļi'!C93</f>
        <v>0</v>
      </c>
      <c r="E44" s="614">
        <f>'Kopā ceļi'!D93</f>
        <v>0</v>
      </c>
      <c r="F44" s="614">
        <f>'Kopā ceļi'!E93</f>
        <v>0</v>
      </c>
      <c r="G44" s="614">
        <f>'Kopā ceļi'!F93</f>
        <v>0</v>
      </c>
      <c r="H44" s="614">
        <f>'Kopā ceļi'!G93</f>
        <v>0</v>
      </c>
      <c r="I44" s="684"/>
      <c r="K44" s="616" t="s">
        <v>847</v>
      </c>
      <c r="L44" s="624">
        <f>'Kopā ceļi'!BJ93</f>
        <v>0</v>
      </c>
      <c r="M44" s="624">
        <f>'Kopā ceļi'!BK93</f>
        <v>0</v>
      </c>
      <c r="N44" s="624">
        <f>'Kopā ceļi'!BL93</f>
        <v>0</v>
      </c>
      <c r="O44" s="624">
        <f>'Kopā ceļi'!BM93</f>
        <v>0</v>
      </c>
      <c r="P44" s="624">
        <f>'Kopā ceļi'!BN93</f>
        <v>0</v>
      </c>
      <c r="Q44" s="684"/>
    </row>
    <row r="45" spans="2:20" x14ac:dyDescent="0.25">
      <c r="C45" s="616" t="s">
        <v>848</v>
      </c>
      <c r="D45" s="614">
        <f>'Kopā ceļi'!C94</f>
        <v>0</v>
      </c>
      <c r="E45" s="614">
        <f>'Kopā ceļi'!D94</f>
        <v>0</v>
      </c>
      <c r="F45" s="614">
        <f>'Kopā ceļi'!E94</f>
        <v>0</v>
      </c>
      <c r="G45" s="614">
        <f>'Kopā ceļi'!F94</f>
        <v>0</v>
      </c>
      <c r="H45" s="614">
        <f>'Kopā ceļi'!G94</f>
        <v>0</v>
      </c>
      <c r="I45" s="684"/>
      <c r="K45" s="616" t="s">
        <v>848</v>
      </c>
      <c r="L45" s="624">
        <f>'Kopā ceļi'!BJ94</f>
        <v>0</v>
      </c>
      <c r="M45" s="624">
        <f>'Kopā ceļi'!BK94</f>
        <v>0</v>
      </c>
      <c r="N45" s="624">
        <f>'Kopā ceļi'!BL94</f>
        <v>0</v>
      </c>
      <c r="O45" s="624">
        <f>'Kopā ceļi'!BM94</f>
        <v>0</v>
      </c>
      <c r="P45" s="624">
        <f>'Kopā ceļi'!BN94</f>
        <v>0</v>
      </c>
      <c r="Q45" s="684"/>
    </row>
    <row r="46" spans="2:20" x14ac:dyDescent="0.25">
      <c r="B46" s="742" t="s">
        <v>1219</v>
      </c>
      <c r="C46" s="616" t="s">
        <v>845</v>
      </c>
      <c r="D46" s="624">
        <f>'Kopā ceļi'!C11/KOPĀ!D18*100</f>
        <v>17.215815485996703</v>
      </c>
      <c r="E46" s="624"/>
      <c r="F46" s="624"/>
      <c r="G46" s="624">
        <f>'Kopā ceļi'!F11/KOPĀ!G18*100</f>
        <v>19.158795223667802</v>
      </c>
      <c r="H46" s="624">
        <f>'Kopā ceļi'!G11/KOPĀ!H18*100</f>
        <v>2.9702970297029516</v>
      </c>
      <c r="I46" s="679"/>
      <c r="K46" s="616" t="s">
        <v>845</v>
      </c>
      <c r="L46" s="624">
        <f>'Kopā ceļi'!BJ11/KOPĀ!L18*100</f>
        <v>17.215815485996703</v>
      </c>
      <c r="M46" s="624"/>
      <c r="N46" s="624"/>
      <c r="O46" s="624">
        <f>'Kopā ceļi'!BM11/KOPĀ!O18*100</f>
        <v>15.762518968133538</v>
      </c>
      <c r="P46" s="624">
        <f>'Kopā ceļi'!BN11/KOPĀ!P18*100</f>
        <v>2.9702970297029516</v>
      </c>
      <c r="Q46" s="684"/>
    </row>
    <row r="47" spans="2:20" x14ac:dyDescent="0.25">
      <c r="B47" s="742" t="s">
        <v>966</v>
      </c>
      <c r="C47" s="616" t="s">
        <v>845</v>
      </c>
      <c r="D47" s="624">
        <f>'Kopā ceļi'!C29/KOPĀ!D18*100</f>
        <v>0</v>
      </c>
      <c r="E47" s="624"/>
      <c r="F47" s="624"/>
      <c r="G47" s="624">
        <f>'Kopā ceļi'!F29/KOPĀ!G18*100</f>
        <v>4.8654428800570315</v>
      </c>
      <c r="H47" s="624">
        <f>'Kopā ceļi'!G29/KOPĀ!H18*100</f>
        <v>0</v>
      </c>
      <c r="I47" s="679"/>
      <c r="K47" s="616" t="s">
        <v>845</v>
      </c>
      <c r="L47" s="624">
        <f>'Kopā ceļi'!BJ29/KOPĀ!L18*100</f>
        <v>0</v>
      </c>
      <c r="M47" s="624"/>
      <c r="N47" s="624"/>
      <c r="O47" s="624">
        <f>'Kopā ceļi'!BM29/KOPĀ!O18*100</f>
        <v>5.1783004552352043</v>
      </c>
      <c r="P47" s="624">
        <f>'Kopā ceļi'!BN29/KOPĀ!P18*100</f>
        <v>0</v>
      </c>
      <c r="Q47" s="684"/>
    </row>
    <row r="48" spans="2:20" x14ac:dyDescent="0.25">
      <c r="B48" s="742" t="s">
        <v>1221</v>
      </c>
      <c r="C48" s="616" t="s">
        <v>845</v>
      </c>
      <c r="D48" s="624">
        <f>'Kopā ceļi'!C20/KOPĀ!D18*100</f>
        <v>0</v>
      </c>
      <c r="E48" s="624"/>
      <c r="F48" s="624"/>
      <c r="G48" s="624">
        <f>'Kopā ceļi'!F20/KOPĀ!G18*100</f>
        <v>17.519158795223671</v>
      </c>
      <c r="H48" s="624">
        <f>'Kopā ceļi'!G20/KOPĀ!H18*100</f>
        <v>78.217821782178248</v>
      </c>
      <c r="I48" s="684"/>
      <c r="K48" s="616" t="s">
        <v>845</v>
      </c>
      <c r="L48" s="624">
        <f>'Kopā ceļi'!BJ20/KOPĀ!L18*100</f>
        <v>0</v>
      </c>
      <c r="M48" s="624"/>
      <c r="N48" s="624"/>
      <c r="O48" s="624">
        <f>'Kopā ceļi'!BM20/KOPĀ!O18*100</f>
        <v>17.896433990895293</v>
      </c>
      <c r="P48" s="624">
        <f>'Kopā ceļi'!BN20/KOPĀ!P18*100</f>
        <v>78.217821782178248</v>
      </c>
      <c r="Q48" s="684"/>
    </row>
    <row r="49" spans="1:20" x14ac:dyDescent="0.25">
      <c r="B49" s="742" t="s">
        <v>1222</v>
      </c>
      <c r="C49" s="616" t="s">
        <v>845</v>
      </c>
      <c r="D49" s="624">
        <f>'Kopā ceļi'!C38/KOPĀ!D18*100</f>
        <v>3.3772652388797355</v>
      </c>
      <c r="E49" s="624"/>
      <c r="F49" s="624"/>
      <c r="G49" s="624">
        <f>'Kopā ceļi'!F38/KOPĀ!G18*100</f>
        <v>25.512386383888792</v>
      </c>
      <c r="H49" s="624">
        <f>'Kopā ceļi'!G38/KOPĀ!H18*100</f>
        <v>0</v>
      </c>
      <c r="I49" s="684"/>
      <c r="K49" s="616" t="s">
        <v>845</v>
      </c>
      <c r="L49" s="624">
        <f>'Kopā ceļi'!BJ38/KOPĀ!L18*100</f>
        <v>3.3772652388797355</v>
      </c>
      <c r="M49" s="624"/>
      <c r="N49" s="624"/>
      <c r="O49" s="624">
        <f>'Kopā ceļi'!BM38/KOPĀ!O18*100</f>
        <v>27.152883156297413</v>
      </c>
      <c r="P49" s="624">
        <f>'Kopā ceļi'!BN38/KOPĀ!P18*100</f>
        <v>0</v>
      </c>
      <c r="Q49" s="684"/>
    </row>
    <row r="50" spans="1:20" x14ac:dyDescent="0.25">
      <c r="B50" s="742" t="s">
        <v>1223</v>
      </c>
      <c r="C50" s="616" t="s">
        <v>845</v>
      </c>
      <c r="D50" s="624">
        <f>'Kopā ceļi'!C47/KOPĀ!D18*100</f>
        <v>0</v>
      </c>
      <c r="E50" s="624"/>
      <c r="F50" s="624"/>
      <c r="G50" s="624">
        <f>'Kopā ceļi'!F47/KOPĀ!G18*100</f>
        <v>11.183389770094459</v>
      </c>
      <c r="H50" s="624">
        <f>'Kopā ceļi'!G47/KOPĀ!H18*100</f>
        <v>18.811881188118814</v>
      </c>
      <c r="I50" s="684"/>
      <c r="K50" s="616" t="s">
        <v>845</v>
      </c>
      <c r="L50" s="624">
        <f>'Kopā ceļi'!BJ47/KOPĀ!L18*100</f>
        <v>0</v>
      </c>
      <c r="M50" s="624"/>
      <c r="N50" s="624"/>
      <c r="O50" s="624">
        <f>'Kopā ceļi'!BM47/KOPĀ!O18*100</f>
        <v>10.849772382397569</v>
      </c>
      <c r="P50" s="624">
        <f>'Kopā ceļi'!BN47/KOPĀ!P18*100</f>
        <v>18.811881188118814</v>
      </c>
      <c r="Q50" s="684"/>
    </row>
    <row r="51" spans="1:20" x14ac:dyDescent="0.25">
      <c r="B51" s="742" t="s">
        <v>1224</v>
      </c>
      <c r="C51" s="616" t="s">
        <v>845</v>
      </c>
      <c r="D51" s="624">
        <f>'Kopā ceļi'!C56/KOPĀ!D18*100</f>
        <v>70.840197693574964</v>
      </c>
      <c r="E51" s="624"/>
      <c r="F51" s="624"/>
      <c r="G51" s="624">
        <f>'Kopā ceļi'!F56/KOPĀ!G18*100</f>
        <v>18.873641062199255</v>
      </c>
      <c r="H51" s="624">
        <f>'Kopā ceļi'!G56/KOPĀ!H18*100</f>
        <v>0</v>
      </c>
      <c r="I51" s="684"/>
      <c r="K51" s="616" t="s">
        <v>845</v>
      </c>
      <c r="L51" s="624">
        <f>'Kopā ceļi'!BJ56/KOPĀ!L18*100</f>
        <v>70.840197693574964</v>
      </c>
      <c r="M51" s="624"/>
      <c r="N51" s="624"/>
      <c r="O51" s="624">
        <f>'Kopā ceļi'!BM56/KOPĀ!O18*100</f>
        <v>20.087253414264033</v>
      </c>
      <c r="P51" s="624">
        <f>'Kopā ceļi'!BN56/KOPĀ!P18*100</f>
        <v>0</v>
      </c>
      <c r="Q51" s="684"/>
    </row>
    <row r="52" spans="1:20" x14ac:dyDescent="0.25">
      <c r="B52" s="742" t="s">
        <v>1225</v>
      </c>
      <c r="C52" s="616" t="s">
        <v>845</v>
      </c>
      <c r="D52" s="624">
        <f>'Kopā ceļi'!C65/KOPĀ!D18*100</f>
        <v>8.5667215815485989</v>
      </c>
      <c r="E52" s="624"/>
      <c r="F52" s="624"/>
      <c r="G52" s="624">
        <f>'Kopā ceļi'!F65/KOPĀ!G18*100</f>
        <v>2.887185884869008</v>
      </c>
      <c r="H52" s="624">
        <f>'Kopā ceļi'!G65/KOPĀ!H18*100</f>
        <v>0</v>
      </c>
      <c r="I52" s="684"/>
      <c r="K52" s="616" t="s">
        <v>845</v>
      </c>
      <c r="L52" s="624">
        <f>'Kopā ceļi'!BJ65/KOPĀ!L18*100</f>
        <v>8.5667215815485989</v>
      </c>
      <c r="M52" s="624"/>
      <c r="N52" s="624"/>
      <c r="O52" s="624">
        <f>'Kopā ceļi'!BM65/KOPĀ!O18*100</f>
        <v>3.0728376327769347</v>
      </c>
      <c r="P52" s="624">
        <f>'Kopā ceļi'!BN65/KOPĀ!P18*100</f>
        <v>0</v>
      </c>
      <c r="Q52" s="684"/>
    </row>
    <row r="53" spans="1:20" x14ac:dyDescent="0.25">
      <c r="B53" s="742"/>
      <c r="C53" s="616"/>
      <c r="D53" s="668">
        <f>SUM(D46:D52)</f>
        <v>100</v>
      </c>
      <c r="E53" s="668">
        <f t="shared" ref="E53:H53" si="0">SUM(E46:E52)</f>
        <v>0</v>
      </c>
      <c r="F53" s="668">
        <f t="shared" si="0"/>
        <v>0</v>
      </c>
      <c r="G53" s="668">
        <f t="shared" si="0"/>
        <v>100.00000000000003</v>
      </c>
      <c r="H53" s="668">
        <f t="shared" si="0"/>
        <v>100.00000000000001</v>
      </c>
      <c r="I53" s="684"/>
      <c r="K53" s="616"/>
      <c r="L53" s="668">
        <f>SUM(L46:L52)</f>
        <v>100</v>
      </c>
      <c r="M53" s="668">
        <f t="shared" ref="M53" si="1">SUM(M46:M52)</f>
        <v>0</v>
      </c>
      <c r="N53" s="668">
        <f t="shared" ref="N53" si="2">SUM(N46:N52)</f>
        <v>0</v>
      </c>
      <c r="O53" s="668">
        <f t="shared" ref="O53" si="3">SUM(O46:O52)</f>
        <v>99.999999999999986</v>
      </c>
      <c r="P53" s="668">
        <f t="shared" ref="P53" si="4">SUM(P46:P52)</f>
        <v>100.00000000000001</v>
      </c>
      <c r="Q53" s="684"/>
    </row>
    <row r="54" spans="1:20" x14ac:dyDescent="0.25">
      <c r="A54" s="743"/>
      <c r="B54" s="744" t="s">
        <v>1219</v>
      </c>
      <c r="C54" s="745" t="s">
        <v>846</v>
      </c>
      <c r="D54" s="624">
        <f>'Kopā ceļi'!C12/KOPĀ!D19*100</f>
        <v>21.141649048625791</v>
      </c>
      <c r="E54" s="624"/>
      <c r="F54" s="624">
        <f>'Kopā ceļi'!E12/KOPĀ!F19*100</f>
        <v>0</v>
      </c>
      <c r="G54" s="624">
        <f>'Kopā ceļi'!F12/KOPĀ!G19*100</f>
        <v>7.8401417702954568</v>
      </c>
      <c r="H54" s="614">
        <f>'Kopā ceļi'!G12/KOPĀ!H19*100</f>
        <v>10.516467065868264</v>
      </c>
      <c r="I54" s="684"/>
      <c r="K54" s="616" t="s">
        <v>846</v>
      </c>
      <c r="L54" s="624">
        <f>'Kopā ceļi'!BJ12/KOPĀ!L19*100</f>
        <v>21.551724137931032</v>
      </c>
      <c r="M54" s="624"/>
      <c r="N54" s="624">
        <f>'Kopā ceļi'!BL12/KOPĀ!N19*100</f>
        <v>0</v>
      </c>
      <c r="O54" s="624">
        <f>'Kopā ceļi'!BM12/KOPĀ!O19*100</f>
        <v>7.6387998461341216</v>
      </c>
      <c r="P54" s="624">
        <f>'Kopā ceļi'!BN12/KOPĀ!P19*100</f>
        <v>10.201660735468565</v>
      </c>
      <c r="Q54" s="684"/>
    </row>
    <row r="55" spans="1:20" x14ac:dyDescent="0.25">
      <c r="A55" s="743"/>
      <c r="B55" s="744" t="s">
        <v>966</v>
      </c>
      <c r="C55" s="745" t="s">
        <v>846</v>
      </c>
      <c r="D55" s="624">
        <f>'Kopā ceļi'!C30/KOPĀ!D19*100</f>
        <v>0</v>
      </c>
      <c r="E55" s="624"/>
      <c r="F55" s="624">
        <f>'Kopā ceļi'!E30/KOPĀ!F19*100</f>
        <v>7.0707070707070718</v>
      </c>
      <c r="G55" s="624">
        <f>'Kopā ceļi'!F30/KOPĀ!G19*100</f>
        <v>8.31983867518103</v>
      </c>
      <c r="H55" s="614">
        <f>'Kopā ceļi'!G30/KOPĀ!H19*100</f>
        <v>2.6571856287425151</v>
      </c>
      <c r="I55" s="684"/>
      <c r="K55" s="616" t="s">
        <v>846</v>
      </c>
      <c r="L55" s="624">
        <f>'Kopā ceļi'!BJ30/KOPĀ!L19*100</f>
        <v>0</v>
      </c>
      <c r="M55" s="624"/>
      <c r="N55" s="624">
        <f>'Kopā ceļi'!BL30/KOPĀ!N19*100</f>
        <v>7.0707070707070718</v>
      </c>
      <c r="O55" s="624">
        <f>'Kopā ceļi'!BM30/KOPĀ!O19*100</f>
        <v>8.5812283626105899</v>
      </c>
      <c r="P55" s="624">
        <f>'Kopā ceļi'!BN30/KOPĀ!P19*100</f>
        <v>2.807433768287861</v>
      </c>
      <c r="Q55" s="684"/>
    </row>
    <row r="56" spans="1:20" x14ac:dyDescent="0.25">
      <c r="A56" s="743"/>
      <c r="B56" s="744" t="s">
        <v>1221</v>
      </c>
      <c r="C56" s="745" t="s">
        <v>846</v>
      </c>
      <c r="D56" s="624">
        <f>'Kopā ceļi'!C21/KOPĀ!D19*100</f>
        <v>7.8224101479915431</v>
      </c>
      <c r="E56" s="624"/>
      <c r="F56" s="624">
        <f>'Kopā ceļi'!E21/KOPĀ!F19*100</f>
        <v>0</v>
      </c>
      <c r="G56" s="624">
        <f>'Kopā ceļi'!F21/KOPĀ!G19*100</f>
        <v>20.046441993339233</v>
      </c>
      <c r="H56" s="614">
        <f>'Kopā ceļi'!G21/KOPĀ!H19*100</f>
        <v>10.853293413173652</v>
      </c>
      <c r="I56" s="684"/>
      <c r="K56" s="616" t="s">
        <v>846</v>
      </c>
      <c r="L56" s="624">
        <f>'Kopā ceļi'!BJ21/KOPĀ!L19*100</f>
        <v>7.9741379310344822</v>
      </c>
      <c r="M56" s="624"/>
      <c r="N56" s="624">
        <f>'Kopā ceļi'!BL21/KOPĀ!N19*100</f>
        <v>0</v>
      </c>
      <c r="O56" s="624">
        <f>'Kopā ceļi'!BM21/KOPĀ!O19*100</f>
        <v>18.319656366200793</v>
      </c>
      <c r="P56" s="624">
        <f>'Kopā ceļi'!BN21/KOPĀ!P19*100</f>
        <v>8.6990905496243585</v>
      </c>
      <c r="Q56" s="684"/>
    </row>
    <row r="57" spans="1:20" x14ac:dyDescent="0.25">
      <c r="A57" s="743"/>
      <c r="B57" s="744" t="s">
        <v>1222</v>
      </c>
      <c r="C57" s="745" t="s">
        <v>846</v>
      </c>
      <c r="D57" s="624">
        <f>'Kopā ceļi'!C39/KOPĀ!D19*100</f>
        <v>0</v>
      </c>
      <c r="E57" s="624"/>
      <c r="F57" s="624">
        <f>'Kopā ceļi'!E39/KOPĀ!F19*100</f>
        <v>0</v>
      </c>
      <c r="G57" s="624">
        <f>'Kopā ceļi'!F39/KOPĀ!G19*100</f>
        <v>27.6727061627303</v>
      </c>
      <c r="H57" s="614">
        <f>'Kopā ceļi'!G39/KOPĀ!H19*100</f>
        <v>4.9401197604790426</v>
      </c>
      <c r="I57" s="684"/>
      <c r="K57" s="616" t="s">
        <v>846</v>
      </c>
      <c r="L57" s="624">
        <f>'Kopā ceļi'!BJ39/KOPĀ!L19*100</f>
        <v>0</v>
      </c>
      <c r="M57" s="624"/>
      <c r="N57" s="624">
        <f>'Kopā ceļi'!BL39/KOPĀ!N19*100</f>
        <v>0</v>
      </c>
      <c r="O57" s="624">
        <f>'Kopā ceļi'!BM39/KOPĀ!O19*100</f>
        <v>28.19592255417362</v>
      </c>
      <c r="P57" s="624">
        <f>'Kopā ceļi'!BN39/KOPĀ!P19*100</f>
        <v>5.2194543297746154</v>
      </c>
      <c r="Q57" s="684"/>
    </row>
    <row r="58" spans="1:20" x14ac:dyDescent="0.25">
      <c r="A58" s="743"/>
      <c r="B58" s="744" t="s">
        <v>1223</v>
      </c>
      <c r="C58" s="745" t="s">
        <v>846</v>
      </c>
      <c r="D58" s="624">
        <f>'Kopā ceļi'!C48/KOPĀ!D19*100</f>
        <v>36.152219873150102</v>
      </c>
      <c r="E58" s="624"/>
      <c r="F58" s="624">
        <f>'Kopā ceļi'!E48/KOPĀ!F19*100</f>
        <v>0</v>
      </c>
      <c r="G58" s="624">
        <f>'Kopā ceļi'!F48/KOPĀ!G19*100</f>
        <v>3.4250970087689834</v>
      </c>
      <c r="H58" s="614">
        <f>'Kopā ceļi'!G48/KOPĀ!H19*100</f>
        <v>22.866766467065872</v>
      </c>
      <c r="I58" s="684"/>
      <c r="K58" s="616" t="s">
        <v>846</v>
      </c>
      <c r="L58" s="624">
        <f>'Kopā ceļi'!BJ48/KOPĀ!L19*100</f>
        <v>34.913793103448278</v>
      </c>
      <c r="M58" s="624"/>
      <c r="N58" s="624">
        <f>'Kopā ceļi'!BL48/KOPĀ!N19*100</f>
        <v>0</v>
      </c>
      <c r="O58" s="624">
        <f>'Kopā ceļi'!BM48/KOPĀ!O19*100</f>
        <v>3.0260289780741143</v>
      </c>
      <c r="P58" s="624">
        <f>'Kopā ceļi'!BN48/KOPĀ!P19*100</f>
        <v>22.182680901542113</v>
      </c>
      <c r="Q58" s="684"/>
    </row>
    <row r="59" spans="1:20" x14ac:dyDescent="0.25">
      <c r="A59" s="743"/>
      <c r="B59" s="744" t="s">
        <v>1224</v>
      </c>
      <c r="C59" s="745" t="s">
        <v>846</v>
      </c>
      <c r="D59" s="624">
        <f>'Kopā ceļi'!C57/KOPĀ!D19*100</f>
        <v>32.769556025369987</v>
      </c>
      <c r="E59" s="624"/>
      <c r="F59" s="624">
        <f>'Kopā ceļi'!E57/KOPĀ!F19*100</f>
        <v>92.929292929292941</v>
      </c>
      <c r="G59" s="624">
        <f>'Kopā ceļi'!F57/KOPĀ!G19*100</f>
        <v>21.855235418130707</v>
      </c>
      <c r="H59" s="614">
        <f>'Kopā ceļi'!G57/KOPĀ!H19*100</f>
        <v>13.323353293413174</v>
      </c>
      <c r="I59" s="684"/>
      <c r="K59" s="616" t="s">
        <v>846</v>
      </c>
      <c r="L59" s="624">
        <f>'Kopā ceļi'!BJ57/KOPĀ!L19*100</f>
        <v>33.405172413793103</v>
      </c>
      <c r="M59" s="624"/>
      <c r="N59" s="624">
        <f>'Kopā ceļi'!BL57/KOPĀ!N19*100</f>
        <v>92.929292929292941</v>
      </c>
      <c r="O59" s="624">
        <f>'Kopā ceļi'!BM57/KOPĀ!O19*100</f>
        <v>22.865110911655343</v>
      </c>
      <c r="P59" s="624">
        <f>'Kopā ceļi'!BN57/KOPĀ!P19*100</f>
        <v>14.076710162119413</v>
      </c>
      <c r="Q59" s="684"/>
    </row>
    <row r="60" spans="1:20" x14ac:dyDescent="0.25">
      <c r="A60" s="743"/>
      <c r="B60" s="744" t="s">
        <v>1225</v>
      </c>
      <c r="C60" s="745" t="s">
        <v>846</v>
      </c>
      <c r="D60" s="624">
        <f>'Kopā ceļi'!C66/KOPĀ!D19*100</f>
        <v>2.1141649048625788</v>
      </c>
      <c r="E60" s="624"/>
      <c r="F60" s="624">
        <f>'Kopā ceļi'!E66/KOPĀ!F19*100</f>
        <v>0</v>
      </c>
      <c r="G60" s="624">
        <f>'Kopā ceļi'!F66/KOPĀ!G19*100</f>
        <v>10.840538971554279</v>
      </c>
      <c r="H60" s="614">
        <f>'Kopā ceļi'!G66/KOPĀ!H19*100</f>
        <v>34.842814371257489</v>
      </c>
      <c r="I60" s="684"/>
      <c r="K60" s="616" t="s">
        <v>846</v>
      </c>
      <c r="L60" s="624">
        <f>'Kopā ceļi'!BJ66/KOPĀ!L19*100</f>
        <v>2.1551724137931028</v>
      </c>
      <c r="M60" s="624"/>
      <c r="N60" s="624">
        <f>'Kopā ceļi'!BL66/KOPĀ!N19*100</f>
        <v>0</v>
      </c>
      <c r="O60" s="624">
        <f>'Kopā ceļi'!BM66/KOPĀ!O19*100</f>
        <v>11.373252981151431</v>
      </c>
      <c r="P60" s="624">
        <f>'Kopā ceļi'!BN66/KOPĀ!P19*100</f>
        <v>36.812969553183081</v>
      </c>
      <c r="Q60" s="684"/>
    </row>
    <row r="61" spans="1:20" x14ac:dyDescent="0.25">
      <c r="C61" s="667"/>
      <c r="D61" s="668">
        <f>SUM(D54:D60)</f>
        <v>100</v>
      </c>
      <c r="E61" s="668">
        <f t="shared" ref="E61" si="5">SUM(E54:E60)</f>
        <v>0</v>
      </c>
      <c r="F61" s="668">
        <f t="shared" ref="F61" si="6">SUM(F54:F60)</f>
        <v>100.00000000000001</v>
      </c>
      <c r="G61" s="668">
        <f t="shared" ref="G61" si="7">SUM(G54:G60)</f>
        <v>99.999999999999986</v>
      </c>
      <c r="H61" s="668">
        <f t="shared" ref="H61" si="8">SUM(H54:H60)</f>
        <v>100.00000000000001</v>
      </c>
      <c r="I61" s="684"/>
      <c r="K61" s="667"/>
      <c r="L61" s="668">
        <f>SUM(L54:L60)</f>
        <v>99.999999999999986</v>
      </c>
      <c r="M61" s="668">
        <f t="shared" ref="M61" si="9">SUM(M54:M60)</f>
        <v>0</v>
      </c>
      <c r="N61" s="668">
        <f t="shared" ref="N61" si="10">SUM(N54:N60)</f>
        <v>100.00000000000001</v>
      </c>
      <c r="O61" s="668">
        <f t="shared" ref="O61" si="11">SUM(O54:O60)</f>
        <v>100.00000000000003</v>
      </c>
      <c r="P61" s="668">
        <f t="shared" ref="P61" si="12">SUM(P54:P60)</f>
        <v>100</v>
      </c>
      <c r="Q61" s="684"/>
    </row>
    <row r="62" spans="1:20" x14ac:dyDescent="0.25">
      <c r="I62" s="633">
        <f>I39+I61</f>
        <v>0</v>
      </c>
      <c r="Q62" s="633">
        <f>Q39+Q61</f>
        <v>0</v>
      </c>
      <c r="T62" s="633">
        <f>I62-Q62</f>
        <v>0</v>
      </c>
    </row>
    <row r="63" spans="1:20" x14ac:dyDescent="0.25">
      <c r="I63">
        <v>691.45499999999993</v>
      </c>
      <c r="Q63">
        <v>665.79699999999991</v>
      </c>
      <c r="T63">
        <v>25.658000000000015</v>
      </c>
    </row>
    <row r="96" spans="3:15" x14ac:dyDescent="0.25">
      <c r="C96" s="403" t="s">
        <v>835</v>
      </c>
      <c r="D96" s="403"/>
      <c r="E96" s="774"/>
      <c r="F96" s="774"/>
      <c r="G96" s="774"/>
      <c r="H96" s="162"/>
      <c r="I96" s="162"/>
      <c r="J96" s="159"/>
      <c r="K96" s="159"/>
      <c r="L96" s="396"/>
      <c r="M96" s="396"/>
      <c r="N96" s="396"/>
      <c r="O96" s="63"/>
    </row>
    <row r="97" spans="3:15" x14ac:dyDescent="0.25">
      <c r="C97" s="403" t="s">
        <v>836</v>
      </c>
      <c r="D97" s="403"/>
      <c r="E97" s="399" t="s">
        <v>1270</v>
      </c>
      <c r="F97" s="399"/>
      <c r="G97" s="399"/>
      <c r="H97" s="399"/>
      <c r="I97" s="399"/>
      <c r="J97" s="399"/>
      <c r="K97" s="399"/>
      <c r="L97" s="652"/>
      <c r="M97" s="397"/>
      <c r="N97" s="397"/>
      <c r="O97" s="63"/>
    </row>
    <row r="98" spans="3:15" x14ac:dyDescent="0.25">
      <c r="C98" s="403"/>
      <c r="D98" s="403"/>
      <c r="E98" s="778" t="s">
        <v>837</v>
      </c>
      <c r="F98" s="778"/>
      <c r="G98" s="778"/>
      <c r="H98" s="778"/>
      <c r="I98" s="778"/>
      <c r="J98" s="778"/>
      <c r="K98" s="778"/>
      <c r="L98" s="396"/>
      <c r="M98" s="779" t="s">
        <v>838</v>
      </c>
      <c r="N98" s="779"/>
      <c r="O98" s="63"/>
    </row>
    <row r="99" spans="3:15" x14ac:dyDescent="0.25">
      <c r="C99" s="403" t="s">
        <v>835</v>
      </c>
      <c r="D99" s="403"/>
      <c r="E99" s="774"/>
      <c r="F99" s="774"/>
      <c r="G99" s="774"/>
      <c r="H99" s="398"/>
      <c r="I99" s="398"/>
      <c r="J99" s="161"/>
      <c r="K99" s="161"/>
      <c r="L99" s="396"/>
      <c r="M99" s="396"/>
      <c r="N99" s="396"/>
      <c r="O99" s="63"/>
    </row>
    <row r="100" spans="3:15" x14ac:dyDescent="0.25">
      <c r="C100" s="403" t="s">
        <v>839</v>
      </c>
      <c r="D100" s="403"/>
      <c r="E100" s="780" t="s">
        <v>1099</v>
      </c>
      <c r="F100" s="780"/>
      <c r="G100" s="780"/>
      <c r="H100" s="780"/>
      <c r="I100" s="780"/>
      <c r="J100" s="780"/>
      <c r="K100" s="780"/>
      <c r="L100" s="396"/>
      <c r="M100" s="397"/>
      <c r="N100" s="397"/>
      <c r="O100" s="63"/>
    </row>
    <row r="101" spans="3:15" x14ac:dyDescent="0.25">
      <c r="C101" s="403"/>
      <c r="D101" s="403"/>
      <c r="E101" s="778" t="s">
        <v>837</v>
      </c>
      <c r="F101" s="778"/>
      <c r="G101" s="778"/>
      <c r="H101" s="778"/>
      <c r="I101" s="778"/>
      <c r="J101" s="778"/>
      <c r="K101" s="778"/>
      <c r="L101" s="396"/>
      <c r="M101" s="779" t="s">
        <v>838</v>
      </c>
      <c r="N101" s="779"/>
      <c r="O101" s="63"/>
    </row>
    <row r="102" spans="3:15" x14ac:dyDescent="0.25">
      <c r="C102" s="80"/>
      <c r="D102" s="80"/>
      <c r="E102" s="40"/>
      <c r="F102" s="40"/>
      <c r="G102" s="400"/>
      <c r="H102" s="401"/>
      <c r="I102" s="402"/>
      <c r="J102" s="396"/>
      <c r="K102" s="396"/>
      <c r="L102" s="396"/>
      <c r="M102" s="396"/>
      <c r="N102" s="396"/>
      <c r="O102" s="396"/>
    </row>
  </sheetData>
  <mergeCells count="16">
    <mergeCell ref="E98:K98"/>
    <mergeCell ref="M98:N98"/>
    <mergeCell ref="E99:G99"/>
    <mergeCell ref="E100:K100"/>
    <mergeCell ref="E101:K101"/>
    <mergeCell ref="M101:N101"/>
    <mergeCell ref="C13:I13"/>
    <mergeCell ref="C4:I4"/>
    <mergeCell ref="C2:Q2"/>
    <mergeCell ref="K4:Q4"/>
    <mergeCell ref="K13:Q13"/>
    <mergeCell ref="E96:G96"/>
    <mergeCell ref="C25:I25"/>
    <mergeCell ref="K25:Q25"/>
    <mergeCell ref="C41:I41"/>
    <mergeCell ref="K41:Q4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21"/>
  <sheetViews>
    <sheetView topLeftCell="A4" zoomScale="130" zoomScaleNormal="130" workbookViewId="0">
      <selection activeCell="D141" sqref="D141"/>
    </sheetView>
  </sheetViews>
  <sheetFormatPr defaultColWidth="8.85546875" defaultRowHeight="11.25" x14ac:dyDescent="0.25"/>
  <cols>
    <col min="1" max="1" width="5.85546875" style="750" customWidth="1"/>
    <col min="2" max="2" width="13.28515625" style="750" customWidth="1"/>
    <col min="3" max="3" width="33.28515625" style="750" customWidth="1"/>
    <col min="4" max="4" width="18.28515625" style="750" customWidth="1"/>
    <col min="5" max="5" width="8.85546875" style="750"/>
    <col min="6" max="9" width="8.85546875" style="752"/>
    <col min="10" max="16384" width="8.85546875" style="750"/>
  </cols>
  <sheetData>
    <row r="1" spans="1:15" ht="11.25" customHeight="1" x14ac:dyDescent="0.25">
      <c r="E1" s="753"/>
      <c r="F1" s="753"/>
      <c r="G1" s="753"/>
      <c r="H1" s="754"/>
    </row>
    <row r="2" spans="1:15" s="749" customFormat="1" ht="58.15" customHeight="1" x14ac:dyDescent="0.25">
      <c r="A2" s="766" t="s">
        <v>1227</v>
      </c>
      <c r="B2" s="766" t="s">
        <v>1239</v>
      </c>
      <c r="C2" s="766" t="s">
        <v>1228</v>
      </c>
      <c r="D2" s="766" t="s">
        <v>1229</v>
      </c>
      <c r="E2" s="765" t="s">
        <v>1241</v>
      </c>
      <c r="F2" s="765" t="s">
        <v>881</v>
      </c>
      <c r="G2" s="765" t="s">
        <v>1243</v>
      </c>
      <c r="H2" s="765" t="s">
        <v>1242</v>
      </c>
      <c r="I2" s="751"/>
    </row>
    <row r="3" spans="1:15" s="752" customFormat="1" x14ac:dyDescent="0.25">
      <c r="A3" s="762">
        <v>1</v>
      </c>
      <c r="B3" s="763" t="s">
        <v>966</v>
      </c>
      <c r="C3" s="764" t="s">
        <v>1230</v>
      </c>
      <c r="D3" s="755">
        <v>42660040195</v>
      </c>
      <c r="E3" s="758">
        <v>0.17</v>
      </c>
      <c r="F3" s="759">
        <v>3</v>
      </c>
      <c r="G3" s="760">
        <v>500</v>
      </c>
      <c r="H3" s="758" t="s">
        <v>0</v>
      </c>
    </row>
    <row r="4" spans="1:15" s="752" customFormat="1" ht="22.5" x14ac:dyDescent="0.25">
      <c r="A4" s="762">
        <v>2</v>
      </c>
      <c r="B4" s="763" t="s">
        <v>1224</v>
      </c>
      <c r="C4" s="764" t="s">
        <v>1231</v>
      </c>
      <c r="D4" s="755">
        <v>80680070410</v>
      </c>
      <c r="E4" s="758">
        <v>0.09</v>
      </c>
      <c r="F4" s="759">
        <v>3.5</v>
      </c>
      <c r="G4" s="760">
        <v>900</v>
      </c>
      <c r="H4" s="761" t="s">
        <v>0</v>
      </c>
      <c r="I4" s="756">
        <v>300</v>
      </c>
      <c r="J4" s="757" t="s">
        <v>857</v>
      </c>
    </row>
    <row r="5" spans="1:15" s="752" customFormat="1" ht="33.75" x14ac:dyDescent="0.25">
      <c r="A5" s="762">
        <v>3</v>
      </c>
      <c r="B5" s="763" t="s">
        <v>1225</v>
      </c>
      <c r="C5" s="764" t="s">
        <v>1238</v>
      </c>
      <c r="D5" s="755">
        <v>66560020529</v>
      </c>
      <c r="E5" s="758">
        <v>0.14000000000000001</v>
      </c>
      <c r="F5" s="759">
        <v>3</v>
      </c>
      <c r="G5" s="760" t="s">
        <v>421</v>
      </c>
      <c r="H5" s="758" t="s">
        <v>0</v>
      </c>
    </row>
    <row r="6" spans="1:15" s="752" customFormat="1" ht="22.5" x14ac:dyDescent="0.25">
      <c r="A6" s="762">
        <v>4</v>
      </c>
      <c r="B6" s="763" t="s">
        <v>1224</v>
      </c>
      <c r="C6" s="764" t="s">
        <v>1232</v>
      </c>
      <c r="D6" s="755">
        <v>80680080179</v>
      </c>
      <c r="E6" s="758">
        <v>5.5E-2</v>
      </c>
      <c r="F6" s="759">
        <v>4</v>
      </c>
      <c r="G6" s="760">
        <v>500</v>
      </c>
      <c r="H6" s="762" t="s">
        <v>857</v>
      </c>
    </row>
    <row r="7" spans="1:15" s="752" customFormat="1" ht="22.5" x14ac:dyDescent="0.25">
      <c r="A7" s="762">
        <v>5</v>
      </c>
      <c r="B7" s="763" t="s">
        <v>1222</v>
      </c>
      <c r="C7" s="764" t="s">
        <v>1233</v>
      </c>
      <c r="D7" s="755">
        <v>80740030635</v>
      </c>
      <c r="E7" s="758">
        <v>0.13500000000000001</v>
      </c>
      <c r="F7" s="759">
        <v>2.5</v>
      </c>
      <c r="G7" s="760" t="s">
        <v>421</v>
      </c>
      <c r="H7" s="761" t="s">
        <v>5</v>
      </c>
      <c r="I7" s="752" t="s">
        <v>1244</v>
      </c>
    </row>
    <row r="8" spans="1:15" s="752" customFormat="1" x14ac:dyDescent="0.25">
      <c r="A8" s="762">
        <v>6</v>
      </c>
      <c r="B8" s="763" t="s">
        <v>1222</v>
      </c>
      <c r="C8" s="764" t="s">
        <v>1234</v>
      </c>
      <c r="D8" s="755">
        <v>80740050250</v>
      </c>
      <c r="E8" s="758" t="s">
        <v>421</v>
      </c>
      <c r="F8" s="759" t="s">
        <v>421</v>
      </c>
      <c r="G8" s="760">
        <v>150</v>
      </c>
      <c r="H8" s="758" t="s">
        <v>0</v>
      </c>
    </row>
    <row r="9" spans="1:15" s="752" customFormat="1" x14ac:dyDescent="0.25">
      <c r="A9" s="762">
        <v>7</v>
      </c>
      <c r="B9" s="763" t="s">
        <v>1240</v>
      </c>
      <c r="C9" s="764" t="s">
        <v>1235</v>
      </c>
      <c r="D9" s="755">
        <v>80640060864</v>
      </c>
      <c r="E9" s="758">
        <v>0.12</v>
      </c>
      <c r="F9" s="759">
        <v>3</v>
      </c>
      <c r="G9" s="760">
        <f>6*120</f>
        <v>720</v>
      </c>
      <c r="H9" s="758" t="s">
        <v>0</v>
      </c>
    </row>
    <row r="10" spans="1:15" s="752" customFormat="1" ht="22.5" x14ac:dyDescent="0.25">
      <c r="A10" s="762">
        <v>8</v>
      </c>
      <c r="B10" s="763" t="s">
        <v>1223</v>
      </c>
      <c r="C10" s="764" t="s">
        <v>1236</v>
      </c>
      <c r="D10" s="755">
        <v>80640020587</v>
      </c>
      <c r="E10" s="758" t="s">
        <v>421</v>
      </c>
      <c r="F10" s="759" t="s">
        <v>421</v>
      </c>
      <c r="G10" s="760">
        <v>500</v>
      </c>
      <c r="H10" s="758" t="s">
        <v>0</v>
      </c>
    </row>
    <row r="11" spans="1:15" s="752" customFormat="1" ht="22.5" x14ac:dyDescent="0.25">
      <c r="A11" s="762">
        <v>9</v>
      </c>
      <c r="B11" s="763" t="s">
        <v>1223</v>
      </c>
      <c r="C11" s="764" t="s">
        <v>1237</v>
      </c>
      <c r="D11" s="755">
        <v>80640010228</v>
      </c>
      <c r="E11" s="758">
        <v>0.4</v>
      </c>
      <c r="F11" s="759">
        <v>3.5</v>
      </c>
      <c r="G11" s="760">
        <v>500</v>
      </c>
      <c r="H11" s="758" t="s">
        <v>0</v>
      </c>
    </row>
    <row r="12" spans="1:15" s="752" customFormat="1" x14ac:dyDescent="0.25"/>
    <row r="15" spans="1:15" customFormat="1" ht="15" x14ac:dyDescent="0.25">
      <c r="B15" s="656" t="s">
        <v>835</v>
      </c>
      <c r="C15" s="657"/>
      <c r="D15" s="750"/>
      <c r="E15" s="674"/>
      <c r="F15" s="674"/>
      <c r="G15" s="658"/>
      <c r="H15" s="659"/>
      <c r="I15" s="659"/>
      <c r="J15" s="660"/>
      <c r="L15" s="396"/>
      <c r="M15" s="396"/>
      <c r="N15" s="1"/>
      <c r="O15" s="63"/>
    </row>
    <row r="16" spans="1:15" customFormat="1" ht="22.5" customHeight="1" x14ac:dyDescent="0.25">
      <c r="B16" s="661" t="s">
        <v>1100</v>
      </c>
      <c r="C16" s="399" t="s">
        <v>1270</v>
      </c>
      <c r="D16" s="750"/>
      <c r="E16" s="664"/>
      <c r="F16" s="663"/>
      <c r="I16" s="660"/>
      <c r="J16" s="660"/>
      <c r="L16" s="1"/>
      <c r="M16" s="1"/>
      <c r="N16" s="1"/>
      <c r="O16" s="63"/>
    </row>
    <row r="17" spans="2:15" customFormat="1" ht="15.75" customHeight="1" x14ac:dyDescent="0.25">
      <c r="B17" s="656"/>
      <c r="C17" s="662" t="s">
        <v>837</v>
      </c>
      <c r="D17" s="750"/>
      <c r="E17" s="847" t="s">
        <v>838</v>
      </c>
      <c r="F17" s="847"/>
      <c r="L17" s="1"/>
      <c r="M17" s="1"/>
      <c r="N17" s="1"/>
      <c r="O17" s="63"/>
    </row>
    <row r="18" spans="2:15" customFormat="1" ht="27" customHeight="1" x14ac:dyDescent="0.25">
      <c r="B18" s="661" t="s">
        <v>835</v>
      </c>
      <c r="C18" s="657"/>
      <c r="D18" s="750"/>
      <c r="F18" s="660"/>
      <c r="L18" s="1"/>
      <c r="M18" s="1"/>
      <c r="N18" s="1"/>
      <c r="O18" s="63"/>
    </row>
    <row r="19" spans="2:15" customFormat="1" ht="24" customHeight="1" x14ac:dyDescent="0.25">
      <c r="B19" s="661" t="s">
        <v>839</v>
      </c>
      <c r="C19" s="663" t="s">
        <v>1099</v>
      </c>
      <c r="D19" s="750"/>
      <c r="E19" s="664"/>
      <c r="F19" s="666"/>
      <c r="L19" s="1"/>
      <c r="M19" s="1"/>
      <c r="N19" s="1"/>
      <c r="O19" s="63"/>
    </row>
    <row r="20" spans="2:15" customFormat="1" ht="15" x14ac:dyDescent="0.25">
      <c r="B20" s="569"/>
      <c r="C20" s="662" t="s">
        <v>837</v>
      </c>
      <c r="D20" s="750"/>
      <c r="E20" s="847" t="s">
        <v>838</v>
      </c>
      <c r="F20" s="847"/>
      <c r="L20" s="1"/>
      <c r="M20" s="1"/>
      <c r="N20" s="1"/>
      <c r="O20" s="63"/>
    </row>
    <row r="21" spans="2:15" customFormat="1" ht="15" x14ac:dyDescent="0.25">
      <c r="C21" s="569"/>
    </row>
  </sheetData>
  <mergeCells count="2">
    <mergeCell ref="E20:F20"/>
    <mergeCell ref="E17:F17"/>
  </mergeCells>
  <pageMargins left="0.11811023622047245" right="0.11811023622047245" top="0.35433070866141736" bottom="0.15748031496062992" header="0.31496062992125984" footer="0.31496062992125984"/>
  <pageSetup paperSize="9" scale="5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X204"/>
  <sheetViews>
    <sheetView topLeftCell="A191" workbookViewId="0">
      <selection activeCell="D141" sqref="D141"/>
    </sheetView>
  </sheetViews>
  <sheetFormatPr defaultRowHeight="15" outlineLevelCol="1" x14ac:dyDescent="0.25"/>
  <cols>
    <col min="2" max="2" width="16" customWidth="1"/>
    <col min="10" max="69" width="9.140625" hidden="1" customWidth="1" outlineLevel="1"/>
    <col min="70" max="70" width="15.85546875" customWidth="1" collapsed="1"/>
  </cols>
  <sheetData>
    <row r="3" spans="2:76" x14ac:dyDescent="0.25">
      <c r="B3" t="s">
        <v>1041</v>
      </c>
    </row>
    <row r="6" spans="2:76" x14ac:dyDescent="0.25">
      <c r="B6" t="s">
        <v>1139</v>
      </c>
      <c r="K6" t="s">
        <v>1140</v>
      </c>
      <c r="R6" t="s">
        <v>1141</v>
      </c>
      <c r="Z6" t="s">
        <v>1142</v>
      </c>
      <c r="AG6" t="s">
        <v>1141</v>
      </c>
      <c r="AO6" t="s">
        <v>1143</v>
      </c>
      <c r="AV6" t="s">
        <v>1141</v>
      </c>
      <c r="BD6" t="s">
        <v>1144</v>
      </c>
      <c r="BK6" t="s">
        <v>1141</v>
      </c>
      <c r="BR6" t="s">
        <v>1145</v>
      </c>
    </row>
    <row r="7" spans="2:76" ht="23.25" x14ac:dyDescent="0.25">
      <c r="B7" s="102"/>
      <c r="C7" s="625" t="s">
        <v>1092</v>
      </c>
      <c r="D7" s="625" t="s">
        <v>1093</v>
      </c>
      <c r="E7" s="625" t="s">
        <v>1094</v>
      </c>
      <c r="F7" s="625" t="s">
        <v>1095</v>
      </c>
      <c r="G7" s="625" t="s">
        <v>1096</v>
      </c>
      <c r="H7" s="627" t="s">
        <v>269</v>
      </c>
      <c r="J7" s="102"/>
      <c r="K7" s="625" t="s">
        <v>1092</v>
      </c>
      <c r="L7" s="625" t="s">
        <v>1093</v>
      </c>
      <c r="M7" s="625" t="s">
        <v>1094</v>
      </c>
      <c r="N7" s="625" t="s">
        <v>1095</v>
      </c>
      <c r="O7" s="625" t="s">
        <v>1096</v>
      </c>
      <c r="P7" s="627" t="s">
        <v>269</v>
      </c>
      <c r="Q7" s="102"/>
      <c r="R7" s="625" t="s">
        <v>1092</v>
      </c>
      <c r="S7" s="625" t="s">
        <v>1093</v>
      </c>
      <c r="T7" s="625" t="s">
        <v>1094</v>
      </c>
      <c r="U7" s="625" t="s">
        <v>1095</v>
      </c>
      <c r="V7" s="625" t="s">
        <v>1096</v>
      </c>
      <c r="W7" s="627" t="s">
        <v>269</v>
      </c>
      <c r="Y7" s="102"/>
      <c r="Z7" s="625" t="s">
        <v>1092</v>
      </c>
      <c r="AA7" s="625" t="s">
        <v>1093</v>
      </c>
      <c r="AB7" s="625" t="s">
        <v>1094</v>
      </c>
      <c r="AC7" s="625" t="s">
        <v>1095</v>
      </c>
      <c r="AD7" s="625" t="s">
        <v>1096</v>
      </c>
      <c r="AE7" s="627" t="s">
        <v>269</v>
      </c>
      <c r="AF7" s="102"/>
      <c r="AG7" s="625" t="s">
        <v>1092</v>
      </c>
      <c r="AH7" s="625" t="s">
        <v>1093</v>
      </c>
      <c r="AI7" s="625" t="s">
        <v>1094</v>
      </c>
      <c r="AJ7" s="625" t="s">
        <v>1095</v>
      </c>
      <c r="AK7" s="625" t="s">
        <v>1096</v>
      </c>
      <c r="AL7" s="627" t="s">
        <v>269</v>
      </c>
      <c r="AN7" s="102"/>
      <c r="AO7" s="625" t="s">
        <v>1092</v>
      </c>
      <c r="AP7" s="625" t="s">
        <v>1093</v>
      </c>
      <c r="AQ7" s="625" t="s">
        <v>1094</v>
      </c>
      <c r="AR7" s="625" t="s">
        <v>1095</v>
      </c>
      <c r="AS7" s="625" t="s">
        <v>1096</v>
      </c>
      <c r="AT7" s="627" t="s">
        <v>269</v>
      </c>
      <c r="AU7" s="102"/>
      <c r="AV7" s="625" t="s">
        <v>1092</v>
      </c>
      <c r="AW7" s="625" t="s">
        <v>1093</v>
      </c>
      <c r="AX7" s="625" t="s">
        <v>1094</v>
      </c>
      <c r="AY7" s="625" t="s">
        <v>1095</v>
      </c>
      <c r="AZ7" s="625" t="s">
        <v>1096</v>
      </c>
      <c r="BA7" s="627" t="s">
        <v>269</v>
      </c>
      <c r="BC7" s="102"/>
      <c r="BD7" s="625" t="s">
        <v>1092</v>
      </c>
      <c r="BE7" s="625" t="s">
        <v>1093</v>
      </c>
      <c r="BF7" s="625" t="s">
        <v>1094</v>
      </c>
      <c r="BG7" s="625" t="s">
        <v>1095</v>
      </c>
      <c r="BH7" s="625" t="s">
        <v>1096</v>
      </c>
      <c r="BI7" s="627" t="s">
        <v>269</v>
      </c>
      <c r="BJ7" s="102"/>
      <c r="BK7" s="625" t="s">
        <v>1092</v>
      </c>
      <c r="BL7" s="625" t="s">
        <v>1093</v>
      </c>
      <c r="BM7" s="625" t="s">
        <v>1094</v>
      </c>
      <c r="BN7" s="625" t="s">
        <v>1095</v>
      </c>
      <c r="BO7" s="625" t="s">
        <v>1096</v>
      </c>
      <c r="BP7" s="627" t="s">
        <v>269</v>
      </c>
      <c r="BR7" s="102"/>
      <c r="BS7" s="625" t="s">
        <v>1092</v>
      </c>
      <c r="BT7" s="625" t="s">
        <v>1093</v>
      </c>
      <c r="BU7" s="625" t="s">
        <v>1094</v>
      </c>
      <c r="BV7" s="625" t="s">
        <v>1095</v>
      </c>
      <c r="BW7" s="625" t="s">
        <v>1096</v>
      </c>
      <c r="BX7" s="627" t="s">
        <v>269</v>
      </c>
    </row>
    <row r="8" spans="2:76" x14ac:dyDescent="0.25">
      <c r="B8" s="628" t="s">
        <v>844</v>
      </c>
      <c r="C8" s="625" t="s">
        <v>231</v>
      </c>
      <c r="D8" s="625" t="s">
        <v>231</v>
      </c>
      <c r="E8" s="625" t="s">
        <v>231</v>
      </c>
      <c r="F8" s="625" t="s">
        <v>231</v>
      </c>
      <c r="G8" s="625" t="s">
        <v>231</v>
      </c>
      <c r="H8" s="626" t="s">
        <v>231</v>
      </c>
      <c r="J8" s="628" t="s">
        <v>844</v>
      </c>
      <c r="K8" s="625" t="s">
        <v>231</v>
      </c>
      <c r="L8" s="625" t="s">
        <v>231</v>
      </c>
      <c r="M8" s="625" t="s">
        <v>231</v>
      </c>
      <c r="N8" s="625" t="s">
        <v>231</v>
      </c>
      <c r="O8" s="625" t="s">
        <v>231</v>
      </c>
      <c r="P8" s="626" t="s">
        <v>231</v>
      </c>
      <c r="Q8" s="628"/>
      <c r="R8" s="625" t="s">
        <v>231</v>
      </c>
      <c r="S8" s="625" t="s">
        <v>231</v>
      </c>
      <c r="T8" s="625" t="s">
        <v>231</v>
      </c>
      <c r="U8" s="625" t="s">
        <v>231</v>
      </c>
      <c r="V8" s="625" t="s">
        <v>231</v>
      </c>
      <c r="W8" s="626" t="s">
        <v>231</v>
      </c>
      <c r="Y8" s="628" t="s">
        <v>844</v>
      </c>
      <c r="Z8" s="625" t="s">
        <v>231</v>
      </c>
      <c r="AA8" s="625" t="s">
        <v>231</v>
      </c>
      <c r="AB8" s="625" t="s">
        <v>231</v>
      </c>
      <c r="AC8" s="625" t="s">
        <v>231</v>
      </c>
      <c r="AD8" s="625" t="s">
        <v>231</v>
      </c>
      <c r="AE8" s="626" t="s">
        <v>231</v>
      </c>
      <c r="AF8" s="628"/>
      <c r="AG8" s="625" t="s">
        <v>231</v>
      </c>
      <c r="AH8" s="625" t="s">
        <v>231</v>
      </c>
      <c r="AI8" s="625" t="s">
        <v>231</v>
      </c>
      <c r="AJ8" s="625" t="s">
        <v>231</v>
      </c>
      <c r="AK8" s="625" t="s">
        <v>231</v>
      </c>
      <c r="AL8" s="626" t="s">
        <v>231</v>
      </c>
      <c r="AN8" s="628" t="s">
        <v>844</v>
      </c>
      <c r="AO8" s="625" t="s">
        <v>231</v>
      </c>
      <c r="AP8" s="625" t="s">
        <v>231</v>
      </c>
      <c r="AQ8" s="625" t="s">
        <v>231</v>
      </c>
      <c r="AR8" s="625" t="s">
        <v>231</v>
      </c>
      <c r="AS8" s="625" t="s">
        <v>231</v>
      </c>
      <c r="AT8" s="626" t="s">
        <v>231</v>
      </c>
      <c r="AU8" s="628"/>
      <c r="AV8" s="625" t="s">
        <v>231</v>
      </c>
      <c r="AW8" s="625" t="s">
        <v>231</v>
      </c>
      <c r="AX8" s="625" t="s">
        <v>231</v>
      </c>
      <c r="AY8" s="625" t="s">
        <v>231</v>
      </c>
      <c r="AZ8" s="625" t="s">
        <v>231</v>
      </c>
      <c r="BA8" s="626" t="s">
        <v>231</v>
      </c>
      <c r="BC8" s="628" t="s">
        <v>844</v>
      </c>
      <c r="BD8" s="625" t="s">
        <v>231</v>
      </c>
      <c r="BE8" s="625" t="s">
        <v>231</v>
      </c>
      <c r="BF8" s="625" t="s">
        <v>231</v>
      </c>
      <c r="BG8" s="625" t="s">
        <v>231</v>
      </c>
      <c r="BH8" s="625" t="s">
        <v>231</v>
      </c>
      <c r="BI8" s="626" t="s">
        <v>231</v>
      </c>
      <c r="BJ8" s="628"/>
      <c r="BK8" s="625" t="s">
        <v>231</v>
      </c>
      <c r="BL8" s="625" t="s">
        <v>231</v>
      </c>
      <c r="BM8" s="625" t="s">
        <v>231</v>
      </c>
      <c r="BN8" s="625" t="s">
        <v>231</v>
      </c>
      <c r="BO8" s="625" t="s">
        <v>231</v>
      </c>
      <c r="BP8" s="626" t="s">
        <v>231</v>
      </c>
      <c r="BR8" s="628" t="s">
        <v>844</v>
      </c>
      <c r="BS8" s="625" t="s">
        <v>231</v>
      </c>
      <c r="BT8" s="625" t="s">
        <v>231</v>
      </c>
      <c r="BU8" s="625" t="s">
        <v>231</v>
      </c>
      <c r="BV8" s="625" t="s">
        <v>231</v>
      </c>
      <c r="BW8" s="625" t="s">
        <v>231</v>
      </c>
      <c r="BX8" s="626" t="s">
        <v>231</v>
      </c>
    </row>
    <row r="9" spans="2:76" x14ac:dyDescent="0.25">
      <c r="B9" s="616" t="s">
        <v>847</v>
      </c>
      <c r="C9" s="614">
        <f>K9+Z9+AO9+BD9</f>
        <v>0</v>
      </c>
      <c r="D9" s="614">
        <f t="shared" ref="D9:H9" si="0">L9+AA9+AP9+BE9</f>
        <v>0</v>
      </c>
      <c r="E9" s="614">
        <f t="shared" si="0"/>
        <v>0</v>
      </c>
      <c r="F9" s="614">
        <f t="shared" si="0"/>
        <v>0</v>
      </c>
      <c r="G9" s="614">
        <f t="shared" si="0"/>
        <v>0</v>
      </c>
      <c r="H9" s="614">
        <f t="shared" si="0"/>
        <v>0</v>
      </c>
      <c r="J9" s="616" t="s">
        <v>847</v>
      </c>
      <c r="K9" s="614">
        <f>Ielas!T249</f>
        <v>0</v>
      </c>
      <c r="L9" s="614">
        <f>Ielas!U249</f>
        <v>0</v>
      </c>
      <c r="M9" s="614">
        <f>Ielas!V249</f>
        <v>0</v>
      </c>
      <c r="N9" s="614">
        <f>Ielas!W249</f>
        <v>0</v>
      </c>
      <c r="O9" s="614">
        <f>Ielas!X249</f>
        <v>0</v>
      </c>
      <c r="P9" s="614">
        <f>Ielas!Y249</f>
        <v>0</v>
      </c>
      <c r="Q9" s="616" t="s">
        <v>847</v>
      </c>
      <c r="R9" s="614">
        <f>Ielas!AA249</f>
        <v>0</v>
      </c>
      <c r="S9" s="614">
        <f>Ielas!AB249</f>
        <v>0</v>
      </c>
      <c r="T9" s="614">
        <f>Ielas!AC249</f>
        <v>0</v>
      </c>
      <c r="U9" s="614">
        <f>Ielas!AD249</f>
        <v>0</v>
      </c>
      <c r="V9" s="614">
        <f>Ielas!AE249</f>
        <v>0</v>
      </c>
      <c r="W9" s="614">
        <f>Ielas!AF249</f>
        <v>0</v>
      </c>
      <c r="Y9" s="616" t="s">
        <v>847</v>
      </c>
      <c r="Z9" s="614">
        <f>Ielas!T298</f>
        <v>0</v>
      </c>
      <c r="AA9" s="614">
        <f>Ielas!U298</f>
        <v>0</v>
      </c>
      <c r="AB9" s="614">
        <f>Ielas!V298</f>
        <v>0</v>
      </c>
      <c r="AC9" s="614">
        <f>Ielas!W298</f>
        <v>0</v>
      </c>
      <c r="AD9" s="614">
        <f>Ielas!X298</f>
        <v>0</v>
      </c>
      <c r="AE9" s="614">
        <f>Ielas!Y298</f>
        <v>0</v>
      </c>
      <c r="AF9" s="616" t="s">
        <v>847</v>
      </c>
      <c r="AG9" s="614">
        <f>Ielas!AA298</f>
        <v>0</v>
      </c>
      <c r="AH9" s="614">
        <f>Ielas!AB298</f>
        <v>0</v>
      </c>
      <c r="AI9" s="614">
        <f>Ielas!AC298</f>
        <v>0</v>
      </c>
      <c r="AJ9" s="614">
        <f>Ielas!AD298</f>
        <v>0</v>
      </c>
      <c r="AK9" s="614">
        <f>Ielas!AE298</f>
        <v>0</v>
      </c>
      <c r="AL9" s="614">
        <f>Ielas!AF298</f>
        <v>0</v>
      </c>
      <c r="AN9" s="616" t="s">
        <v>847</v>
      </c>
      <c r="AO9" s="614">
        <f>Ielas!T338</f>
        <v>0</v>
      </c>
      <c r="AP9" s="614">
        <f>Ielas!U338</f>
        <v>0</v>
      </c>
      <c r="AQ9" s="614">
        <f>Ielas!V338</f>
        <v>0</v>
      </c>
      <c r="AR9" s="614">
        <f>Ielas!W338</f>
        <v>0</v>
      </c>
      <c r="AS9" s="614">
        <f>Ielas!X338</f>
        <v>0</v>
      </c>
      <c r="AT9" s="614">
        <f>Ielas!Y338</f>
        <v>0</v>
      </c>
      <c r="AU9" s="616" t="s">
        <v>847</v>
      </c>
      <c r="AV9" s="614">
        <f>Ielas!AA338</f>
        <v>0</v>
      </c>
      <c r="AW9" s="614">
        <f>Ielas!AB338</f>
        <v>0</v>
      </c>
      <c r="AX9" s="614">
        <f>Ielas!AC338</f>
        <v>0</v>
      </c>
      <c r="AY9" s="614">
        <f>Ielas!AD338</f>
        <v>0</v>
      </c>
      <c r="AZ9" s="614">
        <f>Ielas!AE338</f>
        <v>0</v>
      </c>
      <c r="BA9" s="614">
        <f>Ielas!AF338</f>
        <v>0</v>
      </c>
      <c r="BC9" s="616" t="s">
        <v>847</v>
      </c>
      <c r="BD9" s="614">
        <f>Ielas!T353</f>
        <v>0</v>
      </c>
      <c r="BE9" s="614">
        <f>Ielas!U353</f>
        <v>0</v>
      </c>
      <c r="BF9" s="614">
        <f>Ielas!V353</f>
        <v>0</v>
      </c>
      <c r="BG9" s="614">
        <f>Ielas!W353</f>
        <v>0</v>
      </c>
      <c r="BH9" s="614">
        <f>Ielas!X353</f>
        <v>0</v>
      </c>
      <c r="BI9" s="614">
        <f>Ielas!Y353</f>
        <v>0</v>
      </c>
      <c r="BJ9" s="616" t="s">
        <v>847</v>
      </c>
      <c r="BK9" s="614">
        <f>Ielas!AA353</f>
        <v>0</v>
      </c>
      <c r="BL9" s="614">
        <f>Ielas!AB353</f>
        <v>0</v>
      </c>
      <c r="BM9" s="614">
        <f>Ielas!AC353</f>
        <v>0</v>
      </c>
      <c r="BN9" s="614">
        <f>Ielas!AD353</f>
        <v>0</v>
      </c>
      <c r="BO9" s="614">
        <f>Ielas!AE353</f>
        <v>0</v>
      </c>
      <c r="BP9" s="614">
        <f>Ielas!AF353</f>
        <v>0</v>
      </c>
      <c r="BR9" s="616" t="s">
        <v>847</v>
      </c>
      <c r="BS9" s="614">
        <f>C9-R9-AG9-AV9-BK9</f>
        <v>0</v>
      </c>
      <c r="BT9" s="614">
        <f t="shared" ref="BT9:BX9" si="1">D9-S9-AH9-AW9-BL9</f>
        <v>0</v>
      </c>
      <c r="BU9" s="614">
        <f t="shared" si="1"/>
        <v>0</v>
      </c>
      <c r="BV9" s="614">
        <f t="shared" si="1"/>
        <v>0</v>
      </c>
      <c r="BW9" s="614">
        <f t="shared" si="1"/>
        <v>0</v>
      </c>
      <c r="BX9" s="614">
        <f t="shared" si="1"/>
        <v>0</v>
      </c>
    </row>
    <row r="10" spans="2:76" x14ac:dyDescent="0.25">
      <c r="B10" s="617" t="s">
        <v>848</v>
      </c>
      <c r="C10" s="614">
        <f t="shared" ref="C10:C13" si="2">K10+Z10+AO10+BD10</f>
        <v>27.712999999999997</v>
      </c>
      <c r="D10" s="614">
        <f t="shared" ref="D10:D13" si="3">L10+AA10+AP10+BE10</f>
        <v>0</v>
      </c>
      <c r="E10" s="614">
        <f t="shared" ref="E10:E13" si="4">M10+AB10+AQ10+BF10</f>
        <v>0.13</v>
      </c>
      <c r="F10" s="614">
        <f t="shared" ref="F10:F13" si="5">N10+AC10+AR10+BG10</f>
        <v>0.46500000000000002</v>
      </c>
      <c r="G10" s="614">
        <f t="shared" ref="G10:G13" si="6">O10+AD10+AS10+BH10</f>
        <v>0</v>
      </c>
      <c r="H10" s="614">
        <f t="shared" ref="H10:H13" si="7">P10+AE10+AT10+BI10</f>
        <v>28.307999999999996</v>
      </c>
      <c r="J10" s="617" t="s">
        <v>848</v>
      </c>
      <c r="K10" s="614">
        <f>Ielas!T250</f>
        <v>26.027999999999999</v>
      </c>
      <c r="L10" s="614">
        <f>Ielas!U250</f>
        <v>0</v>
      </c>
      <c r="M10" s="614">
        <f>Ielas!V250</f>
        <v>0.13</v>
      </c>
      <c r="N10" s="614">
        <f>Ielas!W250</f>
        <v>0.46500000000000002</v>
      </c>
      <c r="O10" s="614">
        <f>Ielas!X250</f>
        <v>0</v>
      </c>
      <c r="P10" s="614">
        <f>Ielas!Y250</f>
        <v>26.622999999999998</v>
      </c>
      <c r="Q10" s="617" t="s">
        <v>848</v>
      </c>
      <c r="R10" s="614">
        <f>Ielas!AA250</f>
        <v>0</v>
      </c>
      <c r="S10" s="614">
        <f>Ielas!AB250</f>
        <v>0</v>
      </c>
      <c r="T10" s="614">
        <f>Ielas!AC250</f>
        <v>0</v>
      </c>
      <c r="U10" s="614">
        <f>Ielas!AD250</f>
        <v>0</v>
      </c>
      <c r="V10" s="614">
        <f>Ielas!AE250</f>
        <v>0</v>
      </c>
      <c r="W10" s="614">
        <f>Ielas!AF250</f>
        <v>0</v>
      </c>
      <c r="Y10" s="617" t="s">
        <v>848</v>
      </c>
      <c r="Z10" s="614">
        <f>Ielas!T299</f>
        <v>1.6850000000000001</v>
      </c>
      <c r="AA10" s="614">
        <f>Ielas!U299</f>
        <v>0</v>
      </c>
      <c r="AB10" s="614">
        <f>Ielas!V299</f>
        <v>0</v>
      </c>
      <c r="AC10" s="614">
        <f>Ielas!W299</f>
        <v>0</v>
      </c>
      <c r="AD10" s="614">
        <f>Ielas!X299</f>
        <v>0</v>
      </c>
      <c r="AE10" s="614">
        <f>Ielas!Y299</f>
        <v>1.6850000000000001</v>
      </c>
      <c r="AF10" s="617" t="s">
        <v>848</v>
      </c>
      <c r="AG10" s="614">
        <f>Ielas!AA299</f>
        <v>0</v>
      </c>
      <c r="AH10" s="614">
        <f>Ielas!AB299</f>
        <v>0</v>
      </c>
      <c r="AI10" s="614">
        <f>Ielas!AC299</f>
        <v>0</v>
      </c>
      <c r="AJ10" s="614">
        <f>Ielas!AD299</f>
        <v>0</v>
      </c>
      <c r="AK10" s="614">
        <f>Ielas!AE299</f>
        <v>0</v>
      </c>
      <c r="AL10" s="614">
        <f>Ielas!AF299</f>
        <v>0</v>
      </c>
      <c r="AN10" s="617" t="s">
        <v>848</v>
      </c>
      <c r="AO10" s="614">
        <f>Ielas!T339</f>
        <v>0</v>
      </c>
      <c r="AP10" s="614">
        <f>Ielas!U339</f>
        <v>0</v>
      </c>
      <c r="AQ10" s="614">
        <f>Ielas!V339</f>
        <v>0</v>
      </c>
      <c r="AR10" s="614">
        <f>Ielas!W339</f>
        <v>0</v>
      </c>
      <c r="AS10" s="614">
        <f>Ielas!X339</f>
        <v>0</v>
      </c>
      <c r="AT10" s="614">
        <f>Ielas!Y339</f>
        <v>0</v>
      </c>
      <c r="AU10" s="617" t="s">
        <v>848</v>
      </c>
      <c r="AV10" s="614">
        <f>Ielas!AA339</f>
        <v>0</v>
      </c>
      <c r="AW10" s="614">
        <f>Ielas!AB339</f>
        <v>0</v>
      </c>
      <c r="AX10" s="614">
        <f>Ielas!AC339</f>
        <v>0</v>
      </c>
      <c r="AY10" s="614">
        <f>Ielas!AD339</f>
        <v>0</v>
      </c>
      <c r="AZ10" s="614">
        <f>Ielas!AE339</f>
        <v>0</v>
      </c>
      <c r="BA10" s="614">
        <f>Ielas!AF339</f>
        <v>0</v>
      </c>
      <c r="BC10" s="617" t="s">
        <v>848</v>
      </c>
      <c r="BD10" s="614">
        <f>Ielas!T354</f>
        <v>0</v>
      </c>
      <c r="BE10" s="614">
        <f>Ielas!U354</f>
        <v>0</v>
      </c>
      <c r="BF10" s="614">
        <f>Ielas!V354</f>
        <v>0</v>
      </c>
      <c r="BG10" s="614">
        <f>Ielas!W354</f>
        <v>0</v>
      </c>
      <c r="BH10" s="614">
        <f>Ielas!X354</f>
        <v>0</v>
      </c>
      <c r="BI10" s="614">
        <f>Ielas!Y354</f>
        <v>0</v>
      </c>
      <c r="BJ10" s="617" t="s">
        <v>848</v>
      </c>
      <c r="BK10" s="614">
        <f>Ielas!AA354</f>
        <v>0</v>
      </c>
      <c r="BL10" s="614">
        <f>Ielas!AB354</f>
        <v>0</v>
      </c>
      <c r="BM10" s="614">
        <f>Ielas!AC354</f>
        <v>0</v>
      </c>
      <c r="BN10" s="614">
        <f>Ielas!AD354</f>
        <v>0</v>
      </c>
      <c r="BO10" s="614">
        <f>Ielas!AE354</f>
        <v>0</v>
      </c>
      <c r="BP10" s="614">
        <f>Ielas!AF354</f>
        <v>0</v>
      </c>
      <c r="BR10" s="617" t="s">
        <v>848</v>
      </c>
      <c r="BS10" s="614">
        <f t="shared" ref="BS10:BS13" si="8">C10-R10-AG10-AV10-BK10</f>
        <v>27.712999999999997</v>
      </c>
      <c r="BT10" s="614">
        <f t="shared" ref="BT10:BT13" si="9">D10-S10-AH10-AW10-BL10</f>
        <v>0</v>
      </c>
      <c r="BU10" s="614">
        <f t="shared" ref="BU10:BU13" si="10">E10-T10-AI10-AX10-BM10</f>
        <v>0.13</v>
      </c>
      <c r="BV10" s="614">
        <f t="shared" ref="BV10:BV13" si="11">F10-U10-AJ10-AY10-BN10</f>
        <v>0.46500000000000002</v>
      </c>
      <c r="BW10" s="614">
        <f t="shared" ref="BW10:BW13" si="12">G10-V10-AK10-AZ10-BO10</f>
        <v>0</v>
      </c>
      <c r="BX10" s="614">
        <f t="shared" ref="BX10:BX13" si="13">H10-W10-AL10-BA10-BP10</f>
        <v>28.307999999999996</v>
      </c>
    </row>
    <row r="11" spans="2:76" x14ac:dyDescent="0.25">
      <c r="B11" s="615" t="s">
        <v>845</v>
      </c>
      <c r="C11" s="614">
        <f t="shared" si="2"/>
        <v>5.27</v>
      </c>
      <c r="D11" s="614">
        <f t="shared" si="3"/>
        <v>0.4</v>
      </c>
      <c r="E11" s="614">
        <f t="shared" si="4"/>
        <v>0</v>
      </c>
      <c r="F11" s="614">
        <f t="shared" si="5"/>
        <v>2.5939999999999999</v>
      </c>
      <c r="G11" s="614">
        <f t="shared" si="6"/>
        <v>0.11</v>
      </c>
      <c r="H11" s="614">
        <f t="shared" si="7"/>
        <v>8.3739999999999988</v>
      </c>
      <c r="J11" s="615" t="s">
        <v>845</v>
      </c>
      <c r="K11" s="614">
        <f>Ielas!T251</f>
        <v>2.5549999999999997</v>
      </c>
      <c r="L11" s="614">
        <f>Ielas!U251</f>
        <v>0</v>
      </c>
      <c r="M11" s="614">
        <f>Ielas!V251</f>
        <v>0</v>
      </c>
      <c r="N11" s="614">
        <f>Ielas!W251</f>
        <v>0.67999999999999994</v>
      </c>
      <c r="O11" s="614">
        <f>Ielas!X251</f>
        <v>0</v>
      </c>
      <c r="P11" s="614">
        <f>Ielas!Y251</f>
        <v>3.2349999999999994</v>
      </c>
      <c r="Q11" s="615" t="s">
        <v>845</v>
      </c>
      <c r="R11" s="614">
        <f>Ielas!AA251</f>
        <v>0</v>
      </c>
      <c r="S11" s="614">
        <f>Ielas!AB251</f>
        <v>0</v>
      </c>
      <c r="T11" s="614">
        <f>Ielas!AC251</f>
        <v>0</v>
      </c>
      <c r="U11" s="614">
        <f>Ielas!AD251</f>
        <v>0</v>
      </c>
      <c r="V11" s="614">
        <f>Ielas!AE251</f>
        <v>0</v>
      </c>
      <c r="W11" s="614">
        <f>Ielas!AF251</f>
        <v>0</v>
      </c>
      <c r="Y11" s="615" t="s">
        <v>845</v>
      </c>
      <c r="Z11" s="614">
        <f>Ielas!T300</f>
        <v>1.62</v>
      </c>
      <c r="AA11" s="614">
        <f>Ielas!U300</f>
        <v>0</v>
      </c>
      <c r="AB11" s="614">
        <f>Ielas!V300</f>
        <v>0</v>
      </c>
      <c r="AC11" s="614">
        <f>Ielas!W300</f>
        <v>0.91899999999999982</v>
      </c>
      <c r="AD11" s="614">
        <f>Ielas!X300</f>
        <v>0.11</v>
      </c>
      <c r="AE11" s="614">
        <f>Ielas!Y300</f>
        <v>2.6489999999999996</v>
      </c>
      <c r="AF11" s="615" t="s">
        <v>845</v>
      </c>
      <c r="AG11" s="614">
        <f>Ielas!AA300</f>
        <v>0</v>
      </c>
      <c r="AH11" s="614">
        <f>Ielas!AB300</f>
        <v>0</v>
      </c>
      <c r="AI11" s="614">
        <f>Ielas!AC300</f>
        <v>0</v>
      </c>
      <c r="AJ11" s="614">
        <f>Ielas!AD300</f>
        <v>0</v>
      </c>
      <c r="AK11" s="614">
        <f>Ielas!AE300</f>
        <v>0</v>
      </c>
      <c r="AL11" s="614">
        <f>Ielas!AF300</f>
        <v>0</v>
      </c>
      <c r="AN11" s="615" t="s">
        <v>845</v>
      </c>
      <c r="AO11" s="614">
        <f>Ielas!T340</f>
        <v>0.65500000000000003</v>
      </c>
      <c r="AP11" s="614">
        <f>Ielas!U340</f>
        <v>0.4</v>
      </c>
      <c r="AQ11" s="614">
        <f>Ielas!V340</f>
        <v>0</v>
      </c>
      <c r="AR11" s="614">
        <f>Ielas!W340</f>
        <v>0.995</v>
      </c>
      <c r="AS11" s="614">
        <f>Ielas!X340</f>
        <v>0</v>
      </c>
      <c r="AT11" s="614">
        <f>Ielas!Y340</f>
        <v>2.0500000000000003</v>
      </c>
      <c r="AU11" s="615" t="s">
        <v>845</v>
      </c>
      <c r="AV11" s="614">
        <f>Ielas!AA340</f>
        <v>0</v>
      </c>
      <c r="AW11" s="614">
        <f>Ielas!AB340</f>
        <v>0</v>
      </c>
      <c r="AX11" s="614">
        <f>Ielas!AC340</f>
        <v>0</v>
      </c>
      <c r="AY11" s="614">
        <f>Ielas!AD340</f>
        <v>0</v>
      </c>
      <c r="AZ11" s="614">
        <f>Ielas!AE340</f>
        <v>0</v>
      </c>
      <c r="BA11" s="614">
        <f>Ielas!AF340</f>
        <v>0</v>
      </c>
      <c r="BC11" s="615" t="s">
        <v>845</v>
      </c>
      <c r="BD11" s="614">
        <f>Ielas!T355</f>
        <v>0.43999999999999995</v>
      </c>
      <c r="BE11" s="614">
        <f>Ielas!U355</f>
        <v>0</v>
      </c>
      <c r="BF11" s="614">
        <f>Ielas!V355</f>
        <v>0</v>
      </c>
      <c r="BG11" s="614">
        <f>Ielas!W355</f>
        <v>0</v>
      </c>
      <c r="BH11" s="614">
        <f>Ielas!X355</f>
        <v>0</v>
      </c>
      <c r="BI11" s="614">
        <f>Ielas!Y355</f>
        <v>0.43999999999999995</v>
      </c>
      <c r="BJ11" s="615" t="s">
        <v>845</v>
      </c>
      <c r="BK11" s="614">
        <f>Ielas!AA355</f>
        <v>0</v>
      </c>
      <c r="BL11" s="614">
        <f>Ielas!AB355</f>
        <v>0</v>
      </c>
      <c r="BM11" s="614">
        <f>Ielas!AC355</f>
        <v>0</v>
      </c>
      <c r="BN11" s="614">
        <f>Ielas!AD355</f>
        <v>0</v>
      </c>
      <c r="BO11" s="614">
        <f>Ielas!AE355</f>
        <v>0</v>
      </c>
      <c r="BP11" s="614">
        <f>Ielas!AF355</f>
        <v>0</v>
      </c>
      <c r="BR11" s="615" t="s">
        <v>845</v>
      </c>
      <c r="BS11" s="614">
        <f t="shared" si="8"/>
        <v>5.27</v>
      </c>
      <c r="BT11" s="614">
        <f t="shared" si="9"/>
        <v>0.4</v>
      </c>
      <c r="BU11" s="614">
        <f t="shared" si="10"/>
        <v>0</v>
      </c>
      <c r="BV11" s="614">
        <f t="shared" si="11"/>
        <v>2.5939999999999999</v>
      </c>
      <c r="BW11" s="614">
        <f t="shared" si="12"/>
        <v>0.11</v>
      </c>
      <c r="BX11" s="614">
        <f t="shared" si="13"/>
        <v>8.3739999999999988</v>
      </c>
    </row>
    <row r="12" spans="2:76" x14ac:dyDescent="0.25">
      <c r="B12" s="616" t="s">
        <v>846</v>
      </c>
      <c r="C12" s="614">
        <f t="shared" si="2"/>
        <v>13.965</v>
      </c>
      <c r="D12" s="614">
        <f t="shared" si="3"/>
        <v>12.006</v>
      </c>
      <c r="E12" s="614">
        <f t="shared" si="4"/>
        <v>3.4780000000000002</v>
      </c>
      <c r="F12" s="614">
        <f t="shared" si="5"/>
        <v>25.563999999999989</v>
      </c>
      <c r="G12" s="614">
        <f t="shared" si="6"/>
        <v>0.26</v>
      </c>
      <c r="H12" s="614">
        <f t="shared" si="7"/>
        <v>55.273000000000003</v>
      </c>
      <c r="J12" s="616" t="s">
        <v>846</v>
      </c>
      <c r="K12" s="614">
        <f>Ielas!T252</f>
        <v>12.157</v>
      </c>
      <c r="L12" s="614">
        <f>Ielas!U252</f>
        <v>8.7050000000000001</v>
      </c>
      <c r="M12" s="614">
        <f>Ielas!V252</f>
        <v>3.4780000000000002</v>
      </c>
      <c r="N12" s="614">
        <f>Ielas!W252</f>
        <v>18.545999999999989</v>
      </c>
      <c r="O12" s="614">
        <f>Ielas!X252</f>
        <v>7.4999999999999997E-2</v>
      </c>
      <c r="P12" s="614">
        <f>Ielas!Y252</f>
        <v>42.960999999999999</v>
      </c>
      <c r="Q12" s="616" t="s">
        <v>846</v>
      </c>
      <c r="R12" s="614">
        <f>Ielas!AA252</f>
        <v>0</v>
      </c>
      <c r="S12" s="614">
        <f>Ielas!AB252</f>
        <v>0</v>
      </c>
      <c r="T12" s="614">
        <f>Ielas!AC252</f>
        <v>0</v>
      </c>
      <c r="U12" s="614">
        <f>Ielas!AD252</f>
        <v>0</v>
      </c>
      <c r="V12" s="614">
        <f>Ielas!AE252</f>
        <v>0</v>
      </c>
      <c r="W12" s="614">
        <f>Ielas!AF252</f>
        <v>0</v>
      </c>
      <c r="Y12" s="616" t="s">
        <v>846</v>
      </c>
      <c r="Z12" s="614">
        <f>Ielas!T301</f>
        <v>1.7780000000000002</v>
      </c>
      <c r="AA12" s="614">
        <f>Ielas!U301</f>
        <v>1.6760000000000002</v>
      </c>
      <c r="AB12" s="614">
        <f>Ielas!V301</f>
        <v>0</v>
      </c>
      <c r="AC12" s="614">
        <f>Ielas!W301</f>
        <v>3.8380000000000005</v>
      </c>
      <c r="AD12" s="614">
        <f>Ielas!X301</f>
        <v>0.185</v>
      </c>
      <c r="AE12" s="614">
        <f>Ielas!Y301</f>
        <v>7.4770000000000012</v>
      </c>
      <c r="AF12" s="616" t="s">
        <v>846</v>
      </c>
      <c r="AG12" s="614">
        <f>Ielas!AA301</f>
        <v>0.23100000000000001</v>
      </c>
      <c r="AH12" s="614">
        <f>Ielas!AB301</f>
        <v>0</v>
      </c>
      <c r="AI12" s="614">
        <f>Ielas!AC301</f>
        <v>0</v>
      </c>
      <c r="AJ12" s="614">
        <f>Ielas!AD301</f>
        <v>0.32300000000000001</v>
      </c>
      <c r="AK12" s="614">
        <f>Ielas!AE301</f>
        <v>0</v>
      </c>
      <c r="AL12" s="614">
        <f>Ielas!AF301</f>
        <v>0.55400000000000005</v>
      </c>
      <c r="AN12" s="616" t="s">
        <v>846</v>
      </c>
      <c r="AO12" s="614">
        <f>Ielas!T341</f>
        <v>0.03</v>
      </c>
      <c r="AP12" s="614">
        <f>Ielas!U341</f>
        <v>1.625</v>
      </c>
      <c r="AQ12" s="614">
        <f>Ielas!V341</f>
        <v>0</v>
      </c>
      <c r="AR12" s="614">
        <f>Ielas!W341</f>
        <v>2.8599999999999994</v>
      </c>
      <c r="AS12" s="614">
        <f>Ielas!X341</f>
        <v>0</v>
      </c>
      <c r="AT12" s="614">
        <f>Ielas!Y341</f>
        <v>4.5149999999999997</v>
      </c>
      <c r="AU12" s="616" t="s">
        <v>846</v>
      </c>
      <c r="AV12" s="614">
        <f>Ielas!AA341</f>
        <v>0</v>
      </c>
      <c r="AW12" s="614">
        <f>Ielas!AB341</f>
        <v>0</v>
      </c>
      <c r="AX12" s="614">
        <f>Ielas!AC341</f>
        <v>0</v>
      </c>
      <c r="AY12" s="614">
        <f>Ielas!AD341</f>
        <v>0</v>
      </c>
      <c r="AZ12" s="614">
        <f>Ielas!AE341</f>
        <v>0</v>
      </c>
      <c r="BA12" s="614">
        <f>Ielas!AF341</f>
        <v>0</v>
      </c>
      <c r="BC12" s="616" t="s">
        <v>846</v>
      </c>
      <c r="BD12" s="614">
        <f>Ielas!T356</f>
        <v>0</v>
      </c>
      <c r="BE12" s="614">
        <f>Ielas!U356</f>
        <v>0</v>
      </c>
      <c r="BF12" s="614">
        <f>Ielas!V356</f>
        <v>0</v>
      </c>
      <c r="BG12" s="614">
        <f>Ielas!W356</f>
        <v>0.32</v>
      </c>
      <c r="BH12" s="614">
        <f>Ielas!X356</f>
        <v>0</v>
      </c>
      <c r="BI12" s="614">
        <f>Ielas!Y356</f>
        <v>0.32</v>
      </c>
      <c r="BJ12" s="616" t="s">
        <v>846</v>
      </c>
      <c r="BK12" s="614">
        <f>Ielas!AA356</f>
        <v>0</v>
      </c>
      <c r="BL12" s="614">
        <f>Ielas!AB356</f>
        <v>0</v>
      </c>
      <c r="BM12" s="614">
        <f>Ielas!AC356</f>
        <v>0</v>
      </c>
      <c r="BN12" s="614">
        <f>Ielas!AD356</f>
        <v>0</v>
      </c>
      <c r="BO12" s="614">
        <f>Ielas!AE356</f>
        <v>0</v>
      </c>
      <c r="BP12" s="614">
        <f>Ielas!AF356</f>
        <v>0</v>
      </c>
      <c r="BR12" s="616" t="s">
        <v>846</v>
      </c>
      <c r="BS12" s="614">
        <f t="shared" si="8"/>
        <v>13.734</v>
      </c>
      <c r="BT12" s="614">
        <f t="shared" si="9"/>
        <v>12.006</v>
      </c>
      <c r="BU12" s="614">
        <f t="shared" si="10"/>
        <v>3.4780000000000002</v>
      </c>
      <c r="BV12" s="614">
        <f t="shared" si="11"/>
        <v>25.240999999999989</v>
      </c>
      <c r="BW12" s="614">
        <f t="shared" si="12"/>
        <v>0.26</v>
      </c>
      <c r="BX12" s="614">
        <f t="shared" si="13"/>
        <v>54.719000000000001</v>
      </c>
    </row>
    <row r="13" spans="2:76" x14ac:dyDescent="0.25">
      <c r="C13" s="614">
        <f t="shared" si="2"/>
        <v>46.947999999999993</v>
      </c>
      <c r="D13" s="614">
        <f t="shared" si="3"/>
        <v>12.406000000000001</v>
      </c>
      <c r="E13" s="614">
        <f t="shared" si="4"/>
        <v>3.6080000000000001</v>
      </c>
      <c r="F13" s="614">
        <f t="shared" si="5"/>
        <v>28.62299999999999</v>
      </c>
      <c r="G13" s="614">
        <f t="shared" si="6"/>
        <v>0.37</v>
      </c>
      <c r="H13" s="614">
        <f t="shared" si="7"/>
        <v>91.954999999999998</v>
      </c>
      <c r="K13" s="614">
        <f>Ielas!T253</f>
        <v>40.739999999999995</v>
      </c>
      <c r="L13" s="614">
        <f>Ielas!U253</f>
        <v>8.7050000000000001</v>
      </c>
      <c r="M13" s="614">
        <f>Ielas!V253</f>
        <v>3.6080000000000001</v>
      </c>
      <c r="N13" s="614">
        <f>Ielas!W253</f>
        <v>19.690999999999988</v>
      </c>
      <c r="O13" s="614">
        <f>Ielas!X253</f>
        <v>7.4999999999999997E-2</v>
      </c>
      <c r="P13" s="614">
        <f>Ielas!Y253</f>
        <v>72.818999999999988</v>
      </c>
      <c r="R13" s="614">
        <f>Ielas!AA253</f>
        <v>0</v>
      </c>
      <c r="S13" s="614">
        <f>Ielas!AB253</f>
        <v>0</v>
      </c>
      <c r="T13" s="614">
        <f>Ielas!AC253</f>
        <v>0</v>
      </c>
      <c r="U13" s="614">
        <f>Ielas!AD253</f>
        <v>0</v>
      </c>
      <c r="V13" s="614">
        <f>Ielas!AE253</f>
        <v>0</v>
      </c>
      <c r="W13" s="614">
        <f>Ielas!AF253</f>
        <v>0</v>
      </c>
      <c r="Z13" s="614">
        <f>Ielas!T302</f>
        <v>5.0830000000000002</v>
      </c>
      <c r="AA13" s="614">
        <f>Ielas!U302</f>
        <v>1.6760000000000002</v>
      </c>
      <c r="AB13" s="614">
        <f>Ielas!V302</f>
        <v>0</v>
      </c>
      <c r="AC13" s="614">
        <f>Ielas!W302</f>
        <v>4.7570000000000006</v>
      </c>
      <c r="AD13" s="614">
        <f>Ielas!X302</f>
        <v>0.29499999999999998</v>
      </c>
      <c r="AE13" s="614">
        <f>Ielas!Y302</f>
        <v>11.811</v>
      </c>
      <c r="AG13" s="614">
        <f>Ielas!AA302</f>
        <v>0.23100000000000001</v>
      </c>
      <c r="AH13" s="614">
        <f>Ielas!AB302</f>
        <v>0</v>
      </c>
      <c r="AI13" s="614">
        <f>Ielas!AC302</f>
        <v>0</v>
      </c>
      <c r="AJ13" s="614">
        <f>Ielas!AD302</f>
        <v>0.32300000000000001</v>
      </c>
      <c r="AK13" s="614">
        <f>Ielas!AE302</f>
        <v>0</v>
      </c>
      <c r="AL13" s="614">
        <f>Ielas!AF302</f>
        <v>0.55400000000000005</v>
      </c>
      <c r="AO13" s="614">
        <f>Ielas!T342</f>
        <v>0.68500000000000005</v>
      </c>
      <c r="AP13" s="614">
        <f>Ielas!U342</f>
        <v>2.0249999999999999</v>
      </c>
      <c r="AQ13" s="614">
        <f>Ielas!V342</f>
        <v>0</v>
      </c>
      <c r="AR13" s="614">
        <f>Ielas!W342</f>
        <v>3.8549999999999995</v>
      </c>
      <c r="AS13" s="614">
        <f>Ielas!X342</f>
        <v>0</v>
      </c>
      <c r="AT13" s="614">
        <f>Ielas!Y342</f>
        <v>6.5649999999999995</v>
      </c>
      <c r="AV13" s="614">
        <f>Ielas!AA342</f>
        <v>0</v>
      </c>
      <c r="AW13" s="614">
        <f>Ielas!AB342</f>
        <v>0</v>
      </c>
      <c r="AX13" s="614">
        <f>Ielas!AC342</f>
        <v>0</v>
      </c>
      <c r="AY13" s="614">
        <f>Ielas!AD342</f>
        <v>0</v>
      </c>
      <c r="AZ13" s="614">
        <f>Ielas!AE342</f>
        <v>0</v>
      </c>
      <c r="BA13" s="614">
        <f>Ielas!AF342</f>
        <v>0</v>
      </c>
      <c r="BD13" s="614">
        <f>Ielas!T357</f>
        <v>0.43999999999999995</v>
      </c>
      <c r="BE13" s="614">
        <f>Ielas!U357</f>
        <v>0</v>
      </c>
      <c r="BF13" s="614">
        <f>Ielas!V357</f>
        <v>0</v>
      </c>
      <c r="BG13" s="614">
        <f>Ielas!W357</f>
        <v>0.32</v>
      </c>
      <c r="BH13" s="614">
        <f>Ielas!X357</f>
        <v>0</v>
      </c>
      <c r="BI13" s="614">
        <f>Ielas!Y357</f>
        <v>0.76</v>
      </c>
      <c r="BK13" s="614">
        <f>Ielas!AA357</f>
        <v>0</v>
      </c>
      <c r="BL13" s="614">
        <f>Ielas!AB357</f>
        <v>0</v>
      </c>
      <c r="BM13" s="614">
        <f>Ielas!AC357</f>
        <v>0</v>
      </c>
      <c r="BN13" s="614">
        <f>Ielas!AD357</f>
        <v>0</v>
      </c>
      <c r="BO13" s="614">
        <f>Ielas!AE357</f>
        <v>0</v>
      </c>
      <c r="BP13" s="614">
        <f>Ielas!AF357</f>
        <v>0</v>
      </c>
      <c r="BS13" s="614">
        <f t="shared" si="8"/>
        <v>46.716999999999992</v>
      </c>
      <c r="BT13" s="614">
        <f t="shared" si="9"/>
        <v>12.406000000000001</v>
      </c>
      <c r="BU13" s="614">
        <f t="shared" si="10"/>
        <v>3.6080000000000001</v>
      </c>
      <c r="BV13" s="614">
        <f t="shared" si="11"/>
        <v>28.29999999999999</v>
      </c>
      <c r="BW13" s="614">
        <f t="shared" si="12"/>
        <v>0.37</v>
      </c>
      <c r="BX13" s="614">
        <f t="shared" si="13"/>
        <v>91.400999999999996</v>
      </c>
    </row>
    <row r="14" spans="2:76" x14ac:dyDescent="0.25">
      <c r="C14" s="667"/>
      <c r="D14" s="667"/>
      <c r="E14" s="667"/>
      <c r="F14" s="667"/>
      <c r="G14" s="667"/>
      <c r="H14" s="667"/>
      <c r="BS14" s="667"/>
      <c r="BT14" s="667"/>
      <c r="BU14" s="667"/>
      <c r="BV14" s="667"/>
      <c r="BW14" s="667"/>
      <c r="BX14" s="667"/>
    </row>
    <row r="15" spans="2:76" x14ac:dyDescent="0.25">
      <c r="B15" t="s">
        <v>1146</v>
      </c>
      <c r="C15" s="667"/>
      <c r="D15" s="667"/>
      <c r="E15" s="667"/>
      <c r="F15" s="667"/>
      <c r="G15" s="667"/>
      <c r="H15" s="667"/>
      <c r="K15" t="s">
        <v>1147</v>
      </c>
      <c r="R15" t="s">
        <v>1141</v>
      </c>
      <c r="AG15" t="s">
        <v>1141</v>
      </c>
      <c r="AV15" t="s">
        <v>1141</v>
      </c>
      <c r="BK15" t="s">
        <v>1141</v>
      </c>
      <c r="BR15" t="s">
        <v>1148</v>
      </c>
      <c r="BS15" s="667"/>
      <c r="BT15" s="667"/>
      <c r="BU15" s="667"/>
      <c r="BV15" s="667"/>
      <c r="BW15" s="667"/>
      <c r="BX15" s="667"/>
    </row>
    <row r="16" spans="2:76" ht="23.25" x14ac:dyDescent="0.25">
      <c r="B16" s="102"/>
      <c r="C16" s="669" t="s">
        <v>1092</v>
      </c>
      <c r="D16" s="669" t="s">
        <v>1093</v>
      </c>
      <c r="E16" s="669" t="s">
        <v>1094</v>
      </c>
      <c r="F16" s="669" t="s">
        <v>1095</v>
      </c>
      <c r="G16" s="669" t="s">
        <v>1096</v>
      </c>
      <c r="H16" s="141" t="s">
        <v>269</v>
      </c>
      <c r="J16" s="102"/>
      <c r="K16" s="625" t="s">
        <v>1092</v>
      </c>
      <c r="L16" s="625" t="s">
        <v>1093</v>
      </c>
      <c r="M16" s="625" t="s">
        <v>1094</v>
      </c>
      <c r="N16" s="625" t="s">
        <v>1095</v>
      </c>
      <c r="O16" s="625" t="s">
        <v>1096</v>
      </c>
      <c r="P16" s="627" t="s">
        <v>269</v>
      </c>
      <c r="Q16" s="102"/>
      <c r="R16" s="625" t="s">
        <v>1092</v>
      </c>
      <c r="S16" s="625" t="s">
        <v>1093</v>
      </c>
      <c r="T16" s="625" t="s">
        <v>1094</v>
      </c>
      <c r="U16" s="625" t="s">
        <v>1095</v>
      </c>
      <c r="V16" s="625" t="s">
        <v>1096</v>
      </c>
      <c r="W16" s="627" t="s">
        <v>269</v>
      </c>
      <c r="Y16" s="102"/>
      <c r="Z16" s="625" t="s">
        <v>1092</v>
      </c>
      <c r="AA16" s="625" t="s">
        <v>1093</v>
      </c>
      <c r="AB16" s="625" t="s">
        <v>1094</v>
      </c>
      <c r="AC16" s="625" t="s">
        <v>1095</v>
      </c>
      <c r="AD16" s="625" t="s">
        <v>1096</v>
      </c>
      <c r="AE16" s="627" t="s">
        <v>269</v>
      </c>
      <c r="AF16" s="102"/>
      <c r="AG16" s="625" t="s">
        <v>1092</v>
      </c>
      <c r="AH16" s="625" t="s">
        <v>1093</v>
      </c>
      <c r="AI16" s="625" t="s">
        <v>1094</v>
      </c>
      <c r="AJ16" s="625" t="s">
        <v>1095</v>
      </c>
      <c r="AK16" s="625" t="s">
        <v>1096</v>
      </c>
      <c r="AL16" s="627" t="s">
        <v>269</v>
      </c>
      <c r="AN16" s="102"/>
      <c r="AO16" s="625" t="s">
        <v>1092</v>
      </c>
      <c r="AP16" s="625" t="s">
        <v>1093</v>
      </c>
      <c r="AQ16" s="625" t="s">
        <v>1094</v>
      </c>
      <c r="AR16" s="625" t="s">
        <v>1095</v>
      </c>
      <c r="AS16" s="625" t="s">
        <v>1096</v>
      </c>
      <c r="AT16" s="627" t="s">
        <v>269</v>
      </c>
      <c r="AU16" s="102"/>
      <c r="AV16" s="625" t="s">
        <v>1092</v>
      </c>
      <c r="AW16" s="625" t="s">
        <v>1093</v>
      </c>
      <c r="AX16" s="625" t="s">
        <v>1094</v>
      </c>
      <c r="AY16" s="625" t="s">
        <v>1095</v>
      </c>
      <c r="AZ16" s="625" t="s">
        <v>1096</v>
      </c>
      <c r="BA16" s="627" t="s">
        <v>269</v>
      </c>
      <c r="BC16" s="102"/>
      <c r="BD16" s="625" t="s">
        <v>1092</v>
      </c>
      <c r="BE16" s="625" t="s">
        <v>1093</v>
      </c>
      <c r="BF16" s="625" t="s">
        <v>1094</v>
      </c>
      <c r="BG16" s="625" t="s">
        <v>1095</v>
      </c>
      <c r="BH16" s="625" t="s">
        <v>1096</v>
      </c>
      <c r="BI16" s="627" t="s">
        <v>269</v>
      </c>
      <c r="BJ16" s="102"/>
      <c r="BK16" s="625" t="s">
        <v>1092</v>
      </c>
      <c r="BL16" s="625" t="s">
        <v>1093</v>
      </c>
      <c r="BM16" s="625" t="s">
        <v>1094</v>
      </c>
      <c r="BN16" s="625" t="s">
        <v>1095</v>
      </c>
      <c r="BO16" s="625" t="s">
        <v>1096</v>
      </c>
      <c r="BP16" s="627" t="s">
        <v>269</v>
      </c>
      <c r="BR16" s="102"/>
      <c r="BS16" s="669" t="s">
        <v>1092</v>
      </c>
      <c r="BT16" s="669" t="s">
        <v>1093</v>
      </c>
      <c r="BU16" s="669" t="s">
        <v>1094</v>
      </c>
      <c r="BV16" s="669" t="s">
        <v>1095</v>
      </c>
      <c r="BW16" s="669" t="s">
        <v>1096</v>
      </c>
      <c r="BX16" s="141" t="s">
        <v>269</v>
      </c>
    </row>
    <row r="17" spans="2:76" x14ac:dyDescent="0.25">
      <c r="B17" s="628" t="s">
        <v>844</v>
      </c>
      <c r="C17" s="669" t="s">
        <v>231</v>
      </c>
      <c r="D17" s="669" t="s">
        <v>231</v>
      </c>
      <c r="E17" s="669" t="s">
        <v>231</v>
      </c>
      <c r="F17" s="669" t="s">
        <v>231</v>
      </c>
      <c r="G17" s="669" t="s">
        <v>231</v>
      </c>
      <c r="H17" s="670" t="s">
        <v>231</v>
      </c>
      <c r="J17" s="628" t="s">
        <v>844</v>
      </c>
      <c r="K17" s="625" t="s">
        <v>231</v>
      </c>
      <c r="L17" s="625" t="s">
        <v>231</v>
      </c>
      <c r="M17" s="625" t="s">
        <v>231</v>
      </c>
      <c r="N17" s="625" t="s">
        <v>231</v>
      </c>
      <c r="O17" s="625" t="s">
        <v>231</v>
      </c>
      <c r="P17" s="626" t="s">
        <v>231</v>
      </c>
      <c r="Q17" s="628"/>
      <c r="R17" s="625" t="s">
        <v>231</v>
      </c>
      <c r="S17" s="625" t="s">
        <v>231</v>
      </c>
      <c r="T17" s="625" t="s">
        <v>231</v>
      </c>
      <c r="U17" s="625" t="s">
        <v>231</v>
      </c>
      <c r="V17" s="625" t="s">
        <v>231</v>
      </c>
      <c r="W17" s="626" t="s">
        <v>231</v>
      </c>
      <c r="Y17" s="628" t="s">
        <v>844</v>
      </c>
      <c r="Z17" s="625" t="s">
        <v>231</v>
      </c>
      <c r="AA17" s="625" t="s">
        <v>231</v>
      </c>
      <c r="AB17" s="625" t="s">
        <v>231</v>
      </c>
      <c r="AC17" s="625" t="s">
        <v>231</v>
      </c>
      <c r="AD17" s="625" t="s">
        <v>231</v>
      </c>
      <c r="AE17" s="626" t="s">
        <v>231</v>
      </c>
      <c r="AF17" s="628"/>
      <c r="AG17" s="625" t="s">
        <v>231</v>
      </c>
      <c r="AH17" s="625" t="s">
        <v>231</v>
      </c>
      <c r="AI17" s="625" t="s">
        <v>231</v>
      </c>
      <c r="AJ17" s="625" t="s">
        <v>231</v>
      </c>
      <c r="AK17" s="625" t="s">
        <v>231</v>
      </c>
      <c r="AL17" s="626" t="s">
        <v>231</v>
      </c>
      <c r="AN17" s="628" t="s">
        <v>844</v>
      </c>
      <c r="AO17" s="625" t="s">
        <v>231</v>
      </c>
      <c r="AP17" s="625" t="s">
        <v>231</v>
      </c>
      <c r="AQ17" s="625" t="s">
        <v>231</v>
      </c>
      <c r="AR17" s="625" t="s">
        <v>231</v>
      </c>
      <c r="AS17" s="625" t="s">
        <v>231</v>
      </c>
      <c r="AT17" s="626" t="s">
        <v>231</v>
      </c>
      <c r="AU17" s="628"/>
      <c r="AV17" s="625" t="s">
        <v>231</v>
      </c>
      <c r="AW17" s="625" t="s">
        <v>231</v>
      </c>
      <c r="AX17" s="625" t="s">
        <v>231</v>
      </c>
      <c r="AY17" s="625" t="s">
        <v>231</v>
      </c>
      <c r="AZ17" s="625" t="s">
        <v>231</v>
      </c>
      <c r="BA17" s="626" t="s">
        <v>231</v>
      </c>
      <c r="BC17" s="628" t="s">
        <v>844</v>
      </c>
      <c r="BD17" s="625" t="s">
        <v>231</v>
      </c>
      <c r="BE17" s="625" t="s">
        <v>231</v>
      </c>
      <c r="BF17" s="625" t="s">
        <v>231</v>
      </c>
      <c r="BG17" s="625" t="s">
        <v>231</v>
      </c>
      <c r="BH17" s="625" t="s">
        <v>231</v>
      </c>
      <c r="BI17" s="626" t="s">
        <v>231</v>
      </c>
      <c r="BJ17" s="628"/>
      <c r="BK17" s="625" t="s">
        <v>231</v>
      </c>
      <c r="BL17" s="625" t="s">
        <v>231</v>
      </c>
      <c r="BM17" s="625" t="s">
        <v>231</v>
      </c>
      <c r="BN17" s="625" t="s">
        <v>231</v>
      </c>
      <c r="BO17" s="625" t="s">
        <v>231</v>
      </c>
      <c r="BP17" s="626" t="s">
        <v>231</v>
      </c>
      <c r="BR17" s="628" t="s">
        <v>844</v>
      </c>
      <c r="BS17" s="669" t="s">
        <v>231</v>
      </c>
      <c r="BT17" s="669" t="s">
        <v>231</v>
      </c>
      <c r="BU17" s="669" t="s">
        <v>231</v>
      </c>
      <c r="BV17" s="669" t="s">
        <v>231</v>
      </c>
      <c r="BW17" s="669" t="s">
        <v>231</v>
      </c>
      <c r="BX17" s="670" t="s">
        <v>231</v>
      </c>
    </row>
    <row r="18" spans="2:76" x14ac:dyDescent="0.25">
      <c r="B18" s="616" t="s">
        <v>847</v>
      </c>
      <c r="C18" s="614">
        <f t="shared" ref="C18:H22" si="14">K18+Z18+AO18</f>
        <v>0</v>
      </c>
      <c r="D18" s="614">
        <f t="shared" si="14"/>
        <v>0</v>
      </c>
      <c r="E18" s="614">
        <f t="shared" si="14"/>
        <v>0</v>
      </c>
      <c r="F18" s="614">
        <f t="shared" si="14"/>
        <v>0</v>
      </c>
      <c r="G18" s="614">
        <f t="shared" si="14"/>
        <v>0</v>
      </c>
      <c r="H18" s="614">
        <f t="shared" si="14"/>
        <v>0</v>
      </c>
      <c r="J18" s="616" t="s">
        <v>847</v>
      </c>
      <c r="K18" s="614">
        <f>Ielas!T375</f>
        <v>0</v>
      </c>
      <c r="L18" s="614">
        <f>Ielas!U375</f>
        <v>0</v>
      </c>
      <c r="M18" s="614">
        <f>Ielas!V375</f>
        <v>0</v>
      </c>
      <c r="N18" s="614">
        <f>Ielas!W375</f>
        <v>0</v>
      </c>
      <c r="O18" s="614">
        <f>Ielas!X375</f>
        <v>0</v>
      </c>
      <c r="P18" s="614">
        <f>Ielas!Y375</f>
        <v>0</v>
      </c>
      <c r="Q18" s="616" t="s">
        <v>847</v>
      </c>
      <c r="R18" s="614">
        <f>Ielas!AA375</f>
        <v>0</v>
      </c>
      <c r="S18" s="614">
        <f>Ielas!AB375</f>
        <v>0</v>
      </c>
      <c r="T18" s="614">
        <f>Ielas!AC375</f>
        <v>0</v>
      </c>
      <c r="U18" s="614">
        <f>Ielas!AD375</f>
        <v>0</v>
      </c>
      <c r="V18" s="614">
        <f>Ielas!AE375</f>
        <v>0</v>
      </c>
      <c r="W18" s="614">
        <f>Ielas!AF375</f>
        <v>0</v>
      </c>
      <c r="Y18" s="616" t="s">
        <v>847</v>
      </c>
      <c r="Z18" s="614"/>
      <c r="AA18" s="614"/>
      <c r="AB18" s="614"/>
      <c r="AC18" s="614"/>
      <c r="AD18" s="614"/>
      <c r="AE18" s="614"/>
      <c r="AF18" s="616" t="s">
        <v>847</v>
      </c>
      <c r="AG18" s="614"/>
      <c r="AH18" s="614"/>
      <c r="AI18" s="614"/>
      <c r="AJ18" s="614"/>
      <c r="AK18" s="614"/>
      <c r="AL18" s="614"/>
      <c r="AN18" s="616" t="s">
        <v>847</v>
      </c>
      <c r="AO18" s="614"/>
      <c r="AP18" s="614"/>
      <c r="AQ18" s="614"/>
      <c r="AR18" s="614"/>
      <c r="AS18" s="614"/>
      <c r="AT18" s="614"/>
      <c r="AU18" s="616" t="s">
        <v>847</v>
      </c>
      <c r="AV18" s="614"/>
      <c r="AW18" s="614"/>
      <c r="AX18" s="614"/>
      <c r="AY18" s="614"/>
      <c r="AZ18" s="614"/>
      <c r="BA18" s="614"/>
      <c r="BC18" s="616" t="s">
        <v>847</v>
      </c>
      <c r="BD18" s="614"/>
      <c r="BE18" s="614"/>
      <c r="BF18" s="614"/>
      <c r="BG18" s="614"/>
      <c r="BH18" s="614"/>
      <c r="BI18" s="614"/>
      <c r="BJ18" s="616" t="s">
        <v>847</v>
      </c>
      <c r="BK18" s="614"/>
      <c r="BL18" s="614"/>
      <c r="BM18" s="614"/>
      <c r="BN18" s="614"/>
      <c r="BO18" s="614"/>
      <c r="BP18" s="614"/>
      <c r="BR18" s="616" t="s">
        <v>847</v>
      </c>
      <c r="BS18" s="614">
        <f t="shared" ref="BS18:BX22" si="15">C18-R18-AG18-AV18</f>
        <v>0</v>
      </c>
      <c r="BT18" s="614">
        <f t="shared" si="15"/>
        <v>0</v>
      </c>
      <c r="BU18" s="614">
        <f t="shared" si="15"/>
        <v>0</v>
      </c>
      <c r="BV18" s="614">
        <f t="shared" si="15"/>
        <v>0</v>
      </c>
      <c r="BW18" s="614">
        <f t="shared" si="15"/>
        <v>0</v>
      </c>
      <c r="BX18" s="614">
        <f t="shared" si="15"/>
        <v>0</v>
      </c>
    </row>
    <row r="19" spans="2:76" x14ac:dyDescent="0.25">
      <c r="B19" s="617" t="s">
        <v>848</v>
      </c>
      <c r="C19" s="614">
        <f t="shared" si="14"/>
        <v>0</v>
      </c>
      <c r="D19" s="614">
        <f t="shared" si="14"/>
        <v>0</v>
      </c>
      <c r="E19" s="614">
        <f t="shared" si="14"/>
        <v>0</v>
      </c>
      <c r="F19" s="614">
        <f t="shared" si="14"/>
        <v>0</v>
      </c>
      <c r="G19" s="614">
        <f t="shared" si="14"/>
        <v>0</v>
      </c>
      <c r="H19" s="614">
        <f t="shared" si="14"/>
        <v>0</v>
      </c>
      <c r="J19" s="617" t="s">
        <v>848</v>
      </c>
      <c r="K19" s="614">
        <f>Ielas!T376</f>
        <v>0</v>
      </c>
      <c r="L19" s="614">
        <f>Ielas!U376</f>
        <v>0</v>
      </c>
      <c r="M19" s="614">
        <f>Ielas!V376</f>
        <v>0</v>
      </c>
      <c r="N19" s="614">
        <f>Ielas!W376</f>
        <v>0</v>
      </c>
      <c r="O19" s="614">
        <f>Ielas!X376</f>
        <v>0</v>
      </c>
      <c r="P19" s="614">
        <f>Ielas!Y376</f>
        <v>0</v>
      </c>
      <c r="Q19" s="617" t="s">
        <v>848</v>
      </c>
      <c r="R19" s="614">
        <f>Ielas!AA376</f>
        <v>0</v>
      </c>
      <c r="S19" s="614">
        <f>Ielas!AB376</f>
        <v>0</v>
      </c>
      <c r="T19" s="614">
        <f>Ielas!AC376</f>
        <v>0</v>
      </c>
      <c r="U19" s="614">
        <f>Ielas!AD376</f>
        <v>0</v>
      </c>
      <c r="V19" s="614">
        <f>Ielas!AE376</f>
        <v>0</v>
      </c>
      <c r="W19" s="614">
        <f>Ielas!AF376</f>
        <v>0</v>
      </c>
      <c r="Y19" s="617" t="s">
        <v>848</v>
      </c>
      <c r="Z19" s="614"/>
      <c r="AA19" s="614"/>
      <c r="AB19" s="614"/>
      <c r="AC19" s="614"/>
      <c r="AD19" s="614"/>
      <c r="AE19" s="614"/>
      <c r="AF19" s="617" t="s">
        <v>848</v>
      </c>
      <c r="AG19" s="614"/>
      <c r="AH19" s="614"/>
      <c r="AI19" s="614"/>
      <c r="AJ19" s="614"/>
      <c r="AK19" s="614"/>
      <c r="AL19" s="614"/>
      <c r="AN19" s="617" t="s">
        <v>848</v>
      </c>
      <c r="AO19" s="614"/>
      <c r="AP19" s="614"/>
      <c r="AQ19" s="614"/>
      <c r="AR19" s="614"/>
      <c r="AS19" s="614"/>
      <c r="AT19" s="614"/>
      <c r="AU19" s="617" t="s">
        <v>848</v>
      </c>
      <c r="AV19" s="614"/>
      <c r="AW19" s="614"/>
      <c r="AX19" s="614"/>
      <c r="AY19" s="614"/>
      <c r="AZ19" s="614"/>
      <c r="BA19" s="614"/>
      <c r="BC19" s="617" t="s">
        <v>848</v>
      </c>
      <c r="BD19" s="614"/>
      <c r="BE19" s="614"/>
      <c r="BF19" s="614"/>
      <c r="BG19" s="614"/>
      <c r="BH19" s="614"/>
      <c r="BI19" s="614"/>
      <c r="BJ19" s="617" t="s">
        <v>848</v>
      </c>
      <c r="BK19" s="614"/>
      <c r="BL19" s="614"/>
      <c r="BM19" s="614"/>
      <c r="BN19" s="614"/>
      <c r="BO19" s="614"/>
      <c r="BP19" s="614"/>
      <c r="BR19" s="617" t="s">
        <v>848</v>
      </c>
      <c r="BS19" s="614">
        <f t="shared" si="15"/>
        <v>0</v>
      </c>
      <c r="BT19" s="614">
        <f t="shared" si="15"/>
        <v>0</v>
      </c>
      <c r="BU19" s="614">
        <f t="shared" si="15"/>
        <v>0</v>
      </c>
      <c r="BV19" s="614">
        <f t="shared" si="15"/>
        <v>0</v>
      </c>
      <c r="BW19" s="614">
        <f t="shared" si="15"/>
        <v>0</v>
      </c>
      <c r="BX19" s="614">
        <f t="shared" si="15"/>
        <v>0</v>
      </c>
    </row>
    <row r="20" spans="2:76" x14ac:dyDescent="0.25">
      <c r="B20" s="615" t="s">
        <v>845</v>
      </c>
      <c r="C20" s="614">
        <f t="shared" si="14"/>
        <v>1.48</v>
      </c>
      <c r="D20" s="614">
        <f t="shared" si="14"/>
        <v>0</v>
      </c>
      <c r="E20" s="614">
        <f t="shared" si="14"/>
        <v>0</v>
      </c>
      <c r="F20" s="614">
        <f t="shared" si="14"/>
        <v>1.23</v>
      </c>
      <c r="G20" s="614">
        <f t="shared" si="14"/>
        <v>0</v>
      </c>
      <c r="H20" s="614">
        <f t="shared" si="14"/>
        <v>2.71</v>
      </c>
      <c r="J20" s="615" t="s">
        <v>845</v>
      </c>
      <c r="K20" s="614">
        <f>Ielas!T377</f>
        <v>1.48</v>
      </c>
      <c r="L20" s="614">
        <f>Ielas!U377</f>
        <v>0</v>
      </c>
      <c r="M20" s="614">
        <f>Ielas!V377</f>
        <v>0</v>
      </c>
      <c r="N20" s="614">
        <f>Ielas!W377</f>
        <v>1.23</v>
      </c>
      <c r="O20" s="614">
        <f>Ielas!X377</f>
        <v>0</v>
      </c>
      <c r="P20" s="614">
        <f>Ielas!Y377</f>
        <v>2.71</v>
      </c>
      <c r="Q20" s="615" t="s">
        <v>845</v>
      </c>
      <c r="R20" s="614">
        <f>Ielas!AA377</f>
        <v>0</v>
      </c>
      <c r="S20" s="614">
        <f>Ielas!AB377</f>
        <v>0</v>
      </c>
      <c r="T20" s="614">
        <f>Ielas!AC377</f>
        <v>0</v>
      </c>
      <c r="U20" s="614">
        <f>Ielas!AD377</f>
        <v>0</v>
      </c>
      <c r="V20" s="614">
        <f>Ielas!AE377</f>
        <v>0</v>
      </c>
      <c r="W20" s="614">
        <f>Ielas!AF377</f>
        <v>0</v>
      </c>
      <c r="Y20" s="615" t="s">
        <v>845</v>
      </c>
      <c r="Z20" s="614"/>
      <c r="AA20" s="614"/>
      <c r="AB20" s="614"/>
      <c r="AC20" s="614"/>
      <c r="AD20" s="614"/>
      <c r="AE20" s="614"/>
      <c r="AF20" s="615" t="s">
        <v>845</v>
      </c>
      <c r="AG20" s="614"/>
      <c r="AH20" s="614"/>
      <c r="AI20" s="614"/>
      <c r="AJ20" s="614"/>
      <c r="AK20" s="614"/>
      <c r="AL20" s="614"/>
      <c r="AN20" s="615" t="s">
        <v>845</v>
      </c>
      <c r="AO20" s="614"/>
      <c r="AP20" s="614"/>
      <c r="AQ20" s="614"/>
      <c r="AR20" s="614"/>
      <c r="AS20" s="614"/>
      <c r="AT20" s="614"/>
      <c r="AU20" s="615" t="s">
        <v>845</v>
      </c>
      <c r="AV20" s="614"/>
      <c r="AW20" s="614"/>
      <c r="AX20" s="614"/>
      <c r="AY20" s="614"/>
      <c r="AZ20" s="614"/>
      <c r="BA20" s="614"/>
      <c r="BC20" s="615" t="s">
        <v>845</v>
      </c>
      <c r="BD20" s="614"/>
      <c r="BE20" s="614"/>
      <c r="BF20" s="614"/>
      <c r="BG20" s="614"/>
      <c r="BH20" s="614"/>
      <c r="BI20" s="614"/>
      <c r="BJ20" s="615" t="s">
        <v>845</v>
      </c>
      <c r="BK20" s="614"/>
      <c r="BL20" s="614"/>
      <c r="BM20" s="614"/>
      <c r="BN20" s="614"/>
      <c r="BO20" s="614"/>
      <c r="BP20" s="614"/>
      <c r="BR20" s="615" t="s">
        <v>845</v>
      </c>
      <c r="BS20" s="614">
        <f t="shared" si="15"/>
        <v>1.48</v>
      </c>
      <c r="BT20" s="614">
        <f t="shared" si="15"/>
        <v>0</v>
      </c>
      <c r="BU20" s="614">
        <f t="shared" si="15"/>
        <v>0</v>
      </c>
      <c r="BV20" s="614">
        <f t="shared" si="15"/>
        <v>1.23</v>
      </c>
      <c r="BW20" s="614">
        <f t="shared" si="15"/>
        <v>0</v>
      </c>
      <c r="BX20" s="614">
        <f t="shared" si="15"/>
        <v>2.71</v>
      </c>
    </row>
    <row r="21" spans="2:76" x14ac:dyDescent="0.25">
      <c r="B21" s="616" t="s">
        <v>846</v>
      </c>
      <c r="C21" s="614">
        <f t="shared" si="14"/>
        <v>0</v>
      </c>
      <c r="D21" s="614">
        <f t="shared" si="14"/>
        <v>0</v>
      </c>
      <c r="E21" s="614">
        <f t="shared" si="14"/>
        <v>0</v>
      </c>
      <c r="F21" s="614">
        <f t="shared" si="14"/>
        <v>0</v>
      </c>
      <c r="G21" s="614">
        <f t="shared" si="14"/>
        <v>0</v>
      </c>
      <c r="H21" s="614">
        <f t="shared" si="14"/>
        <v>0</v>
      </c>
      <c r="J21" s="616" t="s">
        <v>846</v>
      </c>
      <c r="K21" s="614">
        <f>Ielas!T378</f>
        <v>0</v>
      </c>
      <c r="L21" s="614">
        <f>Ielas!U378</f>
        <v>0</v>
      </c>
      <c r="M21" s="614">
        <f>Ielas!V378</f>
        <v>0</v>
      </c>
      <c r="N21" s="614">
        <f>Ielas!W378</f>
        <v>0</v>
      </c>
      <c r="O21" s="614">
        <f>Ielas!X378</f>
        <v>0</v>
      </c>
      <c r="P21" s="614">
        <f>Ielas!Y378</f>
        <v>0</v>
      </c>
      <c r="Q21" s="616" t="s">
        <v>846</v>
      </c>
      <c r="R21" s="614">
        <f>Ielas!AA378</f>
        <v>0</v>
      </c>
      <c r="S21" s="614">
        <f>Ielas!AB378</f>
        <v>0</v>
      </c>
      <c r="T21" s="614">
        <f>Ielas!AC378</f>
        <v>0</v>
      </c>
      <c r="U21" s="614">
        <f>Ielas!AD378</f>
        <v>0</v>
      </c>
      <c r="V21" s="614">
        <f>Ielas!AE378</f>
        <v>0</v>
      </c>
      <c r="W21" s="614">
        <f>Ielas!AF378</f>
        <v>0</v>
      </c>
      <c r="Y21" s="616" t="s">
        <v>846</v>
      </c>
      <c r="Z21" s="614"/>
      <c r="AA21" s="614"/>
      <c r="AB21" s="614"/>
      <c r="AC21" s="614"/>
      <c r="AD21" s="614"/>
      <c r="AE21" s="614"/>
      <c r="AF21" s="616" t="s">
        <v>846</v>
      </c>
      <c r="AG21" s="614"/>
      <c r="AH21" s="614"/>
      <c r="AI21" s="614"/>
      <c r="AJ21" s="614"/>
      <c r="AK21" s="614"/>
      <c r="AL21" s="614"/>
      <c r="AN21" s="616" t="s">
        <v>846</v>
      </c>
      <c r="AO21" s="614"/>
      <c r="AP21" s="614"/>
      <c r="AQ21" s="614"/>
      <c r="AR21" s="614"/>
      <c r="AS21" s="614"/>
      <c r="AT21" s="614"/>
      <c r="AU21" s="616" t="s">
        <v>846</v>
      </c>
      <c r="AV21" s="614"/>
      <c r="AW21" s="614"/>
      <c r="AX21" s="614"/>
      <c r="AY21" s="614"/>
      <c r="AZ21" s="614"/>
      <c r="BA21" s="614"/>
      <c r="BC21" s="616" t="s">
        <v>846</v>
      </c>
      <c r="BD21" s="614"/>
      <c r="BE21" s="614"/>
      <c r="BF21" s="614"/>
      <c r="BG21" s="614"/>
      <c r="BH21" s="614"/>
      <c r="BI21" s="614"/>
      <c r="BJ21" s="616" t="s">
        <v>846</v>
      </c>
      <c r="BK21" s="614"/>
      <c r="BL21" s="614"/>
      <c r="BM21" s="614"/>
      <c r="BN21" s="614"/>
      <c r="BO21" s="614"/>
      <c r="BP21" s="614"/>
      <c r="BR21" s="616" t="s">
        <v>846</v>
      </c>
      <c r="BS21" s="614">
        <f t="shared" si="15"/>
        <v>0</v>
      </c>
      <c r="BT21" s="614">
        <f t="shared" si="15"/>
        <v>0</v>
      </c>
      <c r="BU21" s="614">
        <f t="shared" si="15"/>
        <v>0</v>
      </c>
      <c r="BV21" s="614">
        <f t="shared" si="15"/>
        <v>0</v>
      </c>
      <c r="BW21" s="614">
        <f t="shared" si="15"/>
        <v>0</v>
      </c>
      <c r="BX21" s="614">
        <f t="shared" si="15"/>
        <v>0</v>
      </c>
    </row>
    <row r="22" spans="2:76" x14ac:dyDescent="0.25">
      <c r="C22" s="614">
        <f t="shared" si="14"/>
        <v>1.48</v>
      </c>
      <c r="D22" s="614">
        <f t="shared" si="14"/>
        <v>0</v>
      </c>
      <c r="E22" s="614">
        <f t="shared" si="14"/>
        <v>0</v>
      </c>
      <c r="F22" s="614">
        <f t="shared" si="14"/>
        <v>1.23</v>
      </c>
      <c r="G22" s="614">
        <f t="shared" si="14"/>
        <v>0</v>
      </c>
      <c r="H22" s="614">
        <f t="shared" si="14"/>
        <v>2.71</v>
      </c>
      <c r="K22" s="614">
        <f>Ielas!T379</f>
        <v>1.48</v>
      </c>
      <c r="L22" s="614">
        <f>Ielas!U379</f>
        <v>0</v>
      </c>
      <c r="M22" s="614">
        <f>Ielas!V379</f>
        <v>0</v>
      </c>
      <c r="N22" s="614">
        <f>Ielas!W379</f>
        <v>1.23</v>
      </c>
      <c r="O22" s="614">
        <f>Ielas!X379</f>
        <v>0</v>
      </c>
      <c r="P22" s="614">
        <f>Ielas!Y379</f>
        <v>2.71</v>
      </c>
      <c r="R22" s="614">
        <f>Ielas!AA379</f>
        <v>0</v>
      </c>
      <c r="S22" s="614">
        <f>Ielas!AB379</f>
        <v>0</v>
      </c>
      <c r="T22" s="614">
        <f>Ielas!AC379</f>
        <v>0</v>
      </c>
      <c r="U22" s="614">
        <f>Ielas!AD379</f>
        <v>0</v>
      </c>
      <c r="V22" s="614">
        <f>Ielas!AE379</f>
        <v>0</v>
      </c>
      <c r="W22" s="614">
        <f>Ielas!AF379</f>
        <v>0</v>
      </c>
      <c r="Z22" s="614"/>
      <c r="AA22" s="614"/>
      <c r="AB22" s="614"/>
      <c r="AC22" s="614"/>
      <c r="AD22" s="614"/>
      <c r="AE22" s="614"/>
      <c r="AG22" s="614"/>
      <c r="AH22" s="614"/>
      <c r="AI22" s="614"/>
      <c r="AJ22" s="614"/>
      <c r="AK22" s="614"/>
      <c r="AL22" s="614"/>
      <c r="AO22" s="614"/>
      <c r="AP22" s="614"/>
      <c r="AQ22" s="614"/>
      <c r="AR22" s="614"/>
      <c r="AS22" s="614"/>
      <c r="AT22" s="614"/>
      <c r="AV22" s="614"/>
      <c r="AW22" s="614"/>
      <c r="AX22" s="614"/>
      <c r="AY22" s="614"/>
      <c r="AZ22" s="614"/>
      <c r="BA22" s="614"/>
      <c r="BD22" s="614"/>
      <c r="BE22" s="614"/>
      <c r="BF22" s="614"/>
      <c r="BG22" s="614"/>
      <c r="BH22" s="614"/>
      <c r="BI22" s="614"/>
      <c r="BK22" s="614"/>
      <c r="BL22" s="614"/>
      <c r="BM22" s="614"/>
      <c r="BN22" s="614"/>
      <c r="BO22" s="614"/>
      <c r="BP22" s="614"/>
      <c r="BS22" s="614">
        <f t="shared" si="15"/>
        <v>1.48</v>
      </c>
      <c r="BT22" s="614">
        <f t="shared" si="15"/>
        <v>0</v>
      </c>
      <c r="BU22" s="614">
        <f t="shared" si="15"/>
        <v>0</v>
      </c>
      <c r="BV22" s="614">
        <f t="shared" si="15"/>
        <v>1.23</v>
      </c>
      <c r="BW22" s="614">
        <f t="shared" si="15"/>
        <v>0</v>
      </c>
      <c r="BX22" s="614">
        <f t="shared" si="15"/>
        <v>2.71</v>
      </c>
    </row>
    <row r="23" spans="2:76" x14ac:dyDescent="0.25">
      <c r="C23" s="667"/>
      <c r="D23" s="667"/>
      <c r="E23" s="667"/>
      <c r="F23" s="667"/>
      <c r="G23" s="667"/>
      <c r="H23" s="667"/>
      <c r="BS23" s="667"/>
      <c r="BT23" s="667"/>
      <c r="BU23" s="667"/>
      <c r="BV23" s="667"/>
      <c r="BW23" s="667"/>
      <c r="BX23" s="667"/>
    </row>
    <row r="24" spans="2:76" x14ac:dyDescent="0.25">
      <c r="B24" t="s">
        <v>1149</v>
      </c>
      <c r="C24" s="667"/>
      <c r="D24" s="667"/>
      <c r="E24" s="667"/>
      <c r="F24" s="667"/>
      <c r="G24" s="667"/>
      <c r="H24" s="667"/>
      <c r="K24" t="s">
        <v>1150</v>
      </c>
      <c r="R24" t="s">
        <v>1141</v>
      </c>
      <c r="AG24" t="s">
        <v>1141</v>
      </c>
      <c r="AV24" t="s">
        <v>1141</v>
      </c>
      <c r="BK24" t="s">
        <v>1141</v>
      </c>
      <c r="BR24" t="s">
        <v>1151</v>
      </c>
      <c r="BS24" s="667"/>
      <c r="BT24" s="667"/>
      <c r="BU24" s="667"/>
      <c r="BV24" s="667"/>
      <c r="BW24" s="667"/>
      <c r="BX24" s="667"/>
    </row>
    <row r="25" spans="2:76" ht="23.25" x14ac:dyDescent="0.25">
      <c r="B25" s="102"/>
      <c r="C25" s="669" t="s">
        <v>1092</v>
      </c>
      <c r="D25" s="669" t="s">
        <v>1093</v>
      </c>
      <c r="E25" s="669" t="s">
        <v>1094</v>
      </c>
      <c r="F25" s="669" t="s">
        <v>1095</v>
      </c>
      <c r="G25" s="669" t="s">
        <v>1096</v>
      </c>
      <c r="H25" s="141" t="s">
        <v>269</v>
      </c>
      <c r="J25" s="102"/>
      <c r="K25" s="625" t="s">
        <v>1092</v>
      </c>
      <c r="L25" s="625" t="s">
        <v>1093</v>
      </c>
      <c r="M25" s="625" t="s">
        <v>1094</v>
      </c>
      <c r="N25" s="625" t="s">
        <v>1095</v>
      </c>
      <c r="O25" s="625" t="s">
        <v>1096</v>
      </c>
      <c r="P25" s="627" t="s">
        <v>269</v>
      </c>
      <c r="Q25" s="102"/>
      <c r="R25" s="625" t="s">
        <v>1092</v>
      </c>
      <c r="S25" s="625" t="s">
        <v>1093</v>
      </c>
      <c r="T25" s="625" t="s">
        <v>1094</v>
      </c>
      <c r="U25" s="625" t="s">
        <v>1095</v>
      </c>
      <c r="V25" s="625" t="s">
        <v>1096</v>
      </c>
      <c r="W25" s="627" t="s">
        <v>269</v>
      </c>
      <c r="Y25" s="102"/>
      <c r="Z25" s="625" t="s">
        <v>1092</v>
      </c>
      <c r="AA25" s="625" t="s">
        <v>1093</v>
      </c>
      <c r="AB25" s="625" t="s">
        <v>1094</v>
      </c>
      <c r="AC25" s="625" t="s">
        <v>1095</v>
      </c>
      <c r="AD25" s="625" t="s">
        <v>1096</v>
      </c>
      <c r="AE25" s="627" t="s">
        <v>269</v>
      </c>
      <c r="AF25" s="102"/>
      <c r="AG25" s="625" t="s">
        <v>1092</v>
      </c>
      <c r="AH25" s="625" t="s">
        <v>1093</v>
      </c>
      <c r="AI25" s="625" t="s">
        <v>1094</v>
      </c>
      <c r="AJ25" s="625" t="s">
        <v>1095</v>
      </c>
      <c r="AK25" s="625" t="s">
        <v>1096</v>
      </c>
      <c r="AL25" s="627" t="s">
        <v>269</v>
      </c>
      <c r="AN25" s="102"/>
      <c r="AO25" s="625" t="s">
        <v>1092</v>
      </c>
      <c r="AP25" s="625" t="s">
        <v>1093</v>
      </c>
      <c r="AQ25" s="625" t="s">
        <v>1094</v>
      </c>
      <c r="AR25" s="625" t="s">
        <v>1095</v>
      </c>
      <c r="AS25" s="625" t="s">
        <v>1096</v>
      </c>
      <c r="AT25" s="627" t="s">
        <v>269</v>
      </c>
      <c r="AU25" s="102"/>
      <c r="AV25" s="625" t="s">
        <v>1092</v>
      </c>
      <c r="AW25" s="625" t="s">
        <v>1093</v>
      </c>
      <c r="AX25" s="625" t="s">
        <v>1094</v>
      </c>
      <c r="AY25" s="625" t="s">
        <v>1095</v>
      </c>
      <c r="AZ25" s="625" t="s">
        <v>1096</v>
      </c>
      <c r="BA25" s="627" t="s">
        <v>269</v>
      </c>
      <c r="BC25" s="102"/>
      <c r="BD25" s="625" t="s">
        <v>1092</v>
      </c>
      <c r="BE25" s="625" t="s">
        <v>1093</v>
      </c>
      <c r="BF25" s="625" t="s">
        <v>1094</v>
      </c>
      <c r="BG25" s="625" t="s">
        <v>1095</v>
      </c>
      <c r="BH25" s="625" t="s">
        <v>1096</v>
      </c>
      <c r="BI25" s="627" t="s">
        <v>269</v>
      </c>
      <c r="BJ25" s="102"/>
      <c r="BK25" s="625" t="s">
        <v>1092</v>
      </c>
      <c r="BL25" s="625" t="s">
        <v>1093</v>
      </c>
      <c r="BM25" s="625" t="s">
        <v>1094</v>
      </c>
      <c r="BN25" s="625" t="s">
        <v>1095</v>
      </c>
      <c r="BO25" s="625" t="s">
        <v>1096</v>
      </c>
      <c r="BP25" s="627" t="s">
        <v>269</v>
      </c>
      <c r="BR25" s="102"/>
      <c r="BS25" s="669" t="s">
        <v>1092</v>
      </c>
      <c r="BT25" s="669" t="s">
        <v>1093</v>
      </c>
      <c r="BU25" s="669" t="s">
        <v>1094</v>
      </c>
      <c r="BV25" s="669" t="s">
        <v>1095</v>
      </c>
      <c r="BW25" s="669" t="s">
        <v>1096</v>
      </c>
      <c r="BX25" s="141" t="s">
        <v>269</v>
      </c>
    </row>
    <row r="26" spans="2:76" x14ac:dyDescent="0.25">
      <c r="B26" s="628" t="s">
        <v>844</v>
      </c>
      <c r="C26" s="669" t="s">
        <v>231</v>
      </c>
      <c r="D26" s="669" t="s">
        <v>231</v>
      </c>
      <c r="E26" s="669" t="s">
        <v>231</v>
      </c>
      <c r="F26" s="669" t="s">
        <v>231</v>
      </c>
      <c r="G26" s="669" t="s">
        <v>231</v>
      </c>
      <c r="H26" s="670" t="s">
        <v>231</v>
      </c>
      <c r="J26" s="628" t="s">
        <v>844</v>
      </c>
      <c r="K26" s="625" t="s">
        <v>231</v>
      </c>
      <c r="L26" s="625" t="s">
        <v>231</v>
      </c>
      <c r="M26" s="625" t="s">
        <v>231</v>
      </c>
      <c r="N26" s="625" t="s">
        <v>231</v>
      </c>
      <c r="O26" s="625" t="s">
        <v>231</v>
      </c>
      <c r="P26" s="626" t="s">
        <v>231</v>
      </c>
      <c r="Q26" s="628"/>
      <c r="R26" s="625" t="s">
        <v>231</v>
      </c>
      <c r="S26" s="625" t="s">
        <v>231</v>
      </c>
      <c r="T26" s="625" t="s">
        <v>231</v>
      </c>
      <c r="U26" s="625" t="s">
        <v>231</v>
      </c>
      <c r="V26" s="625" t="s">
        <v>231</v>
      </c>
      <c r="W26" s="626" t="s">
        <v>231</v>
      </c>
      <c r="Y26" s="628" t="s">
        <v>844</v>
      </c>
      <c r="Z26" s="625" t="s">
        <v>231</v>
      </c>
      <c r="AA26" s="625" t="s">
        <v>231</v>
      </c>
      <c r="AB26" s="625" t="s">
        <v>231</v>
      </c>
      <c r="AC26" s="625" t="s">
        <v>231</v>
      </c>
      <c r="AD26" s="625" t="s">
        <v>231</v>
      </c>
      <c r="AE26" s="626" t="s">
        <v>231</v>
      </c>
      <c r="AF26" s="628"/>
      <c r="AG26" s="625" t="s">
        <v>231</v>
      </c>
      <c r="AH26" s="625" t="s">
        <v>231</v>
      </c>
      <c r="AI26" s="625" t="s">
        <v>231</v>
      </c>
      <c r="AJ26" s="625" t="s">
        <v>231</v>
      </c>
      <c r="AK26" s="625" t="s">
        <v>231</v>
      </c>
      <c r="AL26" s="626" t="s">
        <v>231</v>
      </c>
      <c r="AN26" s="628" t="s">
        <v>844</v>
      </c>
      <c r="AO26" s="625" t="s">
        <v>231</v>
      </c>
      <c r="AP26" s="625" t="s">
        <v>231</v>
      </c>
      <c r="AQ26" s="625" t="s">
        <v>231</v>
      </c>
      <c r="AR26" s="625" t="s">
        <v>231</v>
      </c>
      <c r="AS26" s="625" t="s">
        <v>231</v>
      </c>
      <c r="AT26" s="626" t="s">
        <v>231</v>
      </c>
      <c r="AU26" s="628"/>
      <c r="AV26" s="625" t="s">
        <v>231</v>
      </c>
      <c r="AW26" s="625" t="s">
        <v>231</v>
      </c>
      <c r="AX26" s="625" t="s">
        <v>231</v>
      </c>
      <c r="AY26" s="625" t="s">
        <v>231</v>
      </c>
      <c r="AZ26" s="625" t="s">
        <v>231</v>
      </c>
      <c r="BA26" s="626" t="s">
        <v>231</v>
      </c>
      <c r="BC26" s="628" t="s">
        <v>844</v>
      </c>
      <c r="BD26" s="625" t="s">
        <v>231</v>
      </c>
      <c r="BE26" s="625" t="s">
        <v>231</v>
      </c>
      <c r="BF26" s="625" t="s">
        <v>231</v>
      </c>
      <c r="BG26" s="625" t="s">
        <v>231</v>
      </c>
      <c r="BH26" s="625" t="s">
        <v>231</v>
      </c>
      <c r="BI26" s="626" t="s">
        <v>231</v>
      </c>
      <c r="BJ26" s="628"/>
      <c r="BK26" s="625" t="s">
        <v>231</v>
      </c>
      <c r="BL26" s="625" t="s">
        <v>231</v>
      </c>
      <c r="BM26" s="625" t="s">
        <v>231</v>
      </c>
      <c r="BN26" s="625" t="s">
        <v>231</v>
      </c>
      <c r="BO26" s="625" t="s">
        <v>231</v>
      </c>
      <c r="BP26" s="626" t="s">
        <v>231</v>
      </c>
      <c r="BR26" s="628" t="s">
        <v>844</v>
      </c>
      <c r="BS26" s="669" t="s">
        <v>231</v>
      </c>
      <c r="BT26" s="669" t="s">
        <v>231</v>
      </c>
      <c r="BU26" s="669" t="s">
        <v>231</v>
      </c>
      <c r="BV26" s="669" t="s">
        <v>231</v>
      </c>
      <c r="BW26" s="669" t="s">
        <v>231</v>
      </c>
      <c r="BX26" s="670" t="s">
        <v>231</v>
      </c>
    </row>
    <row r="27" spans="2:76" x14ac:dyDescent="0.25">
      <c r="B27" s="616" t="s">
        <v>847</v>
      </c>
      <c r="C27" s="614">
        <f t="shared" ref="C27:H31" si="16">K27+Z27+AO27</f>
        <v>0</v>
      </c>
      <c r="D27" s="614">
        <f t="shared" si="16"/>
        <v>0</v>
      </c>
      <c r="E27" s="614">
        <f t="shared" si="16"/>
        <v>0</v>
      </c>
      <c r="F27" s="614">
        <f t="shared" si="16"/>
        <v>0</v>
      </c>
      <c r="G27" s="614">
        <f t="shared" si="16"/>
        <v>0</v>
      </c>
      <c r="H27" s="614">
        <f t="shared" si="16"/>
        <v>0</v>
      </c>
      <c r="J27" s="616" t="s">
        <v>847</v>
      </c>
      <c r="K27" s="614">
        <f>Ielas!T394</f>
        <v>0</v>
      </c>
      <c r="L27" s="614">
        <f>Ielas!U394</f>
        <v>0</v>
      </c>
      <c r="M27" s="614">
        <f>Ielas!V394</f>
        <v>0</v>
      </c>
      <c r="N27" s="614">
        <f>Ielas!W394</f>
        <v>0</v>
      </c>
      <c r="O27" s="614">
        <f>Ielas!X394</f>
        <v>0</v>
      </c>
      <c r="P27" s="614">
        <f>Ielas!Y394</f>
        <v>0</v>
      </c>
      <c r="Q27" s="616" t="s">
        <v>847</v>
      </c>
      <c r="R27" s="614">
        <f>Ielas!AA394</f>
        <v>0</v>
      </c>
      <c r="S27" s="614">
        <f>Ielas!AB394</f>
        <v>0</v>
      </c>
      <c r="T27" s="614">
        <f>Ielas!AC394</f>
        <v>0</v>
      </c>
      <c r="U27" s="614">
        <f>Ielas!AD394</f>
        <v>0</v>
      </c>
      <c r="V27" s="614">
        <f>Ielas!AE394</f>
        <v>0</v>
      </c>
      <c r="W27" s="614">
        <f>Ielas!AF394</f>
        <v>0</v>
      </c>
      <c r="Y27" s="616" t="s">
        <v>847</v>
      </c>
      <c r="Z27" s="614"/>
      <c r="AA27" s="614"/>
      <c r="AB27" s="614"/>
      <c r="AC27" s="614"/>
      <c r="AD27" s="614"/>
      <c r="AE27" s="614"/>
      <c r="AF27" s="616" t="s">
        <v>847</v>
      </c>
      <c r="AG27" s="614"/>
      <c r="AH27" s="614"/>
      <c r="AI27" s="614"/>
      <c r="AJ27" s="614"/>
      <c r="AK27" s="614"/>
      <c r="AL27" s="614"/>
      <c r="AN27" s="616" t="s">
        <v>847</v>
      </c>
      <c r="AO27" s="614"/>
      <c r="AP27" s="614"/>
      <c r="AQ27" s="614"/>
      <c r="AR27" s="614"/>
      <c r="AS27" s="614"/>
      <c r="AT27" s="614"/>
      <c r="AU27" s="616" t="s">
        <v>847</v>
      </c>
      <c r="AV27" s="614"/>
      <c r="AW27" s="614"/>
      <c r="AX27" s="614"/>
      <c r="AY27" s="614"/>
      <c r="AZ27" s="614"/>
      <c r="BA27" s="614"/>
      <c r="BC27" s="616" t="s">
        <v>847</v>
      </c>
      <c r="BD27" s="614"/>
      <c r="BE27" s="614"/>
      <c r="BF27" s="614"/>
      <c r="BG27" s="614"/>
      <c r="BH27" s="614"/>
      <c r="BI27" s="614"/>
      <c r="BJ27" s="616" t="s">
        <v>847</v>
      </c>
      <c r="BK27" s="614"/>
      <c r="BL27" s="614"/>
      <c r="BM27" s="614"/>
      <c r="BN27" s="614"/>
      <c r="BO27" s="614"/>
      <c r="BP27" s="614"/>
      <c r="BR27" s="616" t="s">
        <v>847</v>
      </c>
      <c r="BS27" s="614">
        <f t="shared" ref="BS27:BX31" si="17">C27-R27-AG27-AV27</f>
        <v>0</v>
      </c>
      <c r="BT27" s="614">
        <f t="shared" si="17"/>
        <v>0</v>
      </c>
      <c r="BU27" s="614">
        <f t="shared" si="17"/>
        <v>0</v>
      </c>
      <c r="BV27" s="614">
        <f t="shared" si="17"/>
        <v>0</v>
      </c>
      <c r="BW27" s="614">
        <f t="shared" si="17"/>
        <v>0</v>
      </c>
      <c r="BX27" s="614">
        <f t="shared" si="17"/>
        <v>0</v>
      </c>
    </row>
    <row r="28" spans="2:76" x14ac:dyDescent="0.25">
      <c r="B28" s="617" t="s">
        <v>848</v>
      </c>
      <c r="C28" s="614">
        <f t="shared" si="16"/>
        <v>0</v>
      </c>
      <c r="D28" s="614">
        <f t="shared" si="16"/>
        <v>0</v>
      </c>
      <c r="E28" s="614">
        <f t="shared" si="16"/>
        <v>0</v>
      </c>
      <c r="F28" s="614">
        <f t="shared" si="16"/>
        <v>0</v>
      </c>
      <c r="G28" s="614">
        <f t="shared" si="16"/>
        <v>0</v>
      </c>
      <c r="H28" s="614">
        <f t="shared" si="16"/>
        <v>0</v>
      </c>
      <c r="J28" s="617" t="s">
        <v>848</v>
      </c>
      <c r="K28" s="614">
        <f>Ielas!T395</f>
        <v>0</v>
      </c>
      <c r="L28" s="614">
        <f>Ielas!U395</f>
        <v>0</v>
      </c>
      <c r="M28" s="614">
        <f>Ielas!V395</f>
        <v>0</v>
      </c>
      <c r="N28" s="614">
        <f>Ielas!W395</f>
        <v>0</v>
      </c>
      <c r="O28" s="614">
        <f>Ielas!X395</f>
        <v>0</v>
      </c>
      <c r="P28" s="614">
        <f>Ielas!Y395</f>
        <v>0</v>
      </c>
      <c r="Q28" s="617" t="s">
        <v>848</v>
      </c>
      <c r="R28" s="614">
        <f>Ielas!AA395</f>
        <v>0</v>
      </c>
      <c r="S28" s="614">
        <f>Ielas!AB395</f>
        <v>0</v>
      </c>
      <c r="T28" s="614">
        <f>Ielas!AC395</f>
        <v>0</v>
      </c>
      <c r="U28" s="614">
        <f>Ielas!AD395</f>
        <v>0</v>
      </c>
      <c r="V28" s="614">
        <f>Ielas!AE395</f>
        <v>0</v>
      </c>
      <c r="W28" s="614">
        <f>Ielas!AF395</f>
        <v>0</v>
      </c>
      <c r="Y28" s="617" t="s">
        <v>848</v>
      </c>
      <c r="Z28" s="614"/>
      <c r="AA28" s="614"/>
      <c r="AB28" s="614"/>
      <c r="AC28" s="614"/>
      <c r="AD28" s="614"/>
      <c r="AE28" s="614"/>
      <c r="AF28" s="617" t="s">
        <v>848</v>
      </c>
      <c r="AG28" s="614"/>
      <c r="AH28" s="614"/>
      <c r="AI28" s="614"/>
      <c r="AJ28" s="614"/>
      <c r="AK28" s="614"/>
      <c r="AL28" s="614"/>
      <c r="AN28" s="617" t="s">
        <v>848</v>
      </c>
      <c r="AO28" s="614"/>
      <c r="AP28" s="614"/>
      <c r="AQ28" s="614"/>
      <c r="AR28" s="614"/>
      <c r="AS28" s="614"/>
      <c r="AT28" s="614"/>
      <c r="AU28" s="617" t="s">
        <v>848</v>
      </c>
      <c r="AV28" s="614"/>
      <c r="AW28" s="614"/>
      <c r="AX28" s="614"/>
      <c r="AY28" s="614"/>
      <c r="AZ28" s="614"/>
      <c r="BA28" s="614"/>
      <c r="BC28" s="617" t="s">
        <v>848</v>
      </c>
      <c r="BD28" s="614"/>
      <c r="BE28" s="614"/>
      <c r="BF28" s="614"/>
      <c r="BG28" s="614"/>
      <c r="BH28" s="614"/>
      <c r="BI28" s="614"/>
      <c r="BJ28" s="617" t="s">
        <v>848</v>
      </c>
      <c r="BK28" s="614"/>
      <c r="BL28" s="614"/>
      <c r="BM28" s="614"/>
      <c r="BN28" s="614"/>
      <c r="BO28" s="614"/>
      <c r="BP28" s="614"/>
      <c r="BR28" s="617" t="s">
        <v>848</v>
      </c>
      <c r="BS28" s="614">
        <f t="shared" si="17"/>
        <v>0</v>
      </c>
      <c r="BT28" s="614">
        <f t="shared" si="17"/>
        <v>0</v>
      </c>
      <c r="BU28" s="614">
        <f t="shared" si="17"/>
        <v>0</v>
      </c>
      <c r="BV28" s="614">
        <f t="shared" si="17"/>
        <v>0</v>
      </c>
      <c r="BW28" s="614">
        <f t="shared" si="17"/>
        <v>0</v>
      </c>
      <c r="BX28" s="614">
        <f t="shared" si="17"/>
        <v>0</v>
      </c>
    </row>
    <row r="29" spans="2:76" x14ac:dyDescent="0.25">
      <c r="B29" s="615" t="s">
        <v>845</v>
      </c>
      <c r="C29" s="614">
        <f t="shared" si="16"/>
        <v>0</v>
      </c>
      <c r="D29" s="614">
        <f t="shared" si="16"/>
        <v>0</v>
      </c>
      <c r="E29" s="614">
        <f t="shared" si="16"/>
        <v>0</v>
      </c>
      <c r="F29" s="614">
        <f t="shared" si="16"/>
        <v>0.17</v>
      </c>
      <c r="G29" s="614">
        <f t="shared" si="16"/>
        <v>0</v>
      </c>
      <c r="H29" s="614">
        <f t="shared" si="16"/>
        <v>0.17</v>
      </c>
      <c r="J29" s="615" t="s">
        <v>845</v>
      </c>
      <c r="K29" s="614">
        <f>Ielas!T396</f>
        <v>0</v>
      </c>
      <c r="L29" s="614">
        <f>Ielas!U396</f>
        <v>0</v>
      </c>
      <c r="M29" s="614">
        <f>Ielas!V396</f>
        <v>0</v>
      </c>
      <c r="N29" s="614">
        <f>Ielas!W396</f>
        <v>0.17</v>
      </c>
      <c r="O29" s="614">
        <f>Ielas!X396</f>
        <v>0</v>
      </c>
      <c r="P29" s="614">
        <f>Ielas!Y396</f>
        <v>0.17</v>
      </c>
      <c r="Q29" s="615" t="s">
        <v>845</v>
      </c>
      <c r="R29" s="614">
        <f>Ielas!AA396</f>
        <v>0</v>
      </c>
      <c r="S29" s="614">
        <f>Ielas!AB396</f>
        <v>0</v>
      </c>
      <c r="T29" s="614">
        <f>Ielas!AC396</f>
        <v>0</v>
      </c>
      <c r="U29" s="614">
        <f>Ielas!AD396</f>
        <v>0</v>
      </c>
      <c r="V29" s="614">
        <f>Ielas!AE396</f>
        <v>0</v>
      </c>
      <c r="W29" s="614">
        <f>Ielas!AF396</f>
        <v>0</v>
      </c>
      <c r="Y29" s="615" t="s">
        <v>845</v>
      </c>
      <c r="Z29" s="614"/>
      <c r="AA29" s="614"/>
      <c r="AB29" s="614"/>
      <c r="AC29" s="614"/>
      <c r="AD29" s="614"/>
      <c r="AE29" s="614"/>
      <c r="AF29" s="615" t="s">
        <v>845</v>
      </c>
      <c r="AG29" s="614"/>
      <c r="AH29" s="614"/>
      <c r="AI29" s="614"/>
      <c r="AJ29" s="614"/>
      <c r="AK29" s="614"/>
      <c r="AL29" s="614"/>
      <c r="AN29" s="615" t="s">
        <v>845</v>
      </c>
      <c r="AO29" s="614"/>
      <c r="AP29" s="614"/>
      <c r="AQ29" s="614"/>
      <c r="AR29" s="614"/>
      <c r="AS29" s="614"/>
      <c r="AT29" s="614"/>
      <c r="AU29" s="615" t="s">
        <v>845</v>
      </c>
      <c r="AV29" s="614"/>
      <c r="AW29" s="614"/>
      <c r="AX29" s="614"/>
      <c r="AY29" s="614"/>
      <c r="AZ29" s="614"/>
      <c r="BA29" s="614"/>
      <c r="BC29" s="615" t="s">
        <v>845</v>
      </c>
      <c r="BD29" s="614"/>
      <c r="BE29" s="614"/>
      <c r="BF29" s="614"/>
      <c r="BG29" s="614"/>
      <c r="BH29" s="614"/>
      <c r="BI29" s="614"/>
      <c r="BJ29" s="615" t="s">
        <v>845</v>
      </c>
      <c r="BK29" s="614"/>
      <c r="BL29" s="614"/>
      <c r="BM29" s="614"/>
      <c r="BN29" s="614"/>
      <c r="BO29" s="614"/>
      <c r="BP29" s="614"/>
      <c r="BR29" s="615" t="s">
        <v>845</v>
      </c>
      <c r="BS29" s="614">
        <f t="shared" si="17"/>
        <v>0</v>
      </c>
      <c r="BT29" s="614">
        <f t="shared" si="17"/>
        <v>0</v>
      </c>
      <c r="BU29" s="614">
        <f t="shared" si="17"/>
        <v>0</v>
      </c>
      <c r="BV29" s="614">
        <f t="shared" si="17"/>
        <v>0.17</v>
      </c>
      <c r="BW29" s="614">
        <f t="shared" si="17"/>
        <v>0</v>
      </c>
      <c r="BX29" s="614">
        <f t="shared" si="17"/>
        <v>0.17</v>
      </c>
    </row>
    <row r="30" spans="2:76" x14ac:dyDescent="0.25">
      <c r="B30" s="616" t="s">
        <v>846</v>
      </c>
      <c r="C30" s="614">
        <f t="shared" si="16"/>
        <v>0</v>
      </c>
      <c r="D30" s="614">
        <f t="shared" si="16"/>
        <v>0</v>
      </c>
      <c r="E30" s="614">
        <f t="shared" si="16"/>
        <v>0</v>
      </c>
      <c r="F30" s="614">
        <f t="shared" si="16"/>
        <v>1.7520000000000002</v>
      </c>
      <c r="G30" s="614">
        <f t="shared" si="16"/>
        <v>0</v>
      </c>
      <c r="H30" s="614">
        <f t="shared" si="16"/>
        <v>1.7520000000000002</v>
      </c>
      <c r="J30" s="616" t="s">
        <v>846</v>
      </c>
      <c r="K30" s="614">
        <f>Ielas!T397</f>
        <v>0</v>
      </c>
      <c r="L30" s="614">
        <f>Ielas!U397</f>
        <v>0</v>
      </c>
      <c r="M30" s="614">
        <f>Ielas!V397</f>
        <v>0</v>
      </c>
      <c r="N30" s="614">
        <f>Ielas!W397</f>
        <v>1.7520000000000002</v>
      </c>
      <c r="O30" s="614">
        <f>Ielas!X397</f>
        <v>0</v>
      </c>
      <c r="P30" s="614">
        <f>Ielas!Y397</f>
        <v>1.7520000000000002</v>
      </c>
      <c r="Q30" s="616" t="s">
        <v>846</v>
      </c>
      <c r="R30" s="614">
        <f>Ielas!AA397</f>
        <v>0</v>
      </c>
      <c r="S30" s="614">
        <f>Ielas!AB397</f>
        <v>0</v>
      </c>
      <c r="T30" s="614">
        <f>Ielas!AC397</f>
        <v>0</v>
      </c>
      <c r="U30" s="614">
        <f>Ielas!AD397</f>
        <v>0</v>
      </c>
      <c r="V30" s="614">
        <f>Ielas!AE397</f>
        <v>0</v>
      </c>
      <c r="W30" s="614">
        <f>Ielas!AF397</f>
        <v>0</v>
      </c>
      <c r="Y30" s="616" t="s">
        <v>846</v>
      </c>
      <c r="Z30" s="614"/>
      <c r="AA30" s="614"/>
      <c r="AB30" s="614"/>
      <c r="AC30" s="614"/>
      <c r="AD30" s="614"/>
      <c r="AE30" s="614"/>
      <c r="AF30" s="616" t="s">
        <v>846</v>
      </c>
      <c r="AG30" s="614"/>
      <c r="AH30" s="614"/>
      <c r="AI30" s="614"/>
      <c r="AJ30" s="614"/>
      <c r="AK30" s="614"/>
      <c r="AL30" s="614"/>
      <c r="AN30" s="616" t="s">
        <v>846</v>
      </c>
      <c r="AO30" s="614"/>
      <c r="AP30" s="614"/>
      <c r="AQ30" s="614"/>
      <c r="AR30" s="614"/>
      <c r="AS30" s="614"/>
      <c r="AT30" s="614"/>
      <c r="AU30" s="616" t="s">
        <v>846</v>
      </c>
      <c r="AV30" s="614"/>
      <c r="AW30" s="614"/>
      <c r="AX30" s="614"/>
      <c r="AY30" s="614"/>
      <c r="AZ30" s="614"/>
      <c r="BA30" s="614"/>
      <c r="BC30" s="616" t="s">
        <v>846</v>
      </c>
      <c r="BD30" s="614"/>
      <c r="BE30" s="614"/>
      <c r="BF30" s="614"/>
      <c r="BG30" s="614"/>
      <c r="BH30" s="614"/>
      <c r="BI30" s="614"/>
      <c r="BJ30" s="616" t="s">
        <v>846</v>
      </c>
      <c r="BK30" s="614"/>
      <c r="BL30" s="614"/>
      <c r="BM30" s="614"/>
      <c r="BN30" s="614"/>
      <c r="BO30" s="614"/>
      <c r="BP30" s="614"/>
      <c r="BR30" s="616" t="s">
        <v>846</v>
      </c>
      <c r="BS30" s="614">
        <f t="shared" si="17"/>
        <v>0</v>
      </c>
      <c r="BT30" s="614">
        <f t="shared" si="17"/>
        <v>0</v>
      </c>
      <c r="BU30" s="614">
        <f t="shared" si="17"/>
        <v>0</v>
      </c>
      <c r="BV30" s="614">
        <f t="shared" si="17"/>
        <v>1.7520000000000002</v>
      </c>
      <c r="BW30" s="614">
        <f t="shared" si="17"/>
        <v>0</v>
      </c>
      <c r="BX30" s="614">
        <f t="shared" si="17"/>
        <v>1.7520000000000002</v>
      </c>
    </row>
    <row r="31" spans="2:76" x14ac:dyDescent="0.25">
      <c r="C31" s="614">
        <f t="shared" si="16"/>
        <v>0</v>
      </c>
      <c r="D31" s="614">
        <f t="shared" si="16"/>
        <v>0</v>
      </c>
      <c r="E31" s="614">
        <f t="shared" si="16"/>
        <v>0</v>
      </c>
      <c r="F31" s="614">
        <f t="shared" si="16"/>
        <v>1.9220000000000002</v>
      </c>
      <c r="G31" s="614">
        <f t="shared" si="16"/>
        <v>0</v>
      </c>
      <c r="H31" s="614">
        <f t="shared" si="16"/>
        <v>1.9220000000000002</v>
      </c>
      <c r="K31" s="614">
        <f>Ielas!T398</f>
        <v>0</v>
      </c>
      <c r="L31" s="614">
        <f>Ielas!U398</f>
        <v>0</v>
      </c>
      <c r="M31" s="614">
        <f>Ielas!V398</f>
        <v>0</v>
      </c>
      <c r="N31" s="614">
        <f>Ielas!W398</f>
        <v>1.9220000000000002</v>
      </c>
      <c r="O31" s="614">
        <f>Ielas!X398</f>
        <v>0</v>
      </c>
      <c r="P31" s="614">
        <f>Ielas!Y398</f>
        <v>1.9220000000000002</v>
      </c>
      <c r="R31" s="614">
        <f>Ielas!AA398</f>
        <v>0</v>
      </c>
      <c r="S31" s="614">
        <f>Ielas!AB398</f>
        <v>0</v>
      </c>
      <c r="T31" s="614">
        <f>Ielas!AC398</f>
        <v>0</v>
      </c>
      <c r="U31" s="614">
        <f>Ielas!AD398</f>
        <v>0</v>
      </c>
      <c r="V31" s="614">
        <f>Ielas!AE398</f>
        <v>0</v>
      </c>
      <c r="W31" s="614">
        <f>Ielas!AF398</f>
        <v>0</v>
      </c>
      <c r="Z31" s="614"/>
      <c r="AA31" s="614"/>
      <c r="AB31" s="614"/>
      <c r="AC31" s="614"/>
      <c r="AD31" s="614"/>
      <c r="AE31" s="614"/>
      <c r="AG31" s="614"/>
      <c r="AH31" s="614"/>
      <c r="AI31" s="614"/>
      <c r="AJ31" s="614"/>
      <c r="AK31" s="614"/>
      <c r="AL31" s="614"/>
      <c r="AO31" s="614"/>
      <c r="AP31" s="614"/>
      <c r="AQ31" s="614"/>
      <c r="AR31" s="614"/>
      <c r="AS31" s="614"/>
      <c r="AT31" s="614"/>
      <c r="AV31" s="614"/>
      <c r="AW31" s="614"/>
      <c r="AX31" s="614"/>
      <c r="AY31" s="614"/>
      <c r="AZ31" s="614"/>
      <c r="BA31" s="614"/>
      <c r="BD31" s="614"/>
      <c r="BE31" s="614"/>
      <c r="BF31" s="614"/>
      <c r="BG31" s="614"/>
      <c r="BH31" s="614"/>
      <c r="BI31" s="614"/>
      <c r="BK31" s="614"/>
      <c r="BL31" s="614"/>
      <c r="BM31" s="614"/>
      <c r="BN31" s="614"/>
      <c r="BO31" s="614"/>
      <c r="BP31" s="614"/>
      <c r="BS31" s="614">
        <f t="shared" si="17"/>
        <v>0</v>
      </c>
      <c r="BT31" s="614">
        <f t="shared" si="17"/>
        <v>0</v>
      </c>
      <c r="BU31" s="614">
        <f t="shared" si="17"/>
        <v>0</v>
      </c>
      <c r="BV31" s="614">
        <f t="shared" si="17"/>
        <v>1.9220000000000002</v>
      </c>
      <c r="BW31" s="614">
        <f t="shared" si="17"/>
        <v>0</v>
      </c>
      <c r="BX31" s="614">
        <f t="shared" si="17"/>
        <v>1.9220000000000002</v>
      </c>
    </row>
    <row r="32" spans="2:76" x14ac:dyDescent="0.25">
      <c r="C32" s="667"/>
      <c r="D32" s="667"/>
      <c r="E32" s="667"/>
      <c r="F32" s="667"/>
      <c r="G32" s="667"/>
      <c r="H32" s="667"/>
      <c r="BS32" s="667"/>
      <c r="BT32" s="667"/>
      <c r="BU32" s="667"/>
      <c r="BV32" s="667"/>
      <c r="BW32" s="667"/>
      <c r="BX32" s="667"/>
    </row>
    <row r="33" spans="2:76" x14ac:dyDescent="0.25">
      <c r="B33" t="s">
        <v>1152</v>
      </c>
      <c r="C33" s="667"/>
      <c r="D33" s="667"/>
      <c r="E33" s="667"/>
      <c r="F33" s="667"/>
      <c r="G33" s="667"/>
      <c r="H33" s="667"/>
      <c r="K33" t="s">
        <v>1153</v>
      </c>
      <c r="R33" t="s">
        <v>1141</v>
      </c>
      <c r="AG33" t="s">
        <v>1141</v>
      </c>
      <c r="AV33" t="s">
        <v>1141</v>
      </c>
      <c r="BK33" t="s">
        <v>1141</v>
      </c>
      <c r="BR33" t="s">
        <v>1154</v>
      </c>
      <c r="BS33" s="667"/>
      <c r="BT33" s="667"/>
      <c r="BU33" s="667"/>
      <c r="BV33" s="667"/>
      <c r="BW33" s="667"/>
      <c r="BX33" s="667"/>
    </row>
    <row r="34" spans="2:76" ht="23.25" x14ac:dyDescent="0.25">
      <c r="B34" s="102"/>
      <c r="C34" s="669" t="s">
        <v>1092</v>
      </c>
      <c r="D34" s="669" t="s">
        <v>1093</v>
      </c>
      <c r="E34" s="669" t="s">
        <v>1094</v>
      </c>
      <c r="F34" s="669" t="s">
        <v>1095</v>
      </c>
      <c r="G34" s="669" t="s">
        <v>1096</v>
      </c>
      <c r="H34" s="141" t="s">
        <v>269</v>
      </c>
      <c r="J34" s="102"/>
      <c r="K34" s="625" t="s">
        <v>1092</v>
      </c>
      <c r="L34" s="625" t="s">
        <v>1093</v>
      </c>
      <c r="M34" s="625" t="s">
        <v>1094</v>
      </c>
      <c r="N34" s="625" t="s">
        <v>1095</v>
      </c>
      <c r="O34" s="625" t="s">
        <v>1096</v>
      </c>
      <c r="P34" s="627" t="s">
        <v>269</v>
      </c>
      <c r="Q34" s="102"/>
      <c r="R34" s="625" t="s">
        <v>1092</v>
      </c>
      <c r="S34" s="625" t="s">
        <v>1093</v>
      </c>
      <c r="T34" s="625" t="s">
        <v>1094</v>
      </c>
      <c r="U34" s="625" t="s">
        <v>1095</v>
      </c>
      <c r="V34" s="625" t="s">
        <v>1096</v>
      </c>
      <c r="W34" s="627" t="s">
        <v>269</v>
      </c>
      <c r="Y34" s="102"/>
      <c r="Z34" s="625" t="s">
        <v>1092</v>
      </c>
      <c r="AA34" s="625" t="s">
        <v>1093</v>
      </c>
      <c r="AB34" s="625" t="s">
        <v>1094</v>
      </c>
      <c r="AC34" s="625" t="s">
        <v>1095</v>
      </c>
      <c r="AD34" s="625" t="s">
        <v>1096</v>
      </c>
      <c r="AE34" s="627" t="s">
        <v>269</v>
      </c>
      <c r="AF34" s="102"/>
      <c r="AG34" s="625" t="s">
        <v>1092</v>
      </c>
      <c r="AH34" s="625" t="s">
        <v>1093</v>
      </c>
      <c r="AI34" s="625" t="s">
        <v>1094</v>
      </c>
      <c r="AJ34" s="625" t="s">
        <v>1095</v>
      </c>
      <c r="AK34" s="625" t="s">
        <v>1096</v>
      </c>
      <c r="AL34" s="627" t="s">
        <v>269</v>
      </c>
      <c r="AN34" s="102"/>
      <c r="AO34" s="625" t="s">
        <v>1092</v>
      </c>
      <c r="AP34" s="625" t="s">
        <v>1093</v>
      </c>
      <c r="AQ34" s="625" t="s">
        <v>1094</v>
      </c>
      <c r="AR34" s="625" t="s">
        <v>1095</v>
      </c>
      <c r="AS34" s="625" t="s">
        <v>1096</v>
      </c>
      <c r="AT34" s="627" t="s">
        <v>269</v>
      </c>
      <c r="AU34" s="102"/>
      <c r="AV34" s="625" t="s">
        <v>1092</v>
      </c>
      <c r="AW34" s="625" t="s">
        <v>1093</v>
      </c>
      <c r="AX34" s="625" t="s">
        <v>1094</v>
      </c>
      <c r="AY34" s="625" t="s">
        <v>1095</v>
      </c>
      <c r="AZ34" s="625" t="s">
        <v>1096</v>
      </c>
      <c r="BA34" s="627" t="s">
        <v>269</v>
      </c>
      <c r="BC34" s="102"/>
      <c r="BD34" s="625" t="s">
        <v>1092</v>
      </c>
      <c r="BE34" s="625" t="s">
        <v>1093</v>
      </c>
      <c r="BF34" s="625" t="s">
        <v>1094</v>
      </c>
      <c r="BG34" s="625" t="s">
        <v>1095</v>
      </c>
      <c r="BH34" s="625" t="s">
        <v>1096</v>
      </c>
      <c r="BI34" s="627" t="s">
        <v>269</v>
      </c>
      <c r="BJ34" s="102"/>
      <c r="BK34" s="625" t="s">
        <v>1092</v>
      </c>
      <c r="BL34" s="625" t="s">
        <v>1093</v>
      </c>
      <c r="BM34" s="625" t="s">
        <v>1094</v>
      </c>
      <c r="BN34" s="625" t="s">
        <v>1095</v>
      </c>
      <c r="BO34" s="625" t="s">
        <v>1096</v>
      </c>
      <c r="BP34" s="627" t="s">
        <v>269</v>
      </c>
      <c r="BR34" s="102"/>
      <c r="BS34" s="669" t="s">
        <v>1092</v>
      </c>
      <c r="BT34" s="669" t="s">
        <v>1093</v>
      </c>
      <c r="BU34" s="669" t="s">
        <v>1094</v>
      </c>
      <c r="BV34" s="669" t="s">
        <v>1095</v>
      </c>
      <c r="BW34" s="669" t="s">
        <v>1096</v>
      </c>
      <c r="BX34" s="141" t="s">
        <v>269</v>
      </c>
    </row>
    <row r="35" spans="2:76" x14ac:dyDescent="0.25">
      <c r="B35" s="628" t="s">
        <v>844</v>
      </c>
      <c r="C35" s="669" t="s">
        <v>231</v>
      </c>
      <c r="D35" s="669" t="s">
        <v>231</v>
      </c>
      <c r="E35" s="669" t="s">
        <v>231</v>
      </c>
      <c r="F35" s="669" t="s">
        <v>231</v>
      </c>
      <c r="G35" s="669" t="s">
        <v>231</v>
      </c>
      <c r="H35" s="670" t="s">
        <v>231</v>
      </c>
      <c r="J35" s="628" t="s">
        <v>844</v>
      </c>
      <c r="K35" s="625" t="s">
        <v>231</v>
      </c>
      <c r="L35" s="625" t="s">
        <v>231</v>
      </c>
      <c r="M35" s="625" t="s">
        <v>231</v>
      </c>
      <c r="N35" s="625" t="s">
        <v>231</v>
      </c>
      <c r="O35" s="625" t="s">
        <v>231</v>
      </c>
      <c r="P35" s="626" t="s">
        <v>231</v>
      </c>
      <c r="Q35" s="628"/>
      <c r="R35" s="625" t="s">
        <v>231</v>
      </c>
      <c r="S35" s="625" t="s">
        <v>231</v>
      </c>
      <c r="T35" s="625" t="s">
        <v>231</v>
      </c>
      <c r="U35" s="625" t="s">
        <v>231</v>
      </c>
      <c r="V35" s="625" t="s">
        <v>231</v>
      </c>
      <c r="W35" s="626" t="s">
        <v>231</v>
      </c>
      <c r="Y35" s="628" t="s">
        <v>844</v>
      </c>
      <c r="Z35" s="625" t="s">
        <v>231</v>
      </c>
      <c r="AA35" s="625" t="s">
        <v>231</v>
      </c>
      <c r="AB35" s="625" t="s">
        <v>231</v>
      </c>
      <c r="AC35" s="625" t="s">
        <v>231</v>
      </c>
      <c r="AD35" s="625" t="s">
        <v>231</v>
      </c>
      <c r="AE35" s="626" t="s">
        <v>231</v>
      </c>
      <c r="AF35" s="628"/>
      <c r="AG35" s="625" t="s">
        <v>231</v>
      </c>
      <c r="AH35" s="625" t="s">
        <v>231</v>
      </c>
      <c r="AI35" s="625" t="s">
        <v>231</v>
      </c>
      <c r="AJ35" s="625" t="s">
        <v>231</v>
      </c>
      <c r="AK35" s="625" t="s">
        <v>231</v>
      </c>
      <c r="AL35" s="626" t="s">
        <v>231</v>
      </c>
      <c r="AN35" s="628" t="s">
        <v>844</v>
      </c>
      <c r="AO35" s="625" t="s">
        <v>231</v>
      </c>
      <c r="AP35" s="625" t="s">
        <v>231</v>
      </c>
      <c r="AQ35" s="625" t="s">
        <v>231</v>
      </c>
      <c r="AR35" s="625" t="s">
        <v>231</v>
      </c>
      <c r="AS35" s="625" t="s">
        <v>231</v>
      </c>
      <c r="AT35" s="626" t="s">
        <v>231</v>
      </c>
      <c r="AU35" s="628"/>
      <c r="AV35" s="625" t="s">
        <v>231</v>
      </c>
      <c r="AW35" s="625" t="s">
        <v>231</v>
      </c>
      <c r="AX35" s="625" t="s">
        <v>231</v>
      </c>
      <c r="AY35" s="625" t="s">
        <v>231</v>
      </c>
      <c r="AZ35" s="625" t="s">
        <v>231</v>
      </c>
      <c r="BA35" s="626" t="s">
        <v>231</v>
      </c>
      <c r="BC35" s="628" t="s">
        <v>844</v>
      </c>
      <c r="BD35" s="625" t="s">
        <v>231</v>
      </c>
      <c r="BE35" s="625" t="s">
        <v>231</v>
      </c>
      <c r="BF35" s="625" t="s">
        <v>231</v>
      </c>
      <c r="BG35" s="625" t="s">
        <v>231</v>
      </c>
      <c r="BH35" s="625" t="s">
        <v>231</v>
      </c>
      <c r="BI35" s="626" t="s">
        <v>231</v>
      </c>
      <c r="BJ35" s="628"/>
      <c r="BK35" s="625" t="s">
        <v>231</v>
      </c>
      <c r="BL35" s="625" t="s">
        <v>231</v>
      </c>
      <c r="BM35" s="625" t="s">
        <v>231</v>
      </c>
      <c r="BN35" s="625" t="s">
        <v>231</v>
      </c>
      <c r="BO35" s="625" t="s">
        <v>231</v>
      </c>
      <c r="BP35" s="626" t="s">
        <v>231</v>
      </c>
      <c r="BR35" s="628" t="s">
        <v>844</v>
      </c>
      <c r="BS35" s="669" t="s">
        <v>231</v>
      </c>
      <c r="BT35" s="669" t="s">
        <v>231</v>
      </c>
      <c r="BU35" s="669" t="s">
        <v>231</v>
      </c>
      <c r="BV35" s="669" t="s">
        <v>231</v>
      </c>
      <c r="BW35" s="669" t="s">
        <v>231</v>
      </c>
      <c r="BX35" s="670" t="s">
        <v>231</v>
      </c>
    </row>
    <row r="36" spans="2:76" x14ac:dyDescent="0.25">
      <c r="B36" s="616" t="s">
        <v>847</v>
      </c>
      <c r="C36" s="614">
        <f t="shared" ref="C36:H40" si="18">K36+Z36+AO36</f>
        <v>0</v>
      </c>
      <c r="D36" s="614">
        <f t="shared" si="18"/>
        <v>0</v>
      </c>
      <c r="E36" s="614">
        <f t="shared" si="18"/>
        <v>0</v>
      </c>
      <c r="F36" s="614">
        <f t="shared" si="18"/>
        <v>0</v>
      </c>
      <c r="G36" s="614">
        <f t="shared" si="18"/>
        <v>0</v>
      </c>
      <c r="H36" s="614">
        <f t="shared" si="18"/>
        <v>0</v>
      </c>
      <c r="J36" s="616" t="s">
        <v>847</v>
      </c>
      <c r="K36" s="614">
        <f>Ielas!T408</f>
        <v>0</v>
      </c>
      <c r="L36" s="614">
        <f>Ielas!U408</f>
        <v>0</v>
      </c>
      <c r="M36" s="614">
        <f>Ielas!V408</f>
        <v>0</v>
      </c>
      <c r="N36" s="614">
        <f>Ielas!W408</f>
        <v>0</v>
      </c>
      <c r="O36" s="614">
        <f>Ielas!X408</f>
        <v>0</v>
      </c>
      <c r="P36" s="614">
        <f>Ielas!Y408</f>
        <v>0</v>
      </c>
      <c r="Q36" s="616" t="s">
        <v>847</v>
      </c>
      <c r="R36" s="614">
        <f>Ielas!AA408</f>
        <v>0</v>
      </c>
      <c r="S36" s="614">
        <f>Ielas!AB408</f>
        <v>0</v>
      </c>
      <c r="T36" s="614">
        <f>Ielas!AC408</f>
        <v>0</v>
      </c>
      <c r="U36" s="614">
        <f>Ielas!AD408</f>
        <v>0</v>
      </c>
      <c r="V36" s="614">
        <f>Ielas!AE408</f>
        <v>0</v>
      </c>
      <c r="W36" s="614">
        <f>Ielas!AF408</f>
        <v>0</v>
      </c>
      <c r="Y36" s="616" t="s">
        <v>847</v>
      </c>
      <c r="Z36" s="614"/>
      <c r="AA36" s="614"/>
      <c r="AB36" s="614"/>
      <c r="AC36" s="614"/>
      <c r="AD36" s="614"/>
      <c r="AE36" s="614"/>
      <c r="AF36" s="616" t="s">
        <v>847</v>
      </c>
      <c r="AG36" s="614"/>
      <c r="AH36" s="614"/>
      <c r="AI36" s="614"/>
      <c r="AJ36" s="614"/>
      <c r="AK36" s="614"/>
      <c r="AL36" s="614"/>
      <c r="AN36" s="616" t="s">
        <v>847</v>
      </c>
      <c r="AO36" s="614"/>
      <c r="AP36" s="614"/>
      <c r="AQ36" s="614"/>
      <c r="AR36" s="614"/>
      <c r="AS36" s="614"/>
      <c r="AT36" s="614"/>
      <c r="AU36" s="616" t="s">
        <v>847</v>
      </c>
      <c r="AV36" s="614"/>
      <c r="AW36" s="614"/>
      <c r="AX36" s="614"/>
      <c r="AY36" s="614"/>
      <c r="AZ36" s="614"/>
      <c r="BA36" s="614"/>
      <c r="BC36" s="616" t="s">
        <v>847</v>
      </c>
      <c r="BD36" s="614"/>
      <c r="BE36" s="614"/>
      <c r="BF36" s="614"/>
      <c r="BG36" s="614"/>
      <c r="BH36" s="614"/>
      <c r="BI36" s="614"/>
      <c r="BJ36" s="616" t="s">
        <v>847</v>
      </c>
      <c r="BK36" s="614"/>
      <c r="BL36" s="614"/>
      <c r="BM36" s="614"/>
      <c r="BN36" s="614"/>
      <c r="BO36" s="614"/>
      <c r="BP36" s="614"/>
      <c r="BR36" s="616" t="s">
        <v>847</v>
      </c>
      <c r="BS36" s="614">
        <f t="shared" ref="BS36:BX40" si="19">C36-R36-AG36-AV36</f>
        <v>0</v>
      </c>
      <c r="BT36" s="614">
        <f t="shared" si="19"/>
        <v>0</v>
      </c>
      <c r="BU36" s="614">
        <f t="shared" si="19"/>
        <v>0</v>
      </c>
      <c r="BV36" s="614">
        <f t="shared" si="19"/>
        <v>0</v>
      </c>
      <c r="BW36" s="614">
        <f t="shared" si="19"/>
        <v>0</v>
      </c>
      <c r="BX36" s="614">
        <f t="shared" si="19"/>
        <v>0</v>
      </c>
    </row>
    <row r="37" spans="2:76" x14ac:dyDescent="0.25">
      <c r="B37" s="617" t="s">
        <v>848</v>
      </c>
      <c r="C37" s="614">
        <f t="shared" si="18"/>
        <v>0</v>
      </c>
      <c r="D37" s="614">
        <f t="shared" si="18"/>
        <v>0</v>
      </c>
      <c r="E37" s="614">
        <f t="shared" si="18"/>
        <v>0</v>
      </c>
      <c r="F37" s="614">
        <f t="shared" si="18"/>
        <v>0</v>
      </c>
      <c r="G37" s="614">
        <f t="shared" si="18"/>
        <v>0</v>
      </c>
      <c r="H37" s="614">
        <f t="shared" si="18"/>
        <v>0</v>
      </c>
      <c r="J37" s="617" t="s">
        <v>848</v>
      </c>
      <c r="K37" s="614">
        <f>Ielas!T409</f>
        <v>0</v>
      </c>
      <c r="L37" s="614">
        <f>Ielas!U409</f>
        <v>0</v>
      </c>
      <c r="M37" s="614">
        <f>Ielas!V409</f>
        <v>0</v>
      </c>
      <c r="N37" s="614">
        <f>Ielas!W409</f>
        <v>0</v>
      </c>
      <c r="O37" s="614">
        <f>Ielas!X409</f>
        <v>0</v>
      </c>
      <c r="P37" s="614">
        <f>Ielas!Y409</f>
        <v>0</v>
      </c>
      <c r="Q37" s="617" t="s">
        <v>848</v>
      </c>
      <c r="R37" s="614">
        <f>Ielas!AA409</f>
        <v>0</v>
      </c>
      <c r="S37" s="614">
        <f>Ielas!AB409</f>
        <v>0</v>
      </c>
      <c r="T37" s="614">
        <f>Ielas!AC409</f>
        <v>0</v>
      </c>
      <c r="U37" s="614">
        <f>Ielas!AD409</f>
        <v>0</v>
      </c>
      <c r="V37" s="614">
        <f>Ielas!AE409</f>
        <v>0</v>
      </c>
      <c r="W37" s="614">
        <f>Ielas!AF409</f>
        <v>0</v>
      </c>
      <c r="Y37" s="617" t="s">
        <v>848</v>
      </c>
      <c r="Z37" s="614"/>
      <c r="AA37" s="614"/>
      <c r="AB37" s="614"/>
      <c r="AC37" s="614"/>
      <c r="AD37" s="614"/>
      <c r="AE37" s="614"/>
      <c r="AF37" s="617" t="s">
        <v>848</v>
      </c>
      <c r="AG37" s="614"/>
      <c r="AH37" s="614"/>
      <c r="AI37" s="614"/>
      <c r="AJ37" s="614"/>
      <c r="AK37" s="614"/>
      <c r="AL37" s="614"/>
      <c r="AN37" s="617" t="s">
        <v>848</v>
      </c>
      <c r="AO37" s="614"/>
      <c r="AP37" s="614"/>
      <c r="AQ37" s="614"/>
      <c r="AR37" s="614"/>
      <c r="AS37" s="614"/>
      <c r="AT37" s="614"/>
      <c r="AU37" s="617" t="s">
        <v>848</v>
      </c>
      <c r="AV37" s="614"/>
      <c r="AW37" s="614"/>
      <c r="AX37" s="614"/>
      <c r="AY37" s="614"/>
      <c r="AZ37" s="614"/>
      <c r="BA37" s="614"/>
      <c r="BC37" s="617" t="s">
        <v>848</v>
      </c>
      <c r="BD37" s="614"/>
      <c r="BE37" s="614"/>
      <c r="BF37" s="614"/>
      <c r="BG37" s="614"/>
      <c r="BH37" s="614"/>
      <c r="BI37" s="614"/>
      <c r="BJ37" s="617" t="s">
        <v>848</v>
      </c>
      <c r="BK37" s="614"/>
      <c r="BL37" s="614"/>
      <c r="BM37" s="614"/>
      <c r="BN37" s="614"/>
      <c r="BO37" s="614"/>
      <c r="BP37" s="614"/>
      <c r="BR37" s="617" t="s">
        <v>848</v>
      </c>
      <c r="BS37" s="614">
        <f t="shared" si="19"/>
        <v>0</v>
      </c>
      <c r="BT37" s="614">
        <f t="shared" si="19"/>
        <v>0</v>
      </c>
      <c r="BU37" s="614">
        <f t="shared" si="19"/>
        <v>0</v>
      </c>
      <c r="BV37" s="614">
        <f t="shared" si="19"/>
        <v>0</v>
      </c>
      <c r="BW37" s="614">
        <f t="shared" si="19"/>
        <v>0</v>
      </c>
      <c r="BX37" s="614">
        <f t="shared" si="19"/>
        <v>0</v>
      </c>
    </row>
    <row r="38" spans="2:76" x14ac:dyDescent="0.25">
      <c r="B38" s="615" t="s">
        <v>845</v>
      </c>
      <c r="C38" s="614">
        <f t="shared" si="18"/>
        <v>0</v>
      </c>
      <c r="D38" s="614">
        <f t="shared" si="18"/>
        <v>0</v>
      </c>
      <c r="E38" s="614">
        <f t="shared" si="18"/>
        <v>0</v>
      </c>
      <c r="F38" s="614">
        <f t="shared" si="18"/>
        <v>0</v>
      </c>
      <c r="G38" s="614">
        <f t="shared" si="18"/>
        <v>0</v>
      </c>
      <c r="H38" s="614">
        <f t="shared" si="18"/>
        <v>0</v>
      </c>
      <c r="J38" s="615" t="s">
        <v>845</v>
      </c>
      <c r="K38" s="614">
        <f>Ielas!T410</f>
        <v>0</v>
      </c>
      <c r="L38" s="614">
        <f>Ielas!U410</f>
        <v>0</v>
      </c>
      <c r="M38" s="614">
        <f>Ielas!V410</f>
        <v>0</v>
      </c>
      <c r="N38" s="614">
        <f>Ielas!W410</f>
        <v>0</v>
      </c>
      <c r="O38" s="614">
        <f>Ielas!X410</f>
        <v>0</v>
      </c>
      <c r="P38" s="614">
        <f>Ielas!Y410</f>
        <v>0</v>
      </c>
      <c r="Q38" s="615" t="s">
        <v>845</v>
      </c>
      <c r="R38" s="614">
        <f>Ielas!AA410</f>
        <v>0</v>
      </c>
      <c r="S38" s="614">
        <f>Ielas!AB410</f>
        <v>0</v>
      </c>
      <c r="T38" s="614">
        <f>Ielas!AC410</f>
        <v>0</v>
      </c>
      <c r="U38" s="614">
        <f>Ielas!AD410</f>
        <v>0</v>
      </c>
      <c r="V38" s="614">
        <f>Ielas!AE410</f>
        <v>0</v>
      </c>
      <c r="W38" s="614">
        <f>Ielas!AF410</f>
        <v>0</v>
      </c>
      <c r="Y38" s="615" t="s">
        <v>845</v>
      </c>
      <c r="Z38" s="614"/>
      <c r="AA38" s="614"/>
      <c r="AB38" s="614"/>
      <c r="AC38" s="614"/>
      <c r="AD38" s="614"/>
      <c r="AE38" s="614"/>
      <c r="AF38" s="615" t="s">
        <v>845</v>
      </c>
      <c r="AG38" s="614"/>
      <c r="AH38" s="614"/>
      <c r="AI38" s="614"/>
      <c r="AJ38" s="614"/>
      <c r="AK38" s="614"/>
      <c r="AL38" s="614"/>
      <c r="AN38" s="615" t="s">
        <v>845</v>
      </c>
      <c r="AO38" s="614"/>
      <c r="AP38" s="614"/>
      <c r="AQ38" s="614"/>
      <c r="AR38" s="614"/>
      <c r="AS38" s="614"/>
      <c r="AT38" s="614"/>
      <c r="AU38" s="615" t="s">
        <v>845</v>
      </c>
      <c r="AV38" s="614"/>
      <c r="AW38" s="614"/>
      <c r="AX38" s="614"/>
      <c r="AY38" s="614"/>
      <c r="AZ38" s="614"/>
      <c r="BA38" s="614"/>
      <c r="BC38" s="615" t="s">
        <v>845</v>
      </c>
      <c r="BD38" s="614"/>
      <c r="BE38" s="614"/>
      <c r="BF38" s="614"/>
      <c r="BG38" s="614"/>
      <c r="BH38" s="614"/>
      <c r="BI38" s="614"/>
      <c r="BJ38" s="615" t="s">
        <v>845</v>
      </c>
      <c r="BK38" s="614"/>
      <c r="BL38" s="614"/>
      <c r="BM38" s="614"/>
      <c r="BN38" s="614"/>
      <c r="BO38" s="614"/>
      <c r="BP38" s="614"/>
      <c r="BR38" s="615" t="s">
        <v>845</v>
      </c>
      <c r="BS38" s="614">
        <f t="shared" si="19"/>
        <v>0</v>
      </c>
      <c r="BT38" s="614">
        <f t="shared" si="19"/>
        <v>0</v>
      </c>
      <c r="BU38" s="614">
        <f t="shared" si="19"/>
        <v>0</v>
      </c>
      <c r="BV38" s="614">
        <f t="shared" si="19"/>
        <v>0</v>
      </c>
      <c r="BW38" s="614">
        <f t="shared" si="19"/>
        <v>0</v>
      </c>
      <c r="BX38" s="614">
        <f t="shared" si="19"/>
        <v>0</v>
      </c>
    </row>
    <row r="39" spans="2:76" x14ac:dyDescent="0.25">
      <c r="B39" s="616" t="s">
        <v>846</v>
      </c>
      <c r="C39" s="614">
        <f t="shared" si="18"/>
        <v>6.5000000000000002E-2</v>
      </c>
      <c r="D39" s="614">
        <f t="shared" si="18"/>
        <v>0</v>
      </c>
      <c r="E39" s="614">
        <f t="shared" si="18"/>
        <v>0</v>
      </c>
      <c r="F39" s="614">
        <f t="shared" si="18"/>
        <v>0.46</v>
      </c>
      <c r="G39" s="614">
        <f t="shared" si="18"/>
        <v>0</v>
      </c>
      <c r="H39" s="614">
        <f t="shared" si="18"/>
        <v>0.52500000000000002</v>
      </c>
      <c r="J39" s="616" t="s">
        <v>846</v>
      </c>
      <c r="K39" s="614">
        <f>Ielas!T411</f>
        <v>6.5000000000000002E-2</v>
      </c>
      <c r="L39" s="614">
        <f>Ielas!U411</f>
        <v>0</v>
      </c>
      <c r="M39" s="614">
        <f>Ielas!V411</f>
        <v>0</v>
      </c>
      <c r="N39" s="614">
        <f>Ielas!W411</f>
        <v>0.46</v>
      </c>
      <c r="O39" s="614">
        <f>Ielas!X411</f>
        <v>0</v>
      </c>
      <c r="P39" s="614">
        <f>Ielas!Y411</f>
        <v>0.52500000000000002</v>
      </c>
      <c r="Q39" s="616" t="s">
        <v>846</v>
      </c>
      <c r="R39" s="614">
        <f>Ielas!AA411</f>
        <v>0</v>
      </c>
      <c r="S39" s="614">
        <f>Ielas!AB411</f>
        <v>0</v>
      </c>
      <c r="T39" s="614">
        <f>Ielas!AC411</f>
        <v>0</v>
      </c>
      <c r="U39" s="614">
        <f>Ielas!AD411</f>
        <v>0</v>
      </c>
      <c r="V39" s="614">
        <f>Ielas!AE411</f>
        <v>0</v>
      </c>
      <c r="W39" s="614">
        <f>Ielas!AF411</f>
        <v>0</v>
      </c>
      <c r="Y39" s="616" t="s">
        <v>846</v>
      </c>
      <c r="Z39" s="614"/>
      <c r="AA39" s="614"/>
      <c r="AB39" s="614"/>
      <c r="AC39" s="614"/>
      <c r="AD39" s="614"/>
      <c r="AE39" s="614"/>
      <c r="AF39" s="616" t="s">
        <v>846</v>
      </c>
      <c r="AG39" s="614"/>
      <c r="AH39" s="614"/>
      <c r="AI39" s="614"/>
      <c r="AJ39" s="614"/>
      <c r="AK39" s="614"/>
      <c r="AL39" s="614"/>
      <c r="AN39" s="616" t="s">
        <v>846</v>
      </c>
      <c r="AO39" s="614"/>
      <c r="AP39" s="614"/>
      <c r="AQ39" s="614"/>
      <c r="AR39" s="614"/>
      <c r="AS39" s="614"/>
      <c r="AT39" s="614"/>
      <c r="AU39" s="616" t="s">
        <v>846</v>
      </c>
      <c r="AV39" s="614"/>
      <c r="AW39" s="614"/>
      <c r="AX39" s="614"/>
      <c r="AY39" s="614"/>
      <c r="AZ39" s="614"/>
      <c r="BA39" s="614"/>
      <c r="BC39" s="616" t="s">
        <v>846</v>
      </c>
      <c r="BD39" s="614"/>
      <c r="BE39" s="614"/>
      <c r="BF39" s="614"/>
      <c r="BG39" s="614"/>
      <c r="BH39" s="614"/>
      <c r="BI39" s="614"/>
      <c r="BJ39" s="616" t="s">
        <v>846</v>
      </c>
      <c r="BK39" s="614"/>
      <c r="BL39" s="614"/>
      <c r="BM39" s="614"/>
      <c r="BN39" s="614"/>
      <c r="BO39" s="614"/>
      <c r="BP39" s="614"/>
      <c r="BR39" s="616" t="s">
        <v>846</v>
      </c>
      <c r="BS39" s="614">
        <f t="shared" si="19"/>
        <v>6.5000000000000002E-2</v>
      </c>
      <c r="BT39" s="614">
        <f t="shared" si="19"/>
        <v>0</v>
      </c>
      <c r="BU39" s="614">
        <f t="shared" si="19"/>
        <v>0</v>
      </c>
      <c r="BV39" s="614">
        <f t="shared" si="19"/>
        <v>0.46</v>
      </c>
      <c r="BW39" s="614">
        <f t="shared" si="19"/>
        <v>0</v>
      </c>
      <c r="BX39" s="614">
        <f t="shared" si="19"/>
        <v>0.52500000000000002</v>
      </c>
    </row>
    <row r="40" spans="2:76" x14ac:dyDescent="0.25">
      <c r="C40" s="614">
        <f t="shared" si="18"/>
        <v>6.5000000000000002E-2</v>
      </c>
      <c r="D40" s="614">
        <f t="shared" si="18"/>
        <v>0</v>
      </c>
      <c r="E40" s="614">
        <f t="shared" si="18"/>
        <v>0</v>
      </c>
      <c r="F40" s="614">
        <f t="shared" si="18"/>
        <v>0.46</v>
      </c>
      <c r="G40" s="614">
        <f t="shared" si="18"/>
        <v>0</v>
      </c>
      <c r="H40" s="614">
        <f t="shared" si="18"/>
        <v>0.52500000000000002</v>
      </c>
      <c r="K40" s="614">
        <f>Ielas!T412</f>
        <v>6.5000000000000002E-2</v>
      </c>
      <c r="L40" s="614">
        <f>Ielas!U412</f>
        <v>0</v>
      </c>
      <c r="M40" s="614">
        <f>Ielas!V412</f>
        <v>0</v>
      </c>
      <c r="N40" s="614">
        <f>Ielas!W412</f>
        <v>0.46</v>
      </c>
      <c r="O40" s="614">
        <f>Ielas!X412</f>
        <v>0</v>
      </c>
      <c r="P40" s="614">
        <f>Ielas!Y412</f>
        <v>0.52500000000000002</v>
      </c>
      <c r="R40" s="614">
        <f>Ielas!AA412</f>
        <v>0</v>
      </c>
      <c r="S40" s="614">
        <f>Ielas!AB412</f>
        <v>0</v>
      </c>
      <c r="T40" s="614">
        <f>Ielas!AC412</f>
        <v>0</v>
      </c>
      <c r="U40" s="614">
        <f>Ielas!AD412</f>
        <v>0</v>
      </c>
      <c r="V40" s="614">
        <f>Ielas!AE412</f>
        <v>0</v>
      </c>
      <c r="W40" s="614">
        <f>Ielas!AF412</f>
        <v>0</v>
      </c>
      <c r="Z40" s="614"/>
      <c r="AA40" s="614"/>
      <c r="AB40" s="614"/>
      <c r="AC40" s="614"/>
      <c r="AD40" s="614"/>
      <c r="AE40" s="614"/>
      <c r="AG40" s="614"/>
      <c r="AH40" s="614"/>
      <c r="AI40" s="614"/>
      <c r="AJ40" s="614"/>
      <c r="AK40" s="614"/>
      <c r="AL40" s="614"/>
      <c r="AO40" s="614"/>
      <c r="AP40" s="614"/>
      <c r="AQ40" s="614"/>
      <c r="AR40" s="614"/>
      <c r="AS40" s="614"/>
      <c r="AT40" s="614"/>
      <c r="AV40" s="614"/>
      <c r="AW40" s="614"/>
      <c r="AX40" s="614"/>
      <c r="AY40" s="614"/>
      <c r="AZ40" s="614"/>
      <c r="BA40" s="614"/>
      <c r="BD40" s="614"/>
      <c r="BE40" s="614"/>
      <c r="BF40" s="614"/>
      <c r="BG40" s="614"/>
      <c r="BH40" s="614"/>
      <c r="BI40" s="614"/>
      <c r="BK40" s="614"/>
      <c r="BL40" s="614"/>
      <c r="BM40" s="614"/>
      <c r="BN40" s="614"/>
      <c r="BO40" s="614"/>
      <c r="BP40" s="614"/>
      <c r="BS40" s="614">
        <f t="shared" si="19"/>
        <v>6.5000000000000002E-2</v>
      </c>
      <c r="BT40" s="614">
        <f t="shared" si="19"/>
        <v>0</v>
      </c>
      <c r="BU40" s="614">
        <f t="shared" si="19"/>
        <v>0</v>
      </c>
      <c r="BV40" s="614">
        <f t="shared" si="19"/>
        <v>0.46</v>
      </c>
      <c r="BW40" s="614">
        <f t="shared" si="19"/>
        <v>0</v>
      </c>
      <c r="BX40" s="614">
        <f t="shared" si="19"/>
        <v>0.52500000000000002</v>
      </c>
    </row>
    <row r="41" spans="2:76" x14ac:dyDescent="0.25">
      <c r="C41" s="667"/>
      <c r="D41" s="667"/>
      <c r="E41" s="667"/>
      <c r="F41" s="667"/>
      <c r="G41" s="667"/>
      <c r="H41" s="667"/>
      <c r="BS41" s="667"/>
      <c r="BT41" s="667"/>
      <c r="BU41" s="667"/>
      <c r="BV41" s="667"/>
      <c r="BW41" s="667"/>
      <c r="BX41" s="667"/>
    </row>
    <row r="42" spans="2:76" x14ac:dyDescent="0.25">
      <c r="B42" t="s">
        <v>1155</v>
      </c>
      <c r="C42" s="667"/>
      <c r="D42" s="667"/>
      <c r="E42" s="667"/>
      <c r="F42" s="667"/>
      <c r="G42" s="667"/>
      <c r="H42" s="667"/>
      <c r="K42" t="s">
        <v>1156</v>
      </c>
      <c r="R42" t="s">
        <v>1141</v>
      </c>
      <c r="AG42" t="s">
        <v>1141</v>
      </c>
      <c r="AV42" t="s">
        <v>1141</v>
      </c>
      <c r="BK42" t="s">
        <v>1141</v>
      </c>
      <c r="BR42" t="s">
        <v>1157</v>
      </c>
      <c r="BS42" s="667"/>
      <c r="BT42" s="667"/>
      <c r="BU42" s="667"/>
      <c r="BV42" s="667"/>
      <c r="BW42" s="667"/>
      <c r="BX42" s="667"/>
    </row>
    <row r="43" spans="2:76" ht="23.25" x14ac:dyDescent="0.25">
      <c r="B43" s="102"/>
      <c r="C43" s="669" t="s">
        <v>1092</v>
      </c>
      <c r="D43" s="669" t="s">
        <v>1093</v>
      </c>
      <c r="E43" s="669" t="s">
        <v>1094</v>
      </c>
      <c r="F43" s="669" t="s">
        <v>1095</v>
      </c>
      <c r="G43" s="669" t="s">
        <v>1096</v>
      </c>
      <c r="H43" s="141" t="s">
        <v>269</v>
      </c>
      <c r="J43" s="102"/>
      <c r="K43" s="625" t="s">
        <v>1092</v>
      </c>
      <c r="L43" s="625" t="s">
        <v>1093</v>
      </c>
      <c r="M43" s="625" t="s">
        <v>1094</v>
      </c>
      <c r="N43" s="625" t="s">
        <v>1095</v>
      </c>
      <c r="O43" s="625" t="s">
        <v>1096</v>
      </c>
      <c r="P43" s="627" t="s">
        <v>269</v>
      </c>
      <c r="Q43" s="102"/>
      <c r="R43" s="625" t="s">
        <v>1092</v>
      </c>
      <c r="S43" s="625" t="s">
        <v>1093</v>
      </c>
      <c r="T43" s="625" t="s">
        <v>1094</v>
      </c>
      <c r="U43" s="625" t="s">
        <v>1095</v>
      </c>
      <c r="V43" s="625" t="s">
        <v>1096</v>
      </c>
      <c r="W43" s="627" t="s">
        <v>269</v>
      </c>
      <c r="Y43" s="102"/>
      <c r="Z43" s="625" t="s">
        <v>1092</v>
      </c>
      <c r="AA43" s="625" t="s">
        <v>1093</v>
      </c>
      <c r="AB43" s="625" t="s">
        <v>1094</v>
      </c>
      <c r="AC43" s="625" t="s">
        <v>1095</v>
      </c>
      <c r="AD43" s="625" t="s">
        <v>1096</v>
      </c>
      <c r="AE43" s="627" t="s">
        <v>269</v>
      </c>
      <c r="AF43" s="102"/>
      <c r="AG43" s="625" t="s">
        <v>1092</v>
      </c>
      <c r="AH43" s="625" t="s">
        <v>1093</v>
      </c>
      <c r="AI43" s="625" t="s">
        <v>1094</v>
      </c>
      <c r="AJ43" s="625" t="s">
        <v>1095</v>
      </c>
      <c r="AK43" s="625" t="s">
        <v>1096</v>
      </c>
      <c r="AL43" s="627" t="s">
        <v>269</v>
      </c>
      <c r="AN43" s="102"/>
      <c r="AO43" s="625" t="s">
        <v>1092</v>
      </c>
      <c r="AP43" s="625" t="s">
        <v>1093</v>
      </c>
      <c r="AQ43" s="625" t="s">
        <v>1094</v>
      </c>
      <c r="AR43" s="625" t="s">
        <v>1095</v>
      </c>
      <c r="AS43" s="625" t="s">
        <v>1096</v>
      </c>
      <c r="AT43" s="627" t="s">
        <v>269</v>
      </c>
      <c r="AU43" s="102"/>
      <c r="AV43" s="625" t="s">
        <v>1092</v>
      </c>
      <c r="AW43" s="625" t="s">
        <v>1093</v>
      </c>
      <c r="AX43" s="625" t="s">
        <v>1094</v>
      </c>
      <c r="AY43" s="625" t="s">
        <v>1095</v>
      </c>
      <c r="AZ43" s="625" t="s">
        <v>1096</v>
      </c>
      <c r="BA43" s="627" t="s">
        <v>269</v>
      </c>
      <c r="BC43" s="102"/>
      <c r="BD43" s="625" t="s">
        <v>1092</v>
      </c>
      <c r="BE43" s="625" t="s">
        <v>1093</v>
      </c>
      <c r="BF43" s="625" t="s">
        <v>1094</v>
      </c>
      <c r="BG43" s="625" t="s">
        <v>1095</v>
      </c>
      <c r="BH43" s="625" t="s">
        <v>1096</v>
      </c>
      <c r="BI43" s="627" t="s">
        <v>269</v>
      </c>
      <c r="BJ43" s="102"/>
      <c r="BK43" s="625" t="s">
        <v>1092</v>
      </c>
      <c r="BL43" s="625" t="s">
        <v>1093</v>
      </c>
      <c r="BM43" s="625" t="s">
        <v>1094</v>
      </c>
      <c r="BN43" s="625" t="s">
        <v>1095</v>
      </c>
      <c r="BO43" s="625" t="s">
        <v>1096</v>
      </c>
      <c r="BP43" s="627" t="s">
        <v>269</v>
      </c>
      <c r="BR43" s="102"/>
      <c r="BS43" s="669" t="s">
        <v>1092</v>
      </c>
      <c r="BT43" s="669" t="s">
        <v>1093</v>
      </c>
      <c r="BU43" s="669" t="s">
        <v>1094</v>
      </c>
      <c r="BV43" s="669" t="s">
        <v>1095</v>
      </c>
      <c r="BW43" s="669" t="s">
        <v>1096</v>
      </c>
      <c r="BX43" s="141" t="s">
        <v>269</v>
      </c>
    </row>
    <row r="44" spans="2:76" x14ac:dyDescent="0.25">
      <c r="B44" s="628" t="s">
        <v>844</v>
      </c>
      <c r="C44" s="669" t="s">
        <v>231</v>
      </c>
      <c r="D44" s="669" t="s">
        <v>231</v>
      </c>
      <c r="E44" s="669" t="s">
        <v>231</v>
      </c>
      <c r="F44" s="669" t="s">
        <v>231</v>
      </c>
      <c r="G44" s="669" t="s">
        <v>231</v>
      </c>
      <c r="H44" s="670" t="s">
        <v>231</v>
      </c>
      <c r="J44" s="628" t="s">
        <v>844</v>
      </c>
      <c r="K44" s="625" t="s">
        <v>231</v>
      </c>
      <c r="L44" s="625" t="s">
        <v>231</v>
      </c>
      <c r="M44" s="625" t="s">
        <v>231</v>
      </c>
      <c r="N44" s="625" t="s">
        <v>231</v>
      </c>
      <c r="O44" s="625" t="s">
        <v>231</v>
      </c>
      <c r="P44" s="626" t="s">
        <v>231</v>
      </c>
      <c r="Q44" s="628"/>
      <c r="R44" s="625" t="s">
        <v>231</v>
      </c>
      <c r="S44" s="625" t="s">
        <v>231</v>
      </c>
      <c r="T44" s="625" t="s">
        <v>231</v>
      </c>
      <c r="U44" s="625" t="s">
        <v>231</v>
      </c>
      <c r="V44" s="625" t="s">
        <v>231</v>
      </c>
      <c r="W44" s="626" t="s">
        <v>231</v>
      </c>
      <c r="Y44" s="628" t="s">
        <v>844</v>
      </c>
      <c r="Z44" s="625" t="s">
        <v>231</v>
      </c>
      <c r="AA44" s="625" t="s">
        <v>231</v>
      </c>
      <c r="AB44" s="625" t="s">
        <v>231</v>
      </c>
      <c r="AC44" s="625" t="s">
        <v>231</v>
      </c>
      <c r="AD44" s="625" t="s">
        <v>231</v>
      </c>
      <c r="AE44" s="626" t="s">
        <v>231</v>
      </c>
      <c r="AF44" s="628"/>
      <c r="AG44" s="625" t="s">
        <v>231</v>
      </c>
      <c r="AH44" s="625" t="s">
        <v>231</v>
      </c>
      <c r="AI44" s="625" t="s">
        <v>231</v>
      </c>
      <c r="AJ44" s="625" t="s">
        <v>231</v>
      </c>
      <c r="AK44" s="625" t="s">
        <v>231</v>
      </c>
      <c r="AL44" s="626" t="s">
        <v>231</v>
      </c>
      <c r="AN44" s="628" t="s">
        <v>844</v>
      </c>
      <c r="AO44" s="625" t="s">
        <v>231</v>
      </c>
      <c r="AP44" s="625" t="s">
        <v>231</v>
      </c>
      <c r="AQ44" s="625" t="s">
        <v>231</v>
      </c>
      <c r="AR44" s="625" t="s">
        <v>231</v>
      </c>
      <c r="AS44" s="625" t="s">
        <v>231</v>
      </c>
      <c r="AT44" s="626" t="s">
        <v>231</v>
      </c>
      <c r="AU44" s="628"/>
      <c r="AV44" s="625" t="s">
        <v>231</v>
      </c>
      <c r="AW44" s="625" t="s">
        <v>231</v>
      </c>
      <c r="AX44" s="625" t="s">
        <v>231</v>
      </c>
      <c r="AY44" s="625" t="s">
        <v>231</v>
      </c>
      <c r="AZ44" s="625" t="s">
        <v>231</v>
      </c>
      <c r="BA44" s="626" t="s">
        <v>231</v>
      </c>
      <c r="BC44" s="628" t="s">
        <v>844</v>
      </c>
      <c r="BD44" s="625" t="s">
        <v>231</v>
      </c>
      <c r="BE44" s="625" t="s">
        <v>231</v>
      </c>
      <c r="BF44" s="625" t="s">
        <v>231</v>
      </c>
      <c r="BG44" s="625" t="s">
        <v>231</v>
      </c>
      <c r="BH44" s="625" t="s">
        <v>231</v>
      </c>
      <c r="BI44" s="626" t="s">
        <v>231</v>
      </c>
      <c r="BJ44" s="628"/>
      <c r="BK44" s="625" t="s">
        <v>231</v>
      </c>
      <c r="BL44" s="625" t="s">
        <v>231</v>
      </c>
      <c r="BM44" s="625" t="s">
        <v>231</v>
      </c>
      <c r="BN44" s="625" t="s">
        <v>231</v>
      </c>
      <c r="BO44" s="625" t="s">
        <v>231</v>
      </c>
      <c r="BP44" s="626" t="s">
        <v>231</v>
      </c>
      <c r="BR44" s="628" t="s">
        <v>844</v>
      </c>
      <c r="BS44" s="669" t="s">
        <v>231</v>
      </c>
      <c r="BT44" s="669" t="s">
        <v>231</v>
      </c>
      <c r="BU44" s="669" t="s">
        <v>231</v>
      </c>
      <c r="BV44" s="669" t="s">
        <v>231</v>
      </c>
      <c r="BW44" s="669" t="s">
        <v>231</v>
      </c>
      <c r="BX44" s="670" t="s">
        <v>231</v>
      </c>
    </row>
    <row r="45" spans="2:76" x14ac:dyDescent="0.25">
      <c r="B45" s="616" t="s">
        <v>847</v>
      </c>
      <c r="C45" s="614">
        <f t="shared" ref="C45:H49" si="20">K45+Z45+AO45</f>
        <v>0</v>
      </c>
      <c r="D45" s="614">
        <f t="shared" si="20"/>
        <v>0</v>
      </c>
      <c r="E45" s="614">
        <f t="shared" si="20"/>
        <v>0</v>
      </c>
      <c r="F45" s="614">
        <f t="shared" si="20"/>
        <v>0</v>
      </c>
      <c r="G45" s="614">
        <f t="shared" si="20"/>
        <v>0</v>
      </c>
      <c r="H45" s="614">
        <f t="shared" si="20"/>
        <v>0</v>
      </c>
      <c r="J45" s="616" t="s">
        <v>847</v>
      </c>
      <c r="K45" s="614">
        <f>Ielas!T424</f>
        <v>0</v>
      </c>
      <c r="L45" s="614">
        <f>Ielas!U424</f>
        <v>0</v>
      </c>
      <c r="M45" s="614">
        <f>Ielas!V424</f>
        <v>0</v>
      </c>
      <c r="N45" s="614">
        <f>Ielas!W424</f>
        <v>0</v>
      </c>
      <c r="O45" s="614">
        <f>Ielas!X424</f>
        <v>0</v>
      </c>
      <c r="P45" s="614">
        <f>Ielas!Y424</f>
        <v>0</v>
      </c>
      <c r="Q45" s="616" t="s">
        <v>847</v>
      </c>
      <c r="R45" s="614">
        <f>Ielas!AA424</f>
        <v>0</v>
      </c>
      <c r="S45" s="614">
        <f>Ielas!AB424</f>
        <v>0</v>
      </c>
      <c r="T45" s="614">
        <f>Ielas!AC424</f>
        <v>0</v>
      </c>
      <c r="U45" s="614">
        <f>Ielas!AD424</f>
        <v>0</v>
      </c>
      <c r="V45" s="614">
        <f>Ielas!AE424</f>
        <v>0</v>
      </c>
      <c r="W45" s="614">
        <f>Ielas!AF424</f>
        <v>0</v>
      </c>
      <c r="Y45" s="616" t="s">
        <v>847</v>
      </c>
      <c r="Z45" s="614"/>
      <c r="AA45" s="614"/>
      <c r="AB45" s="614"/>
      <c r="AC45" s="614"/>
      <c r="AD45" s="614"/>
      <c r="AE45" s="614"/>
      <c r="AF45" s="616" t="s">
        <v>847</v>
      </c>
      <c r="AG45" s="614"/>
      <c r="AH45" s="614"/>
      <c r="AI45" s="614"/>
      <c r="AJ45" s="614"/>
      <c r="AK45" s="614"/>
      <c r="AL45" s="614"/>
      <c r="AN45" s="616" t="s">
        <v>847</v>
      </c>
      <c r="AO45" s="614"/>
      <c r="AP45" s="614"/>
      <c r="AQ45" s="614"/>
      <c r="AR45" s="614"/>
      <c r="AS45" s="614"/>
      <c r="AT45" s="614"/>
      <c r="AU45" s="616" t="s">
        <v>847</v>
      </c>
      <c r="AV45" s="614"/>
      <c r="AW45" s="614"/>
      <c r="AX45" s="614"/>
      <c r="AY45" s="614"/>
      <c r="AZ45" s="614"/>
      <c r="BA45" s="614"/>
      <c r="BC45" s="616" t="s">
        <v>847</v>
      </c>
      <c r="BD45" s="614"/>
      <c r="BE45" s="614"/>
      <c r="BF45" s="614"/>
      <c r="BG45" s="614"/>
      <c r="BH45" s="614"/>
      <c r="BI45" s="614"/>
      <c r="BJ45" s="616" t="s">
        <v>847</v>
      </c>
      <c r="BK45" s="614"/>
      <c r="BL45" s="614"/>
      <c r="BM45" s="614"/>
      <c r="BN45" s="614"/>
      <c r="BO45" s="614"/>
      <c r="BP45" s="614"/>
      <c r="BR45" s="616" t="s">
        <v>847</v>
      </c>
      <c r="BS45" s="614">
        <f t="shared" ref="BS45:BX49" si="21">C45-R45-AG45-AV45</f>
        <v>0</v>
      </c>
      <c r="BT45" s="614">
        <f t="shared" si="21"/>
        <v>0</v>
      </c>
      <c r="BU45" s="614">
        <f t="shared" si="21"/>
        <v>0</v>
      </c>
      <c r="BV45" s="614">
        <f t="shared" si="21"/>
        <v>0</v>
      </c>
      <c r="BW45" s="614">
        <f t="shared" si="21"/>
        <v>0</v>
      </c>
      <c r="BX45" s="614">
        <f t="shared" si="21"/>
        <v>0</v>
      </c>
    </row>
    <row r="46" spans="2:76" x14ac:dyDescent="0.25">
      <c r="B46" s="617" t="s">
        <v>848</v>
      </c>
      <c r="C46" s="614">
        <f t="shared" si="20"/>
        <v>0</v>
      </c>
      <c r="D46" s="614">
        <f t="shared" si="20"/>
        <v>0</v>
      </c>
      <c r="E46" s="614">
        <f t="shared" si="20"/>
        <v>0</v>
      </c>
      <c r="F46" s="614">
        <f t="shared" si="20"/>
        <v>0</v>
      </c>
      <c r="G46" s="614">
        <f t="shared" si="20"/>
        <v>0</v>
      </c>
      <c r="H46" s="614">
        <f t="shared" si="20"/>
        <v>0</v>
      </c>
      <c r="J46" s="617" t="s">
        <v>848</v>
      </c>
      <c r="K46" s="614">
        <f>Ielas!T425</f>
        <v>0</v>
      </c>
      <c r="L46" s="614">
        <f>Ielas!U425</f>
        <v>0</v>
      </c>
      <c r="M46" s="614">
        <f>Ielas!V425</f>
        <v>0</v>
      </c>
      <c r="N46" s="614">
        <f>Ielas!W425</f>
        <v>0</v>
      </c>
      <c r="O46" s="614">
        <f>Ielas!X425</f>
        <v>0</v>
      </c>
      <c r="P46" s="614">
        <f>Ielas!Y425</f>
        <v>0</v>
      </c>
      <c r="Q46" s="617" t="s">
        <v>848</v>
      </c>
      <c r="R46" s="614">
        <f>Ielas!AA425</f>
        <v>0</v>
      </c>
      <c r="S46" s="614">
        <f>Ielas!AB425</f>
        <v>0</v>
      </c>
      <c r="T46" s="614">
        <f>Ielas!AC425</f>
        <v>0</v>
      </c>
      <c r="U46" s="614">
        <f>Ielas!AD425</f>
        <v>0</v>
      </c>
      <c r="V46" s="614">
        <f>Ielas!AE425</f>
        <v>0</v>
      </c>
      <c r="W46" s="614">
        <f>Ielas!AF425</f>
        <v>0</v>
      </c>
      <c r="Y46" s="617" t="s">
        <v>848</v>
      </c>
      <c r="Z46" s="614"/>
      <c r="AA46" s="614"/>
      <c r="AB46" s="614"/>
      <c r="AC46" s="614"/>
      <c r="AD46" s="614"/>
      <c r="AE46" s="614"/>
      <c r="AF46" s="617" t="s">
        <v>848</v>
      </c>
      <c r="AG46" s="614"/>
      <c r="AH46" s="614"/>
      <c r="AI46" s="614"/>
      <c r="AJ46" s="614"/>
      <c r="AK46" s="614"/>
      <c r="AL46" s="614"/>
      <c r="AN46" s="617" t="s">
        <v>848</v>
      </c>
      <c r="AO46" s="614"/>
      <c r="AP46" s="614"/>
      <c r="AQ46" s="614"/>
      <c r="AR46" s="614"/>
      <c r="AS46" s="614"/>
      <c r="AT46" s="614"/>
      <c r="AU46" s="617" t="s">
        <v>848</v>
      </c>
      <c r="AV46" s="614"/>
      <c r="AW46" s="614"/>
      <c r="AX46" s="614"/>
      <c r="AY46" s="614"/>
      <c r="AZ46" s="614"/>
      <c r="BA46" s="614"/>
      <c r="BC46" s="617" t="s">
        <v>848</v>
      </c>
      <c r="BD46" s="614"/>
      <c r="BE46" s="614"/>
      <c r="BF46" s="614"/>
      <c r="BG46" s="614"/>
      <c r="BH46" s="614"/>
      <c r="BI46" s="614"/>
      <c r="BJ46" s="617" t="s">
        <v>848</v>
      </c>
      <c r="BK46" s="614"/>
      <c r="BL46" s="614"/>
      <c r="BM46" s="614"/>
      <c r="BN46" s="614"/>
      <c r="BO46" s="614"/>
      <c r="BP46" s="614"/>
      <c r="BR46" s="617" t="s">
        <v>848</v>
      </c>
      <c r="BS46" s="614">
        <f t="shared" si="21"/>
        <v>0</v>
      </c>
      <c r="BT46" s="614">
        <f t="shared" si="21"/>
        <v>0</v>
      </c>
      <c r="BU46" s="614">
        <f t="shared" si="21"/>
        <v>0</v>
      </c>
      <c r="BV46" s="614">
        <f t="shared" si="21"/>
        <v>0</v>
      </c>
      <c r="BW46" s="614">
        <f t="shared" si="21"/>
        <v>0</v>
      </c>
      <c r="BX46" s="614">
        <f t="shared" si="21"/>
        <v>0</v>
      </c>
    </row>
    <row r="47" spans="2:76" x14ac:dyDescent="0.25">
      <c r="B47" s="615" t="s">
        <v>845</v>
      </c>
      <c r="C47" s="614">
        <f t="shared" si="20"/>
        <v>0</v>
      </c>
      <c r="D47" s="614">
        <f t="shared" si="20"/>
        <v>0</v>
      </c>
      <c r="E47" s="614">
        <f t="shared" si="20"/>
        <v>0</v>
      </c>
      <c r="F47" s="614">
        <f t="shared" si="20"/>
        <v>0</v>
      </c>
      <c r="G47" s="614">
        <f t="shared" si="20"/>
        <v>0</v>
      </c>
      <c r="H47" s="614">
        <f t="shared" si="20"/>
        <v>0</v>
      </c>
      <c r="J47" s="615" t="s">
        <v>845</v>
      </c>
      <c r="K47" s="614">
        <f>Ielas!T426</f>
        <v>0</v>
      </c>
      <c r="L47" s="614">
        <f>Ielas!U426</f>
        <v>0</v>
      </c>
      <c r="M47" s="614">
        <f>Ielas!V426</f>
        <v>0</v>
      </c>
      <c r="N47" s="614">
        <f>Ielas!W426</f>
        <v>0</v>
      </c>
      <c r="O47" s="614">
        <f>Ielas!X426</f>
        <v>0</v>
      </c>
      <c r="P47" s="614">
        <f>Ielas!Y426</f>
        <v>0</v>
      </c>
      <c r="Q47" s="615" t="s">
        <v>845</v>
      </c>
      <c r="R47" s="614">
        <f>Ielas!AA426</f>
        <v>0</v>
      </c>
      <c r="S47" s="614">
        <f>Ielas!AB426</f>
        <v>0</v>
      </c>
      <c r="T47" s="614">
        <f>Ielas!AC426</f>
        <v>0</v>
      </c>
      <c r="U47" s="614">
        <f>Ielas!AD426</f>
        <v>0</v>
      </c>
      <c r="V47" s="614">
        <f>Ielas!AE426</f>
        <v>0</v>
      </c>
      <c r="W47" s="614">
        <f>Ielas!AF426</f>
        <v>0</v>
      </c>
      <c r="Y47" s="615" t="s">
        <v>845</v>
      </c>
      <c r="Z47" s="614"/>
      <c r="AA47" s="614"/>
      <c r="AB47" s="614"/>
      <c r="AC47" s="614"/>
      <c r="AD47" s="614"/>
      <c r="AE47" s="614"/>
      <c r="AF47" s="615" t="s">
        <v>845</v>
      </c>
      <c r="AG47" s="614"/>
      <c r="AH47" s="614"/>
      <c r="AI47" s="614"/>
      <c r="AJ47" s="614"/>
      <c r="AK47" s="614"/>
      <c r="AL47" s="614"/>
      <c r="AN47" s="615" t="s">
        <v>845</v>
      </c>
      <c r="AO47" s="614"/>
      <c r="AP47" s="614"/>
      <c r="AQ47" s="614"/>
      <c r="AR47" s="614"/>
      <c r="AS47" s="614"/>
      <c r="AT47" s="614"/>
      <c r="AU47" s="615" t="s">
        <v>845</v>
      </c>
      <c r="AV47" s="614"/>
      <c r="AW47" s="614"/>
      <c r="AX47" s="614"/>
      <c r="AY47" s="614"/>
      <c r="AZ47" s="614"/>
      <c r="BA47" s="614"/>
      <c r="BC47" s="615" t="s">
        <v>845</v>
      </c>
      <c r="BD47" s="614"/>
      <c r="BE47" s="614"/>
      <c r="BF47" s="614"/>
      <c r="BG47" s="614"/>
      <c r="BH47" s="614"/>
      <c r="BI47" s="614"/>
      <c r="BJ47" s="615" t="s">
        <v>845</v>
      </c>
      <c r="BK47" s="614"/>
      <c r="BL47" s="614"/>
      <c r="BM47" s="614"/>
      <c r="BN47" s="614"/>
      <c r="BO47" s="614"/>
      <c r="BP47" s="614"/>
      <c r="BR47" s="615" t="s">
        <v>845</v>
      </c>
      <c r="BS47" s="614">
        <f t="shared" si="21"/>
        <v>0</v>
      </c>
      <c r="BT47" s="614">
        <f t="shared" si="21"/>
        <v>0</v>
      </c>
      <c r="BU47" s="614">
        <f t="shared" si="21"/>
        <v>0</v>
      </c>
      <c r="BV47" s="614">
        <f t="shared" si="21"/>
        <v>0</v>
      </c>
      <c r="BW47" s="614">
        <f t="shared" si="21"/>
        <v>0</v>
      </c>
      <c r="BX47" s="614">
        <f t="shared" si="21"/>
        <v>0</v>
      </c>
    </row>
    <row r="48" spans="2:76" x14ac:dyDescent="0.25">
      <c r="B48" s="616" t="s">
        <v>846</v>
      </c>
      <c r="C48" s="614">
        <f t="shared" si="20"/>
        <v>0.16</v>
      </c>
      <c r="D48" s="614">
        <f t="shared" si="20"/>
        <v>0</v>
      </c>
      <c r="E48" s="614">
        <f t="shared" si="20"/>
        <v>0</v>
      </c>
      <c r="F48" s="614">
        <f t="shared" si="20"/>
        <v>0.68200000000000005</v>
      </c>
      <c r="G48" s="614">
        <f t="shared" si="20"/>
        <v>0</v>
      </c>
      <c r="H48" s="614">
        <f t="shared" si="20"/>
        <v>0.84200000000000008</v>
      </c>
      <c r="J48" s="616" t="s">
        <v>846</v>
      </c>
      <c r="K48" s="614">
        <f>Ielas!T427</f>
        <v>0.16</v>
      </c>
      <c r="L48" s="614">
        <f>Ielas!U427</f>
        <v>0</v>
      </c>
      <c r="M48" s="614">
        <f>Ielas!V427</f>
        <v>0</v>
      </c>
      <c r="N48" s="614">
        <f>Ielas!W427</f>
        <v>0.68200000000000005</v>
      </c>
      <c r="O48" s="614">
        <f>Ielas!X427</f>
        <v>0</v>
      </c>
      <c r="P48" s="614">
        <f>Ielas!Y427</f>
        <v>0.84200000000000008</v>
      </c>
      <c r="Q48" s="616" t="s">
        <v>846</v>
      </c>
      <c r="R48" s="614">
        <f>Ielas!AA427</f>
        <v>0</v>
      </c>
      <c r="S48" s="614">
        <f>Ielas!AB427</f>
        <v>0</v>
      </c>
      <c r="T48" s="614">
        <f>Ielas!AC427</f>
        <v>0</v>
      </c>
      <c r="U48" s="614">
        <f>Ielas!AD427</f>
        <v>0</v>
      </c>
      <c r="V48" s="614">
        <f>Ielas!AE427</f>
        <v>0</v>
      </c>
      <c r="W48" s="614">
        <f>Ielas!AF427</f>
        <v>0</v>
      </c>
      <c r="Y48" s="616" t="s">
        <v>846</v>
      </c>
      <c r="Z48" s="614"/>
      <c r="AA48" s="614"/>
      <c r="AB48" s="614"/>
      <c r="AC48" s="614"/>
      <c r="AD48" s="614"/>
      <c r="AE48" s="614"/>
      <c r="AF48" s="616" t="s">
        <v>846</v>
      </c>
      <c r="AG48" s="614"/>
      <c r="AH48" s="614"/>
      <c r="AI48" s="614"/>
      <c r="AJ48" s="614"/>
      <c r="AK48" s="614"/>
      <c r="AL48" s="614"/>
      <c r="AN48" s="616" t="s">
        <v>846</v>
      </c>
      <c r="AO48" s="614"/>
      <c r="AP48" s="614"/>
      <c r="AQ48" s="614"/>
      <c r="AR48" s="614"/>
      <c r="AS48" s="614"/>
      <c r="AT48" s="614"/>
      <c r="AU48" s="616" t="s">
        <v>846</v>
      </c>
      <c r="AV48" s="614"/>
      <c r="AW48" s="614"/>
      <c r="AX48" s="614"/>
      <c r="AY48" s="614"/>
      <c r="AZ48" s="614"/>
      <c r="BA48" s="614"/>
      <c r="BC48" s="616" t="s">
        <v>846</v>
      </c>
      <c r="BD48" s="614"/>
      <c r="BE48" s="614"/>
      <c r="BF48" s="614"/>
      <c r="BG48" s="614"/>
      <c r="BH48" s="614"/>
      <c r="BI48" s="614"/>
      <c r="BJ48" s="616" t="s">
        <v>846</v>
      </c>
      <c r="BK48" s="614"/>
      <c r="BL48" s="614"/>
      <c r="BM48" s="614"/>
      <c r="BN48" s="614"/>
      <c r="BO48" s="614"/>
      <c r="BP48" s="614"/>
      <c r="BR48" s="616" t="s">
        <v>846</v>
      </c>
      <c r="BS48" s="614">
        <f t="shared" si="21"/>
        <v>0.16</v>
      </c>
      <c r="BT48" s="614">
        <f t="shared" si="21"/>
        <v>0</v>
      </c>
      <c r="BU48" s="614">
        <f t="shared" si="21"/>
        <v>0</v>
      </c>
      <c r="BV48" s="614">
        <f t="shared" si="21"/>
        <v>0.68200000000000005</v>
      </c>
      <c r="BW48" s="614">
        <f t="shared" si="21"/>
        <v>0</v>
      </c>
      <c r="BX48" s="614">
        <f t="shared" si="21"/>
        <v>0.84200000000000008</v>
      </c>
    </row>
    <row r="49" spans="2:76" x14ac:dyDescent="0.25">
      <c r="C49" s="614">
        <f t="shared" si="20"/>
        <v>0.16</v>
      </c>
      <c r="D49" s="614">
        <f t="shared" si="20"/>
        <v>0</v>
      </c>
      <c r="E49" s="614">
        <f t="shared" si="20"/>
        <v>0</v>
      </c>
      <c r="F49" s="614">
        <f t="shared" si="20"/>
        <v>0.68200000000000005</v>
      </c>
      <c r="G49" s="614">
        <f t="shared" si="20"/>
        <v>0</v>
      </c>
      <c r="H49" s="614">
        <f t="shared" si="20"/>
        <v>0.84200000000000008</v>
      </c>
      <c r="K49" s="614">
        <f>Ielas!T428</f>
        <v>0.16</v>
      </c>
      <c r="L49" s="614">
        <f>Ielas!U428</f>
        <v>0</v>
      </c>
      <c r="M49" s="614">
        <f>Ielas!V428</f>
        <v>0</v>
      </c>
      <c r="N49" s="614">
        <f>Ielas!W428</f>
        <v>0.68200000000000005</v>
      </c>
      <c r="O49" s="614">
        <f>Ielas!X428</f>
        <v>0</v>
      </c>
      <c r="P49" s="614">
        <f>Ielas!Y428</f>
        <v>0.84200000000000008</v>
      </c>
      <c r="R49" s="614">
        <f>Ielas!AA428</f>
        <v>0</v>
      </c>
      <c r="S49" s="614">
        <f>Ielas!AB428</f>
        <v>0</v>
      </c>
      <c r="T49" s="614">
        <f>Ielas!AC428</f>
        <v>0</v>
      </c>
      <c r="U49" s="614">
        <f>Ielas!AD428</f>
        <v>0</v>
      </c>
      <c r="V49" s="614">
        <f>Ielas!AE428</f>
        <v>0</v>
      </c>
      <c r="W49" s="614">
        <f>Ielas!AF428</f>
        <v>0</v>
      </c>
      <c r="Z49" s="614"/>
      <c r="AA49" s="614"/>
      <c r="AB49" s="614"/>
      <c r="AC49" s="614"/>
      <c r="AD49" s="614"/>
      <c r="AE49" s="614"/>
      <c r="AG49" s="614"/>
      <c r="AH49" s="614"/>
      <c r="AI49" s="614"/>
      <c r="AJ49" s="614"/>
      <c r="AK49" s="614"/>
      <c r="AL49" s="614"/>
      <c r="AO49" s="614"/>
      <c r="AP49" s="614"/>
      <c r="AQ49" s="614"/>
      <c r="AR49" s="614"/>
      <c r="AS49" s="614"/>
      <c r="AT49" s="614"/>
      <c r="AV49" s="614"/>
      <c r="AW49" s="614"/>
      <c r="AX49" s="614"/>
      <c r="AY49" s="614"/>
      <c r="AZ49" s="614"/>
      <c r="BA49" s="614"/>
      <c r="BD49" s="614"/>
      <c r="BE49" s="614"/>
      <c r="BF49" s="614"/>
      <c r="BG49" s="614"/>
      <c r="BH49" s="614"/>
      <c r="BI49" s="614"/>
      <c r="BK49" s="614"/>
      <c r="BL49" s="614"/>
      <c r="BM49" s="614"/>
      <c r="BN49" s="614"/>
      <c r="BO49" s="614"/>
      <c r="BP49" s="614"/>
      <c r="BS49" s="614">
        <f t="shared" si="21"/>
        <v>0.16</v>
      </c>
      <c r="BT49" s="614">
        <f t="shared" si="21"/>
        <v>0</v>
      </c>
      <c r="BU49" s="614">
        <f t="shared" si="21"/>
        <v>0</v>
      </c>
      <c r="BV49" s="614">
        <f t="shared" si="21"/>
        <v>0.68200000000000005</v>
      </c>
      <c r="BW49" s="614">
        <f t="shared" si="21"/>
        <v>0</v>
      </c>
      <c r="BX49" s="614">
        <f t="shared" si="21"/>
        <v>0.84200000000000008</v>
      </c>
    </row>
    <row r="50" spans="2:76" x14ac:dyDescent="0.25">
      <c r="C50" s="667"/>
      <c r="D50" s="667"/>
      <c r="E50" s="667"/>
      <c r="F50" s="667"/>
      <c r="G50" s="667"/>
      <c r="H50" s="667"/>
      <c r="BS50" s="667"/>
      <c r="BT50" s="667"/>
      <c r="BU50" s="667"/>
      <c r="BV50" s="667"/>
      <c r="BW50" s="667"/>
      <c r="BX50" s="667"/>
    </row>
    <row r="51" spans="2:76" x14ac:dyDescent="0.25">
      <c r="B51" t="s">
        <v>1158</v>
      </c>
      <c r="C51" s="667"/>
      <c r="D51" s="667"/>
      <c r="E51" s="667"/>
      <c r="F51" s="667"/>
      <c r="G51" s="667"/>
      <c r="H51" s="667"/>
      <c r="K51" t="s">
        <v>1159</v>
      </c>
      <c r="R51" t="s">
        <v>1141</v>
      </c>
      <c r="AG51" t="s">
        <v>1141</v>
      </c>
      <c r="AV51" t="s">
        <v>1141</v>
      </c>
      <c r="BK51" t="s">
        <v>1141</v>
      </c>
      <c r="BR51" t="s">
        <v>1160</v>
      </c>
      <c r="BS51" s="667"/>
      <c r="BT51" s="667"/>
      <c r="BU51" s="667"/>
      <c r="BV51" s="667"/>
      <c r="BW51" s="667"/>
      <c r="BX51" s="667"/>
    </row>
    <row r="52" spans="2:76" ht="23.25" x14ac:dyDescent="0.25">
      <c r="B52" s="102"/>
      <c r="C52" s="669" t="s">
        <v>1092</v>
      </c>
      <c r="D52" s="669" t="s">
        <v>1093</v>
      </c>
      <c r="E52" s="669" t="s">
        <v>1094</v>
      </c>
      <c r="F52" s="669" t="s">
        <v>1095</v>
      </c>
      <c r="G52" s="669" t="s">
        <v>1096</v>
      </c>
      <c r="H52" s="141" t="s">
        <v>269</v>
      </c>
      <c r="J52" s="102"/>
      <c r="K52" s="625" t="s">
        <v>1092</v>
      </c>
      <c r="L52" s="625" t="s">
        <v>1093</v>
      </c>
      <c r="M52" s="625" t="s">
        <v>1094</v>
      </c>
      <c r="N52" s="625" t="s">
        <v>1095</v>
      </c>
      <c r="O52" s="625" t="s">
        <v>1096</v>
      </c>
      <c r="P52" s="627" t="s">
        <v>269</v>
      </c>
      <c r="Q52" s="102"/>
      <c r="R52" s="625" t="s">
        <v>1092</v>
      </c>
      <c r="S52" s="625" t="s">
        <v>1093</v>
      </c>
      <c r="T52" s="625" t="s">
        <v>1094</v>
      </c>
      <c r="U52" s="625" t="s">
        <v>1095</v>
      </c>
      <c r="V52" s="625" t="s">
        <v>1096</v>
      </c>
      <c r="W52" s="627" t="s">
        <v>269</v>
      </c>
      <c r="Y52" s="102"/>
      <c r="Z52" s="625" t="s">
        <v>1092</v>
      </c>
      <c r="AA52" s="625" t="s">
        <v>1093</v>
      </c>
      <c r="AB52" s="625" t="s">
        <v>1094</v>
      </c>
      <c r="AC52" s="625" t="s">
        <v>1095</v>
      </c>
      <c r="AD52" s="625" t="s">
        <v>1096</v>
      </c>
      <c r="AE52" s="627" t="s">
        <v>269</v>
      </c>
      <c r="AF52" s="102"/>
      <c r="AG52" s="625" t="s">
        <v>1092</v>
      </c>
      <c r="AH52" s="625" t="s">
        <v>1093</v>
      </c>
      <c r="AI52" s="625" t="s">
        <v>1094</v>
      </c>
      <c r="AJ52" s="625" t="s">
        <v>1095</v>
      </c>
      <c r="AK52" s="625" t="s">
        <v>1096</v>
      </c>
      <c r="AL52" s="627" t="s">
        <v>269</v>
      </c>
      <c r="AN52" s="102"/>
      <c r="AO52" s="625" t="s">
        <v>1092</v>
      </c>
      <c r="AP52" s="625" t="s">
        <v>1093</v>
      </c>
      <c r="AQ52" s="625" t="s">
        <v>1094</v>
      </c>
      <c r="AR52" s="625" t="s">
        <v>1095</v>
      </c>
      <c r="AS52" s="625" t="s">
        <v>1096</v>
      </c>
      <c r="AT52" s="627" t="s">
        <v>269</v>
      </c>
      <c r="AU52" s="102"/>
      <c r="AV52" s="625" t="s">
        <v>1092</v>
      </c>
      <c r="AW52" s="625" t="s">
        <v>1093</v>
      </c>
      <c r="AX52" s="625" t="s">
        <v>1094</v>
      </c>
      <c r="AY52" s="625" t="s">
        <v>1095</v>
      </c>
      <c r="AZ52" s="625" t="s">
        <v>1096</v>
      </c>
      <c r="BA52" s="627" t="s">
        <v>269</v>
      </c>
      <c r="BC52" s="102"/>
      <c r="BD52" s="625" t="s">
        <v>1092</v>
      </c>
      <c r="BE52" s="625" t="s">
        <v>1093</v>
      </c>
      <c r="BF52" s="625" t="s">
        <v>1094</v>
      </c>
      <c r="BG52" s="625" t="s">
        <v>1095</v>
      </c>
      <c r="BH52" s="625" t="s">
        <v>1096</v>
      </c>
      <c r="BI52" s="627" t="s">
        <v>269</v>
      </c>
      <c r="BJ52" s="102"/>
      <c r="BK52" s="625" t="s">
        <v>1092</v>
      </c>
      <c r="BL52" s="625" t="s">
        <v>1093</v>
      </c>
      <c r="BM52" s="625" t="s">
        <v>1094</v>
      </c>
      <c r="BN52" s="625" t="s">
        <v>1095</v>
      </c>
      <c r="BO52" s="625" t="s">
        <v>1096</v>
      </c>
      <c r="BP52" s="627" t="s">
        <v>269</v>
      </c>
      <c r="BR52" s="102"/>
      <c r="BS52" s="669" t="s">
        <v>1092</v>
      </c>
      <c r="BT52" s="669" t="s">
        <v>1093</v>
      </c>
      <c r="BU52" s="669" t="s">
        <v>1094</v>
      </c>
      <c r="BV52" s="669" t="s">
        <v>1095</v>
      </c>
      <c r="BW52" s="669" t="s">
        <v>1096</v>
      </c>
      <c r="BX52" s="141" t="s">
        <v>269</v>
      </c>
    </row>
    <row r="53" spans="2:76" x14ac:dyDescent="0.25">
      <c r="B53" s="628" t="s">
        <v>844</v>
      </c>
      <c r="C53" s="669" t="s">
        <v>231</v>
      </c>
      <c r="D53" s="669" t="s">
        <v>231</v>
      </c>
      <c r="E53" s="669" t="s">
        <v>231</v>
      </c>
      <c r="F53" s="669" t="s">
        <v>231</v>
      </c>
      <c r="G53" s="669" t="s">
        <v>231</v>
      </c>
      <c r="H53" s="670" t="s">
        <v>231</v>
      </c>
      <c r="J53" s="628" t="s">
        <v>844</v>
      </c>
      <c r="K53" s="625" t="s">
        <v>231</v>
      </c>
      <c r="L53" s="625" t="s">
        <v>231</v>
      </c>
      <c r="M53" s="625" t="s">
        <v>231</v>
      </c>
      <c r="N53" s="625" t="s">
        <v>231</v>
      </c>
      <c r="O53" s="625" t="s">
        <v>231</v>
      </c>
      <c r="P53" s="626" t="s">
        <v>231</v>
      </c>
      <c r="Q53" s="628"/>
      <c r="R53" s="625" t="s">
        <v>231</v>
      </c>
      <c r="S53" s="625" t="s">
        <v>231</v>
      </c>
      <c r="T53" s="625" t="s">
        <v>231</v>
      </c>
      <c r="U53" s="625" t="s">
        <v>231</v>
      </c>
      <c r="V53" s="625" t="s">
        <v>231</v>
      </c>
      <c r="W53" s="626" t="s">
        <v>231</v>
      </c>
      <c r="Y53" s="628" t="s">
        <v>844</v>
      </c>
      <c r="Z53" s="625" t="s">
        <v>231</v>
      </c>
      <c r="AA53" s="625" t="s">
        <v>231</v>
      </c>
      <c r="AB53" s="625" t="s">
        <v>231</v>
      </c>
      <c r="AC53" s="625" t="s">
        <v>231</v>
      </c>
      <c r="AD53" s="625" t="s">
        <v>231</v>
      </c>
      <c r="AE53" s="626" t="s">
        <v>231</v>
      </c>
      <c r="AF53" s="628"/>
      <c r="AG53" s="625" t="s">
        <v>231</v>
      </c>
      <c r="AH53" s="625" t="s">
        <v>231</v>
      </c>
      <c r="AI53" s="625" t="s">
        <v>231</v>
      </c>
      <c r="AJ53" s="625" t="s">
        <v>231</v>
      </c>
      <c r="AK53" s="625" t="s">
        <v>231</v>
      </c>
      <c r="AL53" s="626" t="s">
        <v>231</v>
      </c>
      <c r="AN53" s="628" t="s">
        <v>844</v>
      </c>
      <c r="AO53" s="625" t="s">
        <v>231</v>
      </c>
      <c r="AP53" s="625" t="s">
        <v>231</v>
      </c>
      <c r="AQ53" s="625" t="s">
        <v>231</v>
      </c>
      <c r="AR53" s="625" t="s">
        <v>231</v>
      </c>
      <c r="AS53" s="625" t="s">
        <v>231</v>
      </c>
      <c r="AT53" s="626" t="s">
        <v>231</v>
      </c>
      <c r="AU53" s="628"/>
      <c r="AV53" s="625" t="s">
        <v>231</v>
      </c>
      <c r="AW53" s="625" t="s">
        <v>231</v>
      </c>
      <c r="AX53" s="625" t="s">
        <v>231</v>
      </c>
      <c r="AY53" s="625" t="s">
        <v>231</v>
      </c>
      <c r="AZ53" s="625" t="s">
        <v>231</v>
      </c>
      <c r="BA53" s="626" t="s">
        <v>231</v>
      </c>
      <c r="BC53" s="628" t="s">
        <v>844</v>
      </c>
      <c r="BD53" s="625" t="s">
        <v>231</v>
      </c>
      <c r="BE53" s="625" t="s">
        <v>231</v>
      </c>
      <c r="BF53" s="625" t="s">
        <v>231</v>
      </c>
      <c r="BG53" s="625" t="s">
        <v>231</v>
      </c>
      <c r="BH53" s="625" t="s">
        <v>231</v>
      </c>
      <c r="BI53" s="626" t="s">
        <v>231</v>
      </c>
      <c r="BJ53" s="628"/>
      <c r="BK53" s="625" t="s">
        <v>231</v>
      </c>
      <c r="BL53" s="625" t="s">
        <v>231</v>
      </c>
      <c r="BM53" s="625" t="s">
        <v>231</v>
      </c>
      <c r="BN53" s="625" t="s">
        <v>231</v>
      </c>
      <c r="BO53" s="625" t="s">
        <v>231</v>
      </c>
      <c r="BP53" s="626" t="s">
        <v>231</v>
      </c>
      <c r="BR53" s="628" t="s">
        <v>844</v>
      </c>
      <c r="BS53" s="669" t="s">
        <v>231</v>
      </c>
      <c r="BT53" s="669" t="s">
        <v>231</v>
      </c>
      <c r="BU53" s="669" t="s">
        <v>231</v>
      </c>
      <c r="BV53" s="669" t="s">
        <v>231</v>
      </c>
      <c r="BW53" s="669" t="s">
        <v>231</v>
      </c>
      <c r="BX53" s="670" t="s">
        <v>231</v>
      </c>
    </row>
    <row r="54" spans="2:76" x14ac:dyDescent="0.25">
      <c r="B54" s="616" t="s">
        <v>847</v>
      </c>
      <c r="C54" s="614">
        <f t="shared" ref="C54:H58" si="22">K54+Z54+AO54</f>
        <v>0</v>
      </c>
      <c r="D54" s="614">
        <f t="shared" si="22"/>
        <v>0</v>
      </c>
      <c r="E54" s="614">
        <f t="shared" si="22"/>
        <v>0</v>
      </c>
      <c r="F54" s="614">
        <f t="shared" si="22"/>
        <v>0</v>
      </c>
      <c r="G54" s="614">
        <f t="shared" si="22"/>
        <v>0</v>
      </c>
      <c r="H54" s="614">
        <f t="shared" si="22"/>
        <v>0</v>
      </c>
      <c r="J54" s="616" t="s">
        <v>847</v>
      </c>
      <c r="K54" s="614">
        <f>Ielas!T456</f>
        <v>0</v>
      </c>
      <c r="L54" s="614">
        <f>Ielas!U456</f>
        <v>0</v>
      </c>
      <c r="M54" s="614">
        <f>Ielas!V456</f>
        <v>0</v>
      </c>
      <c r="N54" s="614">
        <f>Ielas!W456</f>
        <v>0</v>
      </c>
      <c r="O54" s="614">
        <f>Ielas!X456</f>
        <v>0</v>
      </c>
      <c r="P54" s="614">
        <f>Ielas!Y456</f>
        <v>0</v>
      </c>
      <c r="Q54" s="616" t="s">
        <v>847</v>
      </c>
      <c r="R54" s="614">
        <f>Ielas!AA456</f>
        <v>0</v>
      </c>
      <c r="S54" s="614">
        <f>Ielas!AB456</f>
        <v>0</v>
      </c>
      <c r="T54" s="614">
        <f>Ielas!AC456</f>
        <v>0</v>
      </c>
      <c r="U54" s="614">
        <f>Ielas!AD456</f>
        <v>0</v>
      </c>
      <c r="V54" s="614">
        <f>Ielas!AE456</f>
        <v>0</v>
      </c>
      <c r="W54" s="614">
        <f>Ielas!AF456</f>
        <v>0</v>
      </c>
      <c r="Y54" s="616" t="s">
        <v>847</v>
      </c>
      <c r="Z54" s="614"/>
      <c r="AA54" s="614"/>
      <c r="AB54" s="614"/>
      <c r="AC54" s="614"/>
      <c r="AD54" s="614"/>
      <c r="AE54" s="614"/>
      <c r="AF54" s="616" t="s">
        <v>847</v>
      </c>
      <c r="AG54" s="614"/>
      <c r="AH54" s="614"/>
      <c r="AI54" s="614"/>
      <c r="AJ54" s="614"/>
      <c r="AK54" s="614"/>
      <c r="AL54" s="614"/>
      <c r="AN54" s="616" t="s">
        <v>847</v>
      </c>
      <c r="AO54" s="614"/>
      <c r="AP54" s="614"/>
      <c r="AQ54" s="614"/>
      <c r="AR54" s="614"/>
      <c r="AS54" s="614"/>
      <c r="AT54" s="614"/>
      <c r="AU54" s="616" t="s">
        <v>847</v>
      </c>
      <c r="AV54" s="614"/>
      <c r="AW54" s="614"/>
      <c r="AX54" s="614"/>
      <c r="AY54" s="614"/>
      <c r="AZ54" s="614"/>
      <c r="BA54" s="614"/>
      <c r="BC54" s="616" t="s">
        <v>847</v>
      </c>
      <c r="BD54" s="614"/>
      <c r="BE54" s="614"/>
      <c r="BF54" s="614"/>
      <c r="BG54" s="614"/>
      <c r="BH54" s="614"/>
      <c r="BI54" s="614"/>
      <c r="BJ54" s="616" t="s">
        <v>847</v>
      </c>
      <c r="BK54" s="614"/>
      <c r="BL54" s="614"/>
      <c r="BM54" s="614"/>
      <c r="BN54" s="614"/>
      <c r="BO54" s="614"/>
      <c r="BP54" s="614"/>
      <c r="BR54" s="616" t="s">
        <v>847</v>
      </c>
      <c r="BS54" s="614">
        <f t="shared" ref="BS54:BX58" si="23">C54-R54-AG54-AV54</f>
        <v>0</v>
      </c>
      <c r="BT54" s="614">
        <f t="shared" si="23"/>
        <v>0</v>
      </c>
      <c r="BU54" s="614">
        <f t="shared" si="23"/>
        <v>0</v>
      </c>
      <c r="BV54" s="614">
        <f t="shared" si="23"/>
        <v>0</v>
      </c>
      <c r="BW54" s="614">
        <f t="shared" si="23"/>
        <v>0</v>
      </c>
      <c r="BX54" s="614">
        <f t="shared" si="23"/>
        <v>0</v>
      </c>
    </row>
    <row r="55" spans="2:76" x14ac:dyDescent="0.25">
      <c r="B55" s="617" t="s">
        <v>848</v>
      </c>
      <c r="C55" s="614">
        <f t="shared" si="22"/>
        <v>0</v>
      </c>
      <c r="D55" s="614">
        <f t="shared" si="22"/>
        <v>0</v>
      </c>
      <c r="E55" s="614">
        <f t="shared" si="22"/>
        <v>0</v>
      </c>
      <c r="F55" s="614">
        <f t="shared" si="22"/>
        <v>0</v>
      </c>
      <c r="G55" s="614">
        <f t="shared" si="22"/>
        <v>0</v>
      </c>
      <c r="H55" s="614">
        <f t="shared" si="22"/>
        <v>0</v>
      </c>
      <c r="J55" s="617" t="s">
        <v>848</v>
      </c>
      <c r="K55" s="614">
        <f>Ielas!T457</f>
        <v>0</v>
      </c>
      <c r="L55" s="614">
        <f>Ielas!U457</f>
        <v>0</v>
      </c>
      <c r="M55" s="614">
        <f>Ielas!V457</f>
        <v>0</v>
      </c>
      <c r="N55" s="614">
        <f>Ielas!W457</f>
        <v>0</v>
      </c>
      <c r="O55" s="614">
        <f>Ielas!X457</f>
        <v>0</v>
      </c>
      <c r="P55" s="614">
        <f>Ielas!Y457</f>
        <v>0</v>
      </c>
      <c r="Q55" s="617" t="s">
        <v>848</v>
      </c>
      <c r="R55" s="614">
        <f>Ielas!AA457</f>
        <v>0</v>
      </c>
      <c r="S55" s="614">
        <f>Ielas!AB457</f>
        <v>0</v>
      </c>
      <c r="T55" s="614">
        <f>Ielas!AC457</f>
        <v>0</v>
      </c>
      <c r="U55" s="614">
        <f>Ielas!AD457</f>
        <v>0</v>
      </c>
      <c r="V55" s="614">
        <f>Ielas!AE457</f>
        <v>0</v>
      </c>
      <c r="W55" s="614">
        <f>Ielas!AF457</f>
        <v>0</v>
      </c>
      <c r="Y55" s="617" t="s">
        <v>848</v>
      </c>
      <c r="Z55" s="614"/>
      <c r="AA55" s="614"/>
      <c r="AB55" s="614"/>
      <c r="AC55" s="614"/>
      <c r="AD55" s="614"/>
      <c r="AE55" s="614"/>
      <c r="AF55" s="617" t="s">
        <v>848</v>
      </c>
      <c r="AG55" s="614"/>
      <c r="AH55" s="614"/>
      <c r="AI55" s="614"/>
      <c r="AJ55" s="614"/>
      <c r="AK55" s="614"/>
      <c r="AL55" s="614"/>
      <c r="AN55" s="617" t="s">
        <v>848</v>
      </c>
      <c r="AO55" s="614"/>
      <c r="AP55" s="614"/>
      <c r="AQ55" s="614"/>
      <c r="AR55" s="614"/>
      <c r="AS55" s="614"/>
      <c r="AT55" s="614"/>
      <c r="AU55" s="617" t="s">
        <v>848</v>
      </c>
      <c r="AV55" s="614"/>
      <c r="AW55" s="614"/>
      <c r="AX55" s="614"/>
      <c r="AY55" s="614"/>
      <c r="AZ55" s="614"/>
      <c r="BA55" s="614"/>
      <c r="BC55" s="617" t="s">
        <v>848</v>
      </c>
      <c r="BD55" s="614"/>
      <c r="BE55" s="614"/>
      <c r="BF55" s="614"/>
      <c r="BG55" s="614"/>
      <c r="BH55" s="614"/>
      <c r="BI55" s="614"/>
      <c r="BJ55" s="617" t="s">
        <v>848</v>
      </c>
      <c r="BK55" s="614"/>
      <c r="BL55" s="614"/>
      <c r="BM55" s="614"/>
      <c r="BN55" s="614"/>
      <c r="BO55" s="614"/>
      <c r="BP55" s="614"/>
      <c r="BR55" s="617" t="s">
        <v>848</v>
      </c>
      <c r="BS55" s="614">
        <f t="shared" si="23"/>
        <v>0</v>
      </c>
      <c r="BT55" s="614">
        <f t="shared" si="23"/>
        <v>0</v>
      </c>
      <c r="BU55" s="614">
        <f t="shared" si="23"/>
        <v>0</v>
      </c>
      <c r="BV55" s="614">
        <f t="shared" si="23"/>
        <v>0</v>
      </c>
      <c r="BW55" s="614">
        <f t="shared" si="23"/>
        <v>0</v>
      </c>
      <c r="BX55" s="614">
        <f t="shared" si="23"/>
        <v>0</v>
      </c>
    </row>
    <row r="56" spans="2:76" x14ac:dyDescent="0.25">
      <c r="B56" s="615" t="s">
        <v>845</v>
      </c>
      <c r="C56" s="614">
        <f t="shared" si="22"/>
        <v>0</v>
      </c>
      <c r="D56" s="614">
        <f t="shared" si="22"/>
        <v>0</v>
      </c>
      <c r="E56" s="614">
        <f t="shared" si="22"/>
        <v>0</v>
      </c>
      <c r="F56" s="614">
        <f t="shared" si="22"/>
        <v>0</v>
      </c>
      <c r="G56" s="614">
        <f t="shared" si="22"/>
        <v>0</v>
      </c>
      <c r="H56" s="614">
        <f t="shared" si="22"/>
        <v>0</v>
      </c>
      <c r="J56" s="615" t="s">
        <v>845</v>
      </c>
      <c r="K56" s="614">
        <f>Ielas!T458</f>
        <v>0</v>
      </c>
      <c r="L56" s="614">
        <f>Ielas!U458</f>
        <v>0</v>
      </c>
      <c r="M56" s="614">
        <f>Ielas!V458</f>
        <v>0</v>
      </c>
      <c r="N56" s="614">
        <f>Ielas!W458</f>
        <v>0</v>
      </c>
      <c r="O56" s="614">
        <f>Ielas!X458</f>
        <v>0</v>
      </c>
      <c r="P56" s="614">
        <f>Ielas!Y458</f>
        <v>0</v>
      </c>
      <c r="Q56" s="615" t="s">
        <v>845</v>
      </c>
      <c r="R56" s="614">
        <f>Ielas!AA458</f>
        <v>0</v>
      </c>
      <c r="S56" s="614">
        <f>Ielas!AB458</f>
        <v>0</v>
      </c>
      <c r="T56" s="614">
        <f>Ielas!AC458</f>
        <v>0</v>
      </c>
      <c r="U56" s="614">
        <f>Ielas!AD458</f>
        <v>0</v>
      </c>
      <c r="V56" s="614">
        <f>Ielas!AE458</f>
        <v>0</v>
      </c>
      <c r="W56" s="614">
        <f>Ielas!AF458</f>
        <v>0</v>
      </c>
      <c r="Y56" s="615" t="s">
        <v>845</v>
      </c>
      <c r="Z56" s="614"/>
      <c r="AA56" s="614"/>
      <c r="AB56" s="614"/>
      <c r="AC56" s="614"/>
      <c r="AD56" s="614"/>
      <c r="AE56" s="614"/>
      <c r="AF56" s="615" t="s">
        <v>845</v>
      </c>
      <c r="AG56" s="614"/>
      <c r="AH56" s="614"/>
      <c r="AI56" s="614"/>
      <c r="AJ56" s="614"/>
      <c r="AK56" s="614"/>
      <c r="AL56" s="614"/>
      <c r="AN56" s="615" t="s">
        <v>845</v>
      </c>
      <c r="AO56" s="614"/>
      <c r="AP56" s="614"/>
      <c r="AQ56" s="614"/>
      <c r="AR56" s="614"/>
      <c r="AS56" s="614"/>
      <c r="AT56" s="614"/>
      <c r="AU56" s="615" t="s">
        <v>845</v>
      </c>
      <c r="AV56" s="614"/>
      <c r="AW56" s="614"/>
      <c r="AX56" s="614"/>
      <c r="AY56" s="614"/>
      <c r="AZ56" s="614"/>
      <c r="BA56" s="614"/>
      <c r="BC56" s="615" t="s">
        <v>845</v>
      </c>
      <c r="BD56" s="614"/>
      <c r="BE56" s="614"/>
      <c r="BF56" s="614"/>
      <c r="BG56" s="614"/>
      <c r="BH56" s="614"/>
      <c r="BI56" s="614"/>
      <c r="BJ56" s="615" t="s">
        <v>845</v>
      </c>
      <c r="BK56" s="614"/>
      <c r="BL56" s="614"/>
      <c r="BM56" s="614"/>
      <c r="BN56" s="614"/>
      <c r="BO56" s="614"/>
      <c r="BP56" s="614"/>
      <c r="BR56" s="615" t="s">
        <v>845</v>
      </c>
      <c r="BS56" s="614">
        <f t="shared" si="23"/>
        <v>0</v>
      </c>
      <c r="BT56" s="614">
        <f t="shared" si="23"/>
        <v>0</v>
      </c>
      <c r="BU56" s="614">
        <f t="shared" si="23"/>
        <v>0</v>
      </c>
      <c r="BV56" s="614">
        <f t="shared" si="23"/>
        <v>0</v>
      </c>
      <c r="BW56" s="614">
        <f t="shared" si="23"/>
        <v>0</v>
      </c>
      <c r="BX56" s="614">
        <f t="shared" si="23"/>
        <v>0</v>
      </c>
    </row>
    <row r="57" spans="2:76" x14ac:dyDescent="0.25">
      <c r="B57" s="616" t="s">
        <v>846</v>
      </c>
      <c r="C57" s="614">
        <f t="shared" si="22"/>
        <v>1.7730000000000001</v>
      </c>
      <c r="D57" s="614">
        <f t="shared" si="22"/>
        <v>0</v>
      </c>
      <c r="E57" s="614">
        <f t="shared" si="22"/>
        <v>0</v>
      </c>
      <c r="F57" s="614">
        <f t="shared" si="22"/>
        <v>3.149</v>
      </c>
      <c r="G57" s="614">
        <f t="shared" si="22"/>
        <v>0</v>
      </c>
      <c r="H57" s="614">
        <f t="shared" si="22"/>
        <v>4.9220000000000006</v>
      </c>
      <c r="J57" s="616" t="s">
        <v>846</v>
      </c>
      <c r="K57" s="614">
        <f>Ielas!T459</f>
        <v>1.7730000000000001</v>
      </c>
      <c r="L57" s="614">
        <f>Ielas!U459</f>
        <v>0</v>
      </c>
      <c r="M57" s="614">
        <f>Ielas!V459</f>
        <v>0</v>
      </c>
      <c r="N57" s="614">
        <f>Ielas!W459</f>
        <v>3.149</v>
      </c>
      <c r="O57" s="614">
        <f>Ielas!X459</f>
        <v>0</v>
      </c>
      <c r="P57" s="614">
        <f>Ielas!Y459</f>
        <v>4.9220000000000006</v>
      </c>
      <c r="Q57" s="616" t="s">
        <v>846</v>
      </c>
      <c r="R57" s="614">
        <f>Ielas!AA459</f>
        <v>0</v>
      </c>
      <c r="S57" s="614">
        <f>Ielas!AB459</f>
        <v>0</v>
      </c>
      <c r="T57" s="614">
        <f>Ielas!AC459</f>
        <v>0</v>
      </c>
      <c r="U57" s="614">
        <f>Ielas!AD459</f>
        <v>0</v>
      </c>
      <c r="V57" s="614">
        <f>Ielas!AE459</f>
        <v>0</v>
      </c>
      <c r="W57" s="614">
        <f>Ielas!AF459</f>
        <v>0</v>
      </c>
      <c r="Y57" s="616" t="s">
        <v>846</v>
      </c>
      <c r="Z57" s="614"/>
      <c r="AA57" s="614"/>
      <c r="AB57" s="614"/>
      <c r="AC57" s="614"/>
      <c r="AD57" s="614"/>
      <c r="AE57" s="614"/>
      <c r="AF57" s="616" t="s">
        <v>846</v>
      </c>
      <c r="AG57" s="614"/>
      <c r="AH57" s="614"/>
      <c r="AI57" s="614"/>
      <c r="AJ57" s="614"/>
      <c r="AK57" s="614"/>
      <c r="AL57" s="614"/>
      <c r="AN57" s="616" t="s">
        <v>846</v>
      </c>
      <c r="AO57" s="614"/>
      <c r="AP57" s="614"/>
      <c r="AQ57" s="614"/>
      <c r="AR57" s="614"/>
      <c r="AS57" s="614"/>
      <c r="AT57" s="614"/>
      <c r="AU57" s="616" t="s">
        <v>846</v>
      </c>
      <c r="AV57" s="614"/>
      <c r="AW57" s="614"/>
      <c r="AX57" s="614"/>
      <c r="AY57" s="614"/>
      <c r="AZ57" s="614"/>
      <c r="BA57" s="614"/>
      <c r="BC57" s="616" t="s">
        <v>846</v>
      </c>
      <c r="BD57" s="614"/>
      <c r="BE57" s="614"/>
      <c r="BF57" s="614"/>
      <c r="BG57" s="614"/>
      <c r="BH57" s="614"/>
      <c r="BI57" s="614"/>
      <c r="BJ57" s="616" t="s">
        <v>846</v>
      </c>
      <c r="BK57" s="614"/>
      <c r="BL57" s="614"/>
      <c r="BM57" s="614"/>
      <c r="BN57" s="614"/>
      <c r="BO57" s="614"/>
      <c r="BP57" s="614"/>
      <c r="BR57" s="616" t="s">
        <v>846</v>
      </c>
      <c r="BS57" s="614">
        <f t="shared" si="23"/>
        <v>1.7730000000000001</v>
      </c>
      <c r="BT57" s="614">
        <f t="shared" si="23"/>
        <v>0</v>
      </c>
      <c r="BU57" s="614">
        <f t="shared" si="23"/>
        <v>0</v>
      </c>
      <c r="BV57" s="614">
        <f t="shared" si="23"/>
        <v>3.149</v>
      </c>
      <c r="BW57" s="614">
        <f t="shared" si="23"/>
        <v>0</v>
      </c>
      <c r="BX57" s="614">
        <f t="shared" si="23"/>
        <v>4.9220000000000006</v>
      </c>
    </row>
    <row r="58" spans="2:76" x14ac:dyDescent="0.25">
      <c r="C58" s="614">
        <f t="shared" si="22"/>
        <v>1.7730000000000001</v>
      </c>
      <c r="D58" s="614">
        <f t="shared" si="22"/>
        <v>0</v>
      </c>
      <c r="E58" s="614">
        <f t="shared" si="22"/>
        <v>0</v>
      </c>
      <c r="F58" s="614">
        <f t="shared" si="22"/>
        <v>3.149</v>
      </c>
      <c r="G58" s="614">
        <f t="shared" si="22"/>
        <v>0</v>
      </c>
      <c r="H58" s="614">
        <f t="shared" si="22"/>
        <v>4.9220000000000006</v>
      </c>
      <c r="K58" s="614">
        <f>Ielas!T460</f>
        <v>1.7730000000000001</v>
      </c>
      <c r="L58" s="614">
        <f>Ielas!U460</f>
        <v>0</v>
      </c>
      <c r="M58" s="614">
        <f>Ielas!V460</f>
        <v>0</v>
      </c>
      <c r="N58" s="614">
        <f>Ielas!W460</f>
        <v>3.149</v>
      </c>
      <c r="O58" s="614">
        <f>Ielas!X460</f>
        <v>0</v>
      </c>
      <c r="P58" s="614">
        <f>Ielas!Y460</f>
        <v>4.9220000000000006</v>
      </c>
      <c r="R58" s="614">
        <f>Ielas!AA460</f>
        <v>0</v>
      </c>
      <c r="S58" s="614">
        <f>Ielas!AB460</f>
        <v>0</v>
      </c>
      <c r="T58" s="614">
        <f>Ielas!AC460</f>
        <v>0</v>
      </c>
      <c r="U58" s="614">
        <f>Ielas!AD460</f>
        <v>0</v>
      </c>
      <c r="V58" s="614">
        <f>Ielas!AE460</f>
        <v>0</v>
      </c>
      <c r="W58" s="614">
        <f>Ielas!AF460</f>
        <v>0</v>
      </c>
      <c r="Z58" s="614"/>
      <c r="AA58" s="614"/>
      <c r="AB58" s="614"/>
      <c r="AC58" s="614"/>
      <c r="AD58" s="614"/>
      <c r="AE58" s="614"/>
      <c r="AG58" s="614"/>
      <c r="AH58" s="614"/>
      <c r="AI58" s="614"/>
      <c r="AJ58" s="614"/>
      <c r="AK58" s="614"/>
      <c r="AL58" s="614"/>
      <c r="AO58" s="614"/>
      <c r="AP58" s="614"/>
      <c r="AQ58" s="614"/>
      <c r="AR58" s="614"/>
      <c r="AS58" s="614"/>
      <c r="AT58" s="614"/>
      <c r="AV58" s="614"/>
      <c r="AW58" s="614"/>
      <c r="AX58" s="614"/>
      <c r="AY58" s="614"/>
      <c r="AZ58" s="614"/>
      <c r="BA58" s="614"/>
      <c r="BD58" s="614"/>
      <c r="BE58" s="614"/>
      <c r="BF58" s="614"/>
      <c r="BG58" s="614"/>
      <c r="BH58" s="614"/>
      <c r="BI58" s="614"/>
      <c r="BK58" s="614"/>
      <c r="BL58" s="614"/>
      <c r="BM58" s="614"/>
      <c r="BN58" s="614"/>
      <c r="BO58" s="614"/>
      <c r="BP58" s="614"/>
      <c r="BS58" s="614">
        <f t="shared" si="23"/>
        <v>1.7730000000000001</v>
      </c>
      <c r="BT58" s="614">
        <f t="shared" si="23"/>
        <v>0</v>
      </c>
      <c r="BU58" s="614">
        <f t="shared" si="23"/>
        <v>0</v>
      </c>
      <c r="BV58" s="614">
        <f t="shared" si="23"/>
        <v>3.149</v>
      </c>
      <c r="BW58" s="614">
        <f t="shared" si="23"/>
        <v>0</v>
      </c>
      <c r="BX58" s="614">
        <f t="shared" si="23"/>
        <v>4.9220000000000006</v>
      </c>
    </row>
    <row r="59" spans="2:76" x14ac:dyDescent="0.25">
      <c r="C59" s="667"/>
      <c r="D59" s="667"/>
      <c r="E59" s="667"/>
      <c r="F59" s="667"/>
      <c r="G59" s="667"/>
      <c r="H59" s="667"/>
      <c r="BS59" s="667"/>
      <c r="BT59" s="667"/>
      <c r="BU59" s="667"/>
      <c r="BV59" s="667"/>
      <c r="BW59" s="667"/>
      <c r="BX59" s="667"/>
    </row>
    <row r="60" spans="2:76" x14ac:dyDescent="0.25">
      <c r="B60" t="s">
        <v>1163</v>
      </c>
      <c r="C60" s="667"/>
      <c r="D60" s="667"/>
      <c r="E60" s="667"/>
      <c r="F60" s="667"/>
      <c r="G60" s="667"/>
      <c r="H60" s="667"/>
      <c r="K60" t="s">
        <v>1162</v>
      </c>
      <c r="R60" t="s">
        <v>1141</v>
      </c>
      <c r="AG60" t="s">
        <v>1141</v>
      </c>
      <c r="AV60" t="s">
        <v>1141</v>
      </c>
      <c r="BK60" t="s">
        <v>1141</v>
      </c>
      <c r="BR60" t="s">
        <v>1161</v>
      </c>
      <c r="BS60" s="667"/>
      <c r="BT60" s="667"/>
      <c r="BU60" s="667"/>
      <c r="BV60" s="667"/>
      <c r="BW60" s="667"/>
      <c r="BX60" s="667"/>
    </row>
    <row r="61" spans="2:76" ht="23.25" x14ac:dyDescent="0.25">
      <c r="B61" s="102"/>
      <c r="C61" s="669" t="s">
        <v>1092</v>
      </c>
      <c r="D61" s="669" t="s">
        <v>1093</v>
      </c>
      <c r="E61" s="669" t="s">
        <v>1094</v>
      </c>
      <c r="F61" s="669" t="s">
        <v>1095</v>
      </c>
      <c r="G61" s="669" t="s">
        <v>1096</v>
      </c>
      <c r="H61" s="141" t="s">
        <v>269</v>
      </c>
      <c r="J61" s="102"/>
      <c r="K61" s="625" t="s">
        <v>1092</v>
      </c>
      <c r="L61" s="625" t="s">
        <v>1093</v>
      </c>
      <c r="M61" s="625" t="s">
        <v>1094</v>
      </c>
      <c r="N61" s="625" t="s">
        <v>1095</v>
      </c>
      <c r="O61" s="625" t="s">
        <v>1096</v>
      </c>
      <c r="P61" s="627" t="s">
        <v>269</v>
      </c>
      <c r="Q61" s="102"/>
      <c r="R61" s="625" t="s">
        <v>1092</v>
      </c>
      <c r="S61" s="625" t="s">
        <v>1093</v>
      </c>
      <c r="T61" s="625" t="s">
        <v>1094</v>
      </c>
      <c r="U61" s="625" t="s">
        <v>1095</v>
      </c>
      <c r="V61" s="625" t="s">
        <v>1096</v>
      </c>
      <c r="W61" s="627" t="s">
        <v>269</v>
      </c>
      <c r="Y61" s="102"/>
      <c r="Z61" s="625" t="s">
        <v>1092</v>
      </c>
      <c r="AA61" s="625" t="s">
        <v>1093</v>
      </c>
      <c r="AB61" s="625" t="s">
        <v>1094</v>
      </c>
      <c r="AC61" s="625" t="s">
        <v>1095</v>
      </c>
      <c r="AD61" s="625" t="s">
        <v>1096</v>
      </c>
      <c r="AE61" s="627" t="s">
        <v>269</v>
      </c>
      <c r="AF61" s="102"/>
      <c r="AG61" s="625" t="s">
        <v>1092</v>
      </c>
      <c r="AH61" s="625" t="s">
        <v>1093</v>
      </c>
      <c r="AI61" s="625" t="s">
        <v>1094</v>
      </c>
      <c r="AJ61" s="625" t="s">
        <v>1095</v>
      </c>
      <c r="AK61" s="625" t="s">
        <v>1096</v>
      </c>
      <c r="AL61" s="627" t="s">
        <v>269</v>
      </c>
      <c r="AN61" s="102"/>
      <c r="AO61" s="625" t="s">
        <v>1092</v>
      </c>
      <c r="AP61" s="625" t="s">
        <v>1093</v>
      </c>
      <c r="AQ61" s="625" t="s">
        <v>1094</v>
      </c>
      <c r="AR61" s="625" t="s">
        <v>1095</v>
      </c>
      <c r="AS61" s="625" t="s">
        <v>1096</v>
      </c>
      <c r="AT61" s="627" t="s">
        <v>269</v>
      </c>
      <c r="AU61" s="102"/>
      <c r="AV61" s="625" t="s">
        <v>1092</v>
      </c>
      <c r="AW61" s="625" t="s">
        <v>1093</v>
      </c>
      <c r="AX61" s="625" t="s">
        <v>1094</v>
      </c>
      <c r="AY61" s="625" t="s">
        <v>1095</v>
      </c>
      <c r="AZ61" s="625" t="s">
        <v>1096</v>
      </c>
      <c r="BA61" s="627" t="s">
        <v>269</v>
      </c>
      <c r="BC61" s="102"/>
      <c r="BD61" s="625" t="s">
        <v>1092</v>
      </c>
      <c r="BE61" s="625" t="s">
        <v>1093</v>
      </c>
      <c r="BF61" s="625" t="s">
        <v>1094</v>
      </c>
      <c r="BG61" s="625" t="s">
        <v>1095</v>
      </c>
      <c r="BH61" s="625" t="s">
        <v>1096</v>
      </c>
      <c r="BI61" s="627" t="s">
        <v>269</v>
      </c>
      <c r="BJ61" s="102"/>
      <c r="BK61" s="625" t="s">
        <v>1092</v>
      </c>
      <c r="BL61" s="625" t="s">
        <v>1093</v>
      </c>
      <c r="BM61" s="625" t="s">
        <v>1094</v>
      </c>
      <c r="BN61" s="625" t="s">
        <v>1095</v>
      </c>
      <c r="BO61" s="625" t="s">
        <v>1096</v>
      </c>
      <c r="BP61" s="627" t="s">
        <v>269</v>
      </c>
      <c r="BR61" s="102"/>
      <c r="BS61" s="669" t="s">
        <v>1092</v>
      </c>
      <c r="BT61" s="669" t="s">
        <v>1093</v>
      </c>
      <c r="BU61" s="669" t="s">
        <v>1094</v>
      </c>
      <c r="BV61" s="669" t="s">
        <v>1095</v>
      </c>
      <c r="BW61" s="669" t="s">
        <v>1096</v>
      </c>
      <c r="BX61" s="141" t="s">
        <v>269</v>
      </c>
    </row>
    <row r="62" spans="2:76" x14ac:dyDescent="0.25">
      <c r="B62" s="628" t="s">
        <v>844</v>
      </c>
      <c r="C62" s="669" t="s">
        <v>231</v>
      </c>
      <c r="D62" s="669" t="s">
        <v>231</v>
      </c>
      <c r="E62" s="669" t="s">
        <v>231</v>
      </c>
      <c r="F62" s="669" t="s">
        <v>231</v>
      </c>
      <c r="G62" s="669" t="s">
        <v>231</v>
      </c>
      <c r="H62" s="670" t="s">
        <v>231</v>
      </c>
      <c r="J62" s="628" t="s">
        <v>844</v>
      </c>
      <c r="K62" s="625" t="s">
        <v>231</v>
      </c>
      <c r="L62" s="625" t="s">
        <v>231</v>
      </c>
      <c r="M62" s="625" t="s">
        <v>231</v>
      </c>
      <c r="N62" s="625" t="s">
        <v>231</v>
      </c>
      <c r="O62" s="625" t="s">
        <v>231</v>
      </c>
      <c r="P62" s="626" t="s">
        <v>231</v>
      </c>
      <c r="Q62" s="628"/>
      <c r="R62" s="625" t="s">
        <v>231</v>
      </c>
      <c r="S62" s="625" t="s">
        <v>231</v>
      </c>
      <c r="T62" s="625" t="s">
        <v>231</v>
      </c>
      <c r="U62" s="625" t="s">
        <v>231</v>
      </c>
      <c r="V62" s="625" t="s">
        <v>231</v>
      </c>
      <c r="W62" s="626" t="s">
        <v>231</v>
      </c>
      <c r="Y62" s="628" t="s">
        <v>844</v>
      </c>
      <c r="Z62" s="625" t="s">
        <v>231</v>
      </c>
      <c r="AA62" s="625" t="s">
        <v>231</v>
      </c>
      <c r="AB62" s="625" t="s">
        <v>231</v>
      </c>
      <c r="AC62" s="625" t="s">
        <v>231</v>
      </c>
      <c r="AD62" s="625" t="s">
        <v>231</v>
      </c>
      <c r="AE62" s="626" t="s">
        <v>231</v>
      </c>
      <c r="AF62" s="628"/>
      <c r="AG62" s="625" t="s">
        <v>231</v>
      </c>
      <c r="AH62" s="625" t="s">
        <v>231</v>
      </c>
      <c r="AI62" s="625" t="s">
        <v>231</v>
      </c>
      <c r="AJ62" s="625" t="s">
        <v>231</v>
      </c>
      <c r="AK62" s="625" t="s">
        <v>231</v>
      </c>
      <c r="AL62" s="626" t="s">
        <v>231</v>
      </c>
      <c r="AN62" s="628" t="s">
        <v>844</v>
      </c>
      <c r="AO62" s="625" t="s">
        <v>231</v>
      </c>
      <c r="AP62" s="625" t="s">
        <v>231</v>
      </c>
      <c r="AQ62" s="625" t="s">
        <v>231</v>
      </c>
      <c r="AR62" s="625" t="s">
        <v>231</v>
      </c>
      <c r="AS62" s="625" t="s">
        <v>231</v>
      </c>
      <c r="AT62" s="626" t="s">
        <v>231</v>
      </c>
      <c r="AU62" s="628"/>
      <c r="AV62" s="625" t="s">
        <v>231</v>
      </c>
      <c r="AW62" s="625" t="s">
        <v>231</v>
      </c>
      <c r="AX62" s="625" t="s">
        <v>231</v>
      </c>
      <c r="AY62" s="625" t="s">
        <v>231</v>
      </c>
      <c r="AZ62" s="625" t="s">
        <v>231</v>
      </c>
      <c r="BA62" s="626" t="s">
        <v>231</v>
      </c>
      <c r="BC62" s="628" t="s">
        <v>844</v>
      </c>
      <c r="BD62" s="625" t="s">
        <v>231</v>
      </c>
      <c r="BE62" s="625" t="s">
        <v>231</v>
      </c>
      <c r="BF62" s="625" t="s">
        <v>231</v>
      </c>
      <c r="BG62" s="625" t="s">
        <v>231</v>
      </c>
      <c r="BH62" s="625" t="s">
        <v>231</v>
      </c>
      <c r="BI62" s="626" t="s">
        <v>231</v>
      </c>
      <c r="BJ62" s="628"/>
      <c r="BK62" s="625" t="s">
        <v>231</v>
      </c>
      <c r="BL62" s="625" t="s">
        <v>231</v>
      </c>
      <c r="BM62" s="625" t="s">
        <v>231</v>
      </c>
      <c r="BN62" s="625" t="s">
        <v>231</v>
      </c>
      <c r="BO62" s="625" t="s">
        <v>231</v>
      </c>
      <c r="BP62" s="626" t="s">
        <v>231</v>
      </c>
      <c r="BR62" s="628" t="s">
        <v>844</v>
      </c>
      <c r="BS62" s="669" t="s">
        <v>231</v>
      </c>
      <c r="BT62" s="669" t="s">
        <v>231</v>
      </c>
      <c r="BU62" s="669" t="s">
        <v>231</v>
      </c>
      <c r="BV62" s="669" t="s">
        <v>231</v>
      </c>
      <c r="BW62" s="669" t="s">
        <v>231</v>
      </c>
      <c r="BX62" s="670" t="s">
        <v>231</v>
      </c>
    </row>
    <row r="63" spans="2:76" x14ac:dyDescent="0.25">
      <c r="B63" s="616" t="s">
        <v>847</v>
      </c>
      <c r="C63" s="614">
        <f t="shared" ref="C63:H67" si="24">K63+Z63+AO63</f>
        <v>0</v>
      </c>
      <c r="D63" s="614">
        <f t="shared" si="24"/>
        <v>0</v>
      </c>
      <c r="E63" s="614">
        <f t="shared" si="24"/>
        <v>0</v>
      </c>
      <c r="F63" s="614">
        <f t="shared" si="24"/>
        <v>0</v>
      </c>
      <c r="G63" s="614">
        <f t="shared" si="24"/>
        <v>0</v>
      </c>
      <c r="H63" s="614">
        <f t="shared" si="24"/>
        <v>0</v>
      </c>
      <c r="J63" s="616" t="s">
        <v>847</v>
      </c>
      <c r="K63" s="614">
        <f>Ielas!T498</f>
        <v>0</v>
      </c>
      <c r="L63" s="614">
        <f>Ielas!U498</f>
        <v>0</v>
      </c>
      <c r="M63" s="614">
        <f>Ielas!V498</f>
        <v>0</v>
      </c>
      <c r="N63" s="614">
        <f>Ielas!W498</f>
        <v>0</v>
      </c>
      <c r="O63" s="614">
        <f>Ielas!X498</f>
        <v>0</v>
      </c>
      <c r="P63" s="614">
        <f>Ielas!Y498</f>
        <v>0</v>
      </c>
      <c r="Q63" s="616" t="s">
        <v>847</v>
      </c>
      <c r="R63" s="614">
        <f>Ielas!AA498</f>
        <v>0</v>
      </c>
      <c r="S63" s="614">
        <f>Ielas!AB498</f>
        <v>0</v>
      </c>
      <c r="T63" s="614">
        <f>Ielas!AC498</f>
        <v>0</v>
      </c>
      <c r="U63" s="614">
        <f>Ielas!AD498</f>
        <v>0</v>
      </c>
      <c r="V63" s="614">
        <f>Ielas!AE498</f>
        <v>0</v>
      </c>
      <c r="W63" s="614">
        <f>Ielas!AF498</f>
        <v>0</v>
      </c>
      <c r="Y63" s="616" t="s">
        <v>847</v>
      </c>
      <c r="Z63" s="614"/>
      <c r="AA63" s="614"/>
      <c r="AB63" s="614"/>
      <c r="AC63" s="614"/>
      <c r="AD63" s="614"/>
      <c r="AE63" s="614"/>
      <c r="AF63" s="616" t="s">
        <v>847</v>
      </c>
      <c r="AG63" s="614"/>
      <c r="AH63" s="614"/>
      <c r="AI63" s="614"/>
      <c r="AJ63" s="614"/>
      <c r="AK63" s="614"/>
      <c r="AL63" s="614"/>
      <c r="AN63" s="616" t="s">
        <v>847</v>
      </c>
      <c r="AO63" s="614"/>
      <c r="AP63" s="614"/>
      <c r="AQ63" s="614"/>
      <c r="AR63" s="614"/>
      <c r="AS63" s="614"/>
      <c r="AT63" s="614"/>
      <c r="AU63" s="616" t="s">
        <v>847</v>
      </c>
      <c r="AV63" s="614"/>
      <c r="AW63" s="614"/>
      <c r="AX63" s="614"/>
      <c r="AY63" s="614"/>
      <c r="AZ63" s="614"/>
      <c r="BA63" s="614"/>
      <c r="BC63" s="616" t="s">
        <v>847</v>
      </c>
      <c r="BD63" s="614"/>
      <c r="BE63" s="614"/>
      <c r="BF63" s="614"/>
      <c r="BG63" s="614"/>
      <c r="BH63" s="614"/>
      <c r="BI63" s="614"/>
      <c r="BJ63" s="616" t="s">
        <v>847</v>
      </c>
      <c r="BK63" s="614"/>
      <c r="BL63" s="614"/>
      <c r="BM63" s="614"/>
      <c r="BN63" s="614"/>
      <c r="BO63" s="614"/>
      <c r="BP63" s="614"/>
      <c r="BR63" s="616" t="s">
        <v>847</v>
      </c>
      <c r="BS63" s="614">
        <f t="shared" ref="BS63:BX67" si="25">C63-R63-AG63-AV63</f>
        <v>0</v>
      </c>
      <c r="BT63" s="614">
        <f t="shared" si="25"/>
        <v>0</v>
      </c>
      <c r="BU63" s="614">
        <f t="shared" si="25"/>
        <v>0</v>
      </c>
      <c r="BV63" s="614">
        <f t="shared" si="25"/>
        <v>0</v>
      </c>
      <c r="BW63" s="614">
        <f t="shared" si="25"/>
        <v>0</v>
      </c>
      <c r="BX63" s="614">
        <f t="shared" si="25"/>
        <v>0</v>
      </c>
    </row>
    <row r="64" spans="2:76" x14ac:dyDescent="0.25">
      <c r="B64" s="617" t="s">
        <v>848</v>
      </c>
      <c r="C64" s="614">
        <f t="shared" si="24"/>
        <v>0</v>
      </c>
      <c r="D64" s="614">
        <f t="shared" si="24"/>
        <v>0</v>
      </c>
      <c r="E64" s="614">
        <f t="shared" si="24"/>
        <v>0</v>
      </c>
      <c r="F64" s="614">
        <f t="shared" si="24"/>
        <v>0</v>
      </c>
      <c r="G64" s="614">
        <f t="shared" si="24"/>
        <v>0</v>
      </c>
      <c r="H64" s="614">
        <f t="shared" si="24"/>
        <v>0</v>
      </c>
      <c r="J64" s="617" t="s">
        <v>848</v>
      </c>
      <c r="K64" s="614">
        <f>Ielas!T499</f>
        <v>0</v>
      </c>
      <c r="L64" s="614">
        <f>Ielas!U499</f>
        <v>0</v>
      </c>
      <c r="M64" s="614">
        <f>Ielas!V499</f>
        <v>0</v>
      </c>
      <c r="N64" s="614">
        <f>Ielas!W499</f>
        <v>0</v>
      </c>
      <c r="O64" s="614">
        <f>Ielas!X499</f>
        <v>0</v>
      </c>
      <c r="P64" s="614">
        <f>Ielas!Y499</f>
        <v>0</v>
      </c>
      <c r="Q64" s="617" t="s">
        <v>848</v>
      </c>
      <c r="R64" s="614">
        <f>Ielas!AA499</f>
        <v>0</v>
      </c>
      <c r="S64" s="614">
        <f>Ielas!AB499</f>
        <v>0</v>
      </c>
      <c r="T64" s="614">
        <f>Ielas!AC499</f>
        <v>0</v>
      </c>
      <c r="U64" s="614">
        <f>Ielas!AD499</f>
        <v>0</v>
      </c>
      <c r="V64" s="614">
        <f>Ielas!AE499</f>
        <v>0</v>
      </c>
      <c r="W64" s="614">
        <f>Ielas!AF499</f>
        <v>0</v>
      </c>
      <c r="Y64" s="617" t="s">
        <v>848</v>
      </c>
      <c r="Z64" s="614"/>
      <c r="AA64" s="614"/>
      <c r="AB64" s="614"/>
      <c r="AC64" s="614"/>
      <c r="AD64" s="614"/>
      <c r="AE64" s="614"/>
      <c r="AF64" s="617" t="s">
        <v>848</v>
      </c>
      <c r="AG64" s="614"/>
      <c r="AH64" s="614"/>
      <c r="AI64" s="614"/>
      <c r="AJ64" s="614"/>
      <c r="AK64" s="614"/>
      <c r="AL64" s="614"/>
      <c r="AN64" s="617" t="s">
        <v>848</v>
      </c>
      <c r="AO64" s="614"/>
      <c r="AP64" s="614"/>
      <c r="AQ64" s="614"/>
      <c r="AR64" s="614"/>
      <c r="AS64" s="614"/>
      <c r="AT64" s="614"/>
      <c r="AU64" s="617" t="s">
        <v>848</v>
      </c>
      <c r="AV64" s="614"/>
      <c r="AW64" s="614"/>
      <c r="AX64" s="614"/>
      <c r="AY64" s="614"/>
      <c r="AZ64" s="614"/>
      <c r="BA64" s="614"/>
      <c r="BC64" s="617" t="s">
        <v>848</v>
      </c>
      <c r="BD64" s="614"/>
      <c r="BE64" s="614"/>
      <c r="BF64" s="614"/>
      <c r="BG64" s="614"/>
      <c r="BH64" s="614"/>
      <c r="BI64" s="614"/>
      <c r="BJ64" s="617" t="s">
        <v>848</v>
      </c>
      <c r="BK64" s="614"/>
      <c r="BL64" s="614"/>
      <c r="BM64" s="614"/>
      <c r="BN64" s="614"/>
      <c r="BO64" s="614"/>
      <c r="BP64" s="614"/>
      <c r="BR64" s="617" t="s">
        <v>848</v>
      </c>
      <c r="BS64" s="614">
        <f t="shared" si="25"/>
        <v>0</v>
      </c>
      <c r="BT64" s="614">
        <f t="shared" si="25"/>
        <v>0</v>
      </c>
      <c r="BU64" s="614">
        <f t="shared" si="25"/>
        <v>0</v>
      </c>
      <c r="BV64" s="614">
        <f t="shared" si="25"/>
        <v>0</v>
      </c>
      <c r="BW64" s="614">
        <f t="shared" si="25"/>
        <v>0</v>
      </c>
      <c r="BX64" s="614">
        <f t="shared" si="25"/>
        <v>0</v>
      </c>
    </row>
    <row r="65" spans="2:76" x14ac:dyDescent="0.25">
      <c r="B65" s="615" t="s">
        <v>845</v>
      </c>
      <c r="C65" s="614">
        <f t="shared" si="24"/>
        <v>0</v>
      </c>
      <c r="D65" s="614">
        <f t="shared" si="24"/>
        <v>0</v>
      </c>
      <c r="E65" s="614">
        <f t="shared" si="24"/>
        <v>0</v>
      </c>
      <c r="F65" s="614">
        <f t="shared" si="24"/>
        <v>0</v>
      </c>
      <c r="G65" s="614">
        <f t="shared" si="24"/>
        <v>0</v>
      </c>
      <c r="H65" s="614">
        <f t="shared" si="24"/>
        <v>0</v>
      </c>
      <c r="J65" s="615" t="s">
        <v>845</v>
      </c>
      <c r="K65" s="614">
        <f>Ielas!T500</f>
        <v>0</v>
      </c>
      <c r="L65" s="614">
        <f>Ielas!U500</f>
        <v>0</v>
      </c>
      <c r="M65" s="614">
        <f>Ielas!V500</f>
        <v>0</v>
      </c>
      <c r="N65" s="614">
        <f>Ielas!W500</f>
        <v>0</v>
      </c>
      <c r="O65" s="614">
        <f>Ielas!X500</f>
        <v>0</v>
      </c>
      <c r="P65" s="614">
        <f>Ielas!Y500</f>
        <v>0</v>
      </c>
      <c r="Q65" s="615" t="s">
        <v>845</v>
      </c>
      <c r="R65" s="614">
        <f>Ielas!AA500</f>
        <v>0</v>
      </c>
      <c r="S65" s="614">
        <f>Ielas!AB500</f>
        <v>0</v>
      </c>
      <c r="T65" s="614">
        <f>Ielas!AC500</f>
        <v>0</v>
      </c>
      <c r="U65" s="614">
        <f>Ielas!AD500</f>
        <v>0</v>
      </c>
      <c r="V65" s="614">
        <f>Ielas!AE500</f>
        <v>0</v>
      </c>
      <c r="W65" s="614">
        <f>Ielas!AF500</f>
        <v>0</v>
      </c>
      <c r="Y65" s="615" t="s">
        <v>845</v>
      </c>
      <c r="Z65" s="614"/>
      <c r="AA65" s="614"/>
      <c r="AB65" s="614"/>
      <c r="AC65" s="614"/>
      <c r="AD65" s="614"/>
      <c r="AE65" s="614"/>
      <c r="AF65" s="615" t="s">
        <v>845</v>
      </c>
      <c r="AG65" s="614"/>
      <c r="AH65" s="614"/>
      <c r="AI65" s="614"/>
      <c r="AJ65" s="614"/>
      <c r="AK65" s="614"/>
      <c r="AL65" s="614"/>
      <c r="AN65" s="615" t="s">
        <v>845</v>
      </c>
      <c r="AO65" s="614"/>
      <c r="AP65" s="614"/>
      <c r="AQ65" s="614"/>
      <c r="AR65" s="614"/>
      <c r="AS65" s="614"/>
      <c r="AT65" s="614"/>
      <c r="AU65" s="615" t="s">
        <v>845</v>
      </c>
      <c r="AV65" s="614"/>
      <c r="AW65" s="614"/>
      <c r="AX65" s="614"/>
      <c r="AY65" s="614"/>
      <c r="AZ65" s="614"/>
      <c r="BA65" s="614"/>
      <c r="BC65" s="615" t="s">
        <v>845</v>
      </c>
      <c r="BD65" s="614"/>
      <c r="BE65" s="614"/>
      <c r="BF65" s="614"/>
      <c r="BG65" s="614"/>
      <c r="BH65" s="614"/>
      <c r="BI65" s="614"/>
      <c r="BJ65" s="615" t="s">
        <v>845</v>
      </c>
      <c r="BK65" s="614"/>
      <c r="BL65" s="614"/>
      <c r="BM65" s="614"/>
      <c r="BN65" s="614"/>
      <c r="BO65" s="614"/>
      <c r="BP65" s="614"/>
      <c r="BR65" s="615" t="s">
        <v>845</v>
      </c>
      <c r="BS65" s="614">
        <f t="shared" si="25"/>
        <v>0</v>
      </c>
      <c r="BT65" s="614">
        <f t="shared" si="25"/>
        <v>0</v>
      </c>
      <c r="BU65" s="614">
        <f t="shared" si="25"/>
        <v>0</v>
      </c>
      <c r="BV65" s="614">
        <f t="shared" si="25"/>
        <v>0</v>
      </c>
      <c r="BW65" s="614">
        <f t="shared" si="25"/>
        <v>0</v>
      </c>
      <c r="BX65" s="614">
        <f t="shared" si="25"/>
        <v>0</v>
      </c>
    </row>
    <row r="66" spans="2:76" x14ac:dyDescent="0.25">
      <c r="B66" s="616" t="s">
        <v>846</v>
      </c>
      <c r="C66" s="614">
        <f t="shared" si="24"/>
        <v>0</v>
      </c>
      <c r="D66" s="614">
        <f t="shared" si="24"/>
        <v>0</v>
      </c>
      <c r="E66" s="614">
        <f t="shared" si="24"/>
        <v>0</v>
      </c>
      <c r="F66" s="614">
        <f t="shared" si="24"/>
        <v>6.4649999999999981</v>
      </c>
      <c r="G66" s="614">
        <f t="shared" si="24"/>
        <v>0.25</v>
      </c>
      <c r="H66" s="614">
        <f t="shared" si="24"/>
        <v>6.7149999999999981</v>
      </c>
      <c r="J66" s="616" t="s">
        <v>846</v>
      </c>
      <c r="K66" s="614">
        <f>Ielas!T501</f>
        <v>0</v>
      </c>
      <c r="L66" s="614">
        <f>Ielas!U501</f>
        <v>0</v>
      </c>
      <c r="M66" s="614">
        <f>Ielas!V501</f>
        <v>0</v>
      </c>
      <c r="N66" s="614">
        <f>Ielas!W501</f>
        <v>6.4649999999999981</v>
      </c>
      <c r="O66" s="614">
        <f>Ielas!X501</f>
        <v>0.25</v>
      </c>
      <c r="P66" s="614">
        <f>Ielas!Y501</f>
        <v>6.7149999999999981</v>
      </c>
      <c r="Q66" s="616" t="s">
        <v>846</v>
      </c>
      <c r="R66" s="614">
        <f>Ielas!AA501</f>
        <v>0</v>
      </c>
      <c r="S66" s="614">
        <f>Ielas!AB501</f>
        <v>0</v>
      </c>
      <c r="T66" s="614">
        <f>Ielas!AC501</f>
        <v>0</v>
      </c>
      <c r="U66" s="614">
        <f>Ielas!AD501</f>
        <v>0</v>
      </c>
      <c r="V66" s="614">
        <f>Ielas!AE501</f>
        <v>0</v>
      </c>
      <c r="W66" s="614">
        <f>Ielas!AF501</f>
        <v>0</v>
      </c>
      <c r="Y66" s="616" t="s">
        <v>846</v>
      </c>
      <c r="Z66" s="614"/>
      <c r="AA66" s="614"/>
      <c r="AB66" s="614"/>
      <c r="AC66" s="614"/>
      <c r="AD66" s="614"/>
      <c r="AE66" s="614"/>
      <c r="AF66" s="616" t="s">
        <v>846</v>
      </c>
      <c r="AG66" s="614"/>
      <c r="AH66" s="614"/>
      <c r="AI66" s="614"/>
      <c r="AJ66" s="614"/>
      <c r="AK66" s="614"/>
      <c r="AL66" s="614"/>
      <c r="AN66" s="616" t="s">
        <v>846</v>
      </c>
      <c r="AO66" s="614"/>
      <c r="AP66" s="614"/>
      <c r="AQ66" s="614"/>
      <c r="AR66" s="614"/>
      <c r="AS66" s="614"/>
      <c r="AT66" s="614"/>
      <c r="AU66" s="616" t="s">
        <v>846</v>
      </c>
      <c r="AV66" s="614"/>
      <c r="AW66" s="614"/>
      <c r="AX66" s="614"/>
      <c r="AY66" s="614"/>
      <c r="AZ66" s="614"/>
      <c r="BA66" s="614"/>
      <c r="BC66" s="616" t="s">
        <v>846</v>
      </c>
      <c r="BD66" s="614"/>
      <c r="BE66" s="614"/>
      <c r="BF66" s="614"/>
      <c r="BG66" s="614"/>
      <c r="BH66" s="614"/>
      <c r="BI66" s="614"/>
      <c r="BJ66" s="616" t="s">
        <v>846</v>
      </c>
      <c r="BK66" s="614"/>
      <c r="BL66" s="614"/>
      <c r="BM66" s="614"/>
      <c r="BN66" s="614"/>
      <c r="BO66" s="614"/>
      <c r="BP66" s="614"/>
      <c r="BR66" s="616" t="s">
        <v>846</v>
      </c>
      <c r="BS66" s="614">
        <f t="shared" si="25"/>
        <v>0</v>
      </c>
      <c r="BT66" s="614">
        <f t="shared" si="25"/>
        <v>0</v>
      </c>
      <c r="BU66" s="614">
        <f t="shared" si="25"/>
        <v>0</v>
      </c>
      <c r="BV66" s="614">
        <f t="shared" si="25"/>
        <v>6.4649999999999981</v>
      </c>
      <c r="BW66" s="614">
        <f t="shared" si="25"/>
        <v>0.25</v>
      </c>
      <c r="BX66" s="614">
        <f t="shared" si="25"/>
        <v>6.7149999999999981</v>
      </c>
    </row>
    <row r="67" spans="2:76" x14ac:dyDescent="0.25">
      <c r="C67" s="614">
        <f t="shared" si="24"/>
        <v>0</v>
      </c>
      <c r="D67" s="614">
        <f t="shared" si="24"/>
        <v>0</v>
      </c>
      <c r="E67" s="614">
        <f t="shared" si="24"/>
        <v>0</v>
      </c>
      <c r="F67" s="614">
        <f t="shared" si="24"/>
        <v>6.4649999999999981</v>
      </c>
      <c r="G67" s="614">
        <f t="shared" si="24"/>
        <v>0.25</v>
      </c>
      <c r="H67" s="614">
        <f t="shared" si="24"/>
        <v>6.7149999999999981</v>
      </c>
      <c r="K67" s="614">
        <f>Ielas!T502</f>
        <v>0</v>
      </c>
      <c r="L67" s="614">
        <f>Ielas!U502</f>
        <v>0</v>
      </c>
      <c r="M67" s="614">
        <f>Ielas!V502</f>
        <v>0</v>
      </c>
      <c r="N67" s="614">
        <f>Ielas!W502</f>
        <v>6.4649999999999981</v>
      </c>
      <c r="O67" s="614">
        <f>Ielas!X502</f>
        <v>0.25</v>
      </c>
      <c r="P67" s="614">
        <f>Ielas!Y502</f>
        <v>6.7149999999999981</v>
      </c>
      <c r="R67" s="614">
        <f>Ielas!AA502</f>
        <v>0</v>
      </c>
      <c r="S67" s="614">
        <f>Ielas!AB502</f>
        <v>0</v>
      </c>
      <c r="T67" s="614">
        <f>Ielas!AC502</f>
        <v>0</v>
      </c>
      <c r="U67" s="614">
        <f>Ielas!AD502</f>
        <v>0</v>
      </c>
      <c r="V67" s="614">
        <f>Ielas!AE502</f>
        <v>0</v>
      </c>
      <c r="W67" s="614">
        <f>Ielas!AF502</f>
        <v>0</v>
      </c>
      <c r="Z67" s="614"/>
      <c r="AA67" s="614"/>
      <c r="AB67" s="614"/>
      <c r="AC67" s="614"/>
      <c r="AD67" s="614"/>
      <c r="AE67" s="614"/>
      <c r="AG67" s="614"/>
      <c r="AH67" s="614"/>
      <c r="AI67" s="614"/>
      <c r="AJ67" s="614"/>
      <c r="AK67" s="614"/>
      <c r="AL67" s="614"/>
      <c r="AO67" s="614"/>
      <c r="AP67" s="614"/>
      <c r="AQ67" s="614"/>
      <c r="AR67" s="614"/>
      <c r="AS67" s="614"/>
      <c r="AT67" s="614"/>
      <c r="AV67" s="614"/>
      <c r="AW67" s="614"/>
      <c r="AX67" s="614"/>
      <c r="AY67" s="614"/>
      <c r="AZ67" s="614"/>
      <c r="BA67" s="614"/>
      <c r="BD67" s="614"/>
      <c r="BE67" s="614"/>
      <c r="BF67" s="614"/>
      <c r="BG67" s="614"/>
      <c r="BH67" s="614"/>
      <c r="BI67" s="614"/>
      <c r="BK67" s="614"/>
      <c r="BL67" s="614"/>
      <c r="BM67" s="614"/>
      <c r="BN67" s="614"/>
      <c r="BO67" s="614"/>
      <c r="BP67" s="614"/>
      <c r="BS67" s="614">
        <f t="shared" si="25"/>
        <v>0</v>
      </c>
      <c r="BT67" s="614">
        <f t="shared" si="25"/>
        <v>0</v>
      </c>
      <c r="BU67" s="614">
        <f t="shared" si="25"/>
        <v>0</v>
      </c>
      <c r="BV67" s="614">
        <f t="shared" si="25"/>
        <v>6.4649999999999981</v>
      </c>
      <c r="BW67" s="614">
        <f t="shared" si="25"/>
        <v>0.25</v>
      </c>
      <c r="BX67" s="614">
        <f t="shared" si="25"/>
        <v>6.7149999999999981</v>
      </c>
    </row>
    <row r="68" spans="2:76" x14ac:dyDescent="0.25">
      <c r="C68" s="667"/>
      <c r="D68" s="667"/>
      <c r="E68" s="667"/>
      <c r="F68" s="667"/>
      <c r="G68" s="667"/>
      <c r="H68" s="667"/>
      <c r="BS68" s="667"/>
      <c r="BT68" s="667"/>
      <c r="BU68" s="667"/>
      <c r="BV68" s="667"/>
      <c r="BW68" s="667"/>
      <c r="BX68" s="667"/>
    </row>
    <row r="69" spans="2:76" x14ac:dyDescent="0.25">
      <c r="B69" t="s">
        <v>1164</v>
      </c>
      <c r="C69" s="667"/>
      <c r="D69" s="667"/>
      <c r="E69" s="667"/>
      <c r="F69" s="667"/>
      <c r="G69" s="667"/>
      <c r="H69" s="667"/>
      <c r="K69" t="s">
        <v>1165</v>
      </c>
      <c r="R69" t="s">
        <v>1141</v>
      </c>
      <c r="AG69" t="s">
        <v>1141</v>
      </c>
      <c r="AV69" t="s">
        <v>1141</v>
      </c>
      <c r="BK69" t="s">
        <v>1141</v>
      </c>
      <c r="BR69" t="s">
        <v>1166</v>
      </c>
      <c r="BS69" s="667"/>
      <c r="BT69" s="667"/>
      <c r="BU69" s="667"/>
      <c r="BV69" s="667"/>
      <c r="BW69" s="667"/>
      <c r="BX69" s="667"/>
    </row>
    <row r="70" spans="2:76" ht="23.25" x14ac:dyDescent="0.25">
      <c r="B70" s="102"/>
      <c r="C70" s="669" t="s">
        <v>1092</v>
      </c>
      <c r="D70" s="669" t="s">
        <v>1093</v>
      </c>
      <c r="E70" s="669" t="s">
        <v>1094</v>
      </c>
      <c r="F70" s="669" t="s">
        <v>1095</v>
      </c>
      <c r="G70" s="669" t="s">
        <v>1096</v>
      </c>
      <c r="H70" s="141" t="s">
        <v>269</v>
      </c>
      <c r="J70" s="102"/>
      <c r="K70" s="625" t="s">
        <v>1092</v>
      </c>
      <c r="L70" s="625" t="s">
        <v>1093</v>
      </c>
      <c r="M70" s="625" t="s">
        <v>1094</v>
      </c>
      <c r="N70" s="625" t="s">
        <v>1095</v>
      </c>
      <c r="O70" s="625" t="s">
        <v>1096</v>
      </c>
      <c r="P70" s="627" t="s">
        <v>269</v>
      </c>
      <c r="Q70" s="102"/>
      <c r="R70" s="625" t="s">
        <v>1092</v>
      </c>
      <c r="S70" s="625" t="s">
        <v>1093</v>
      </c>
      <c r="T70" s="625" t="s">
        <v>1094</v>
      </c>
      <c r="U70" s="625" t="s">
        <v>1095</v>
      </c>
      <c r="V70" s="625" t="s">
        <v>1096</v>
      </c>
      <c r="W70" s="627" t="s">
        <v>269</v>
      </c>
      <c r="Y70" s="102"/>
      <c r="Z70" s="625" t="s">
        <v>1092</v>
      </c>
      <c r="AA70" s="625" t="s">
        <v>1093</v>
      </c>
      <c r="AB70" s="625" t="s">
        <v>1094</v>
      </c>
      <c r="AC70" s="625" t="s">
        <v>1095</v>
      </c>
      <c r="AD70" s="625" t="s">
        <v>1096</v>
      </c>
      <c r="AE70" s="627" t="s">
        <v>269</v>
      </c>
      <c r="AF70" s="102"/>
      <c r="AG70" s="625" t="s">
        <v>1092</v>
      </c>
      <c r="AH70" s="625" t="s">
        <v>1093</v>
      </c>
      <c r="AI70" s="625" t="s">
        <v>1094</v>
      </c>
      <c r="AJ70" s="625" t="s">
        <v>1095</v>
      </c>
      <c r="AK70" s="625" t="s">
        <v>1096</v>
      </c>
      <c r="AL70" s="627" t="s">
        <v>269</v>
      </c>
      <c r="AN70" s="102"/>
      <c r="AO70" s="625" t="s">
        <v>1092</v>
      </c>
      <c r="AP70" s="625" t="s">
        <v>1093</v>
      </c>
      <c r="AQ70" s="625" t="s">
        <v>1094</v>
      </c>
      <c r="AR70" s="625" t="s">
        <v>1095</v>
      </c>
      <c r="AS70" s="625" t="s">
        <v>1096</v>
      </c>
      <c r="AT70" s="627" t="s">
        <v>269</v>
      </c>
      <c r="AU70" s="102"/>
      <c r="AV70" s="625" t="s">
        <v>1092</v>
      </c>
      <c r="AW70" s="625" t="s">
        <v>1093</v>
      </c>
      <c r="AX70" s="625" t="s">
        <v>1094</v>
      </c>
      <c r="AY70" s="625" t="s">
        <v>1095</v>
      </c>
      <c r="AZ70" s="625" t="s">
        <v>1096</v>
      </c>
      <c r="BA70" s="627" t="s">
        <v>269</v>
      </c>
      <c r="BC70" s="102"/>
      <c r="BD70" s="625" t="s">
        <v>1092</v>
      </c>
      <c r="BE70" s="625" t="s">
        <v>1093</v>
      </c>
      <c r="BF70" s="625" t="s">
        <v>1094</v>
      </c>
      <c r="BG70" s="625" t="s">
        <v>1095</v>
      </c>
      <c r="BH70" s="625" t="s">
        <v>1096</v>
      </c>
      <c r="BI70" s="627" t="s">
        <v>269</v>
      </c>
      <c r="BJ70" s="102"/>
      <c r="BK70" s="625" t="s">
        <v>1092</v>
      </c>
      <c r="BL70" s="625" t="s">
        <v>1093</v>
      </c>
      <c r="BM70" s="625" t="s">
        <v>1094</v>
      </c>
      <c r="BN70" s="625" t="s">
        <v>1095</v>
      </c>
      <c r="BO70" s="625" t="s">
        <v>1096</v>
      </c>
      <c r="BP70" s="627" t="s">
        <v>269</v>
      </c>
      <c r="BR70" s="102"/>
      <c r="BS70" s="669" t="s">
        <v>1092</v>
      </c>
      <c r="BT70" s="669" t="s">
        <v>1093</v>
      </c>
      <c r="BU70" s="669" t="s">
        <v>1094</v>
      </c>
      <c r="BV70" s="669" t="s">
        <v>1095</v>
      </c>
      <c r="BW70" s="669" t="s">
        <v>1096</v>
      </c>
      <c r="BX70" s="141" t="s">
        <v>269</v>
      </c>
    </row>
    <row r="71" spans="2:76" x14ac:dyDescent="0.25">
      <c r="B71" s="628" t="s">
        <v>844</v>
      </c>
      <c r="C71" s="669" t="s">
        <v>231</v>
      </c>
      <c r="D71" s="669" t="s">
        <v>231</v>
      </c>
      <c r="E71" s="669" t="s">
        <v>231</v>
      </c>
      <c r="F71" s="669" t="s">
        <v>231</v>
      </c>
      <c r="G71" s="669" t="s">
        <v>231</v>
      </c>
      <c r="H71" s="670" t="s">
        <v>231</v>
      </c>
      <c r="J71" s="628" t="s">
        <v>844</v>
      </c>
      <c r="K71" s="625" t="s">
        <v>231</v>
      </c>
      <c r="L71" s="625" t="s">
        <v>231</v>
      </c>
      <c r="M71" s="625" t="s">
        <v>231</v>
      </c>
      <c r="N71" s="625" t="s">
        <v>231</v>
      </c>
      <c r="O71" s="625" t="s">
        <v>231</v>
      </c>
      <c r="P71" s="626" t="s">
        <v>231</v>
      </c>
      <c r="Q71" s="628"/>
      <c r="R71" s="625" t="s">
        <v>231</v>
      </c>
      <c r="S71" s="625" t="s">
        <v>231</v>
      </c>
      <c r="T71" s="625" t="s">
        <v>231</v>
      </c>
      <c r="U71" s="625" t="s">
        <v>231</v>
      </c>
      <c r="V71" s="625" t="s">
        <v>231</v>
      </c>
      <c r="W71" s="626" t="s">
        <v>231</v>
      </c>
      <c r="Y71" s="628" t="s">
        <v>844</v>
      </c>
      <c r="Z71" s="625" t="s">
        <v>231</v>
      </c>
      <c r="AA71" s="625" t="s">
        <v>231</v>
      </c>
      <c r="AB71" s="625" t="s">
        <v>231</v>
      </c>
      <c r="AC71" s="625" t="s">
        <v>231</v>
      </c>
      <c r="AD71" s="625" t="s">
        <v>231</v>
      </c>
      <c r="AE71" s="626" t="s">
        <v>231</v>
      </c>
      <c r="AF71" s="628"/>
      <c r="AG71" s="625" t="s">
        <v>231</v>
      </c>
      <c r="AH71" s="625" t="s">
        <v>231</v>
      </c>
      <c r="AI71" s="625" t="s">
        <v>231</v>
      </c>
      <c r="AJ71" s="625" t="s">
        <v>231</v>
      </c>
      <c r="AK71" s="625" t="s">
        <v>231</v>
      </c>
      <c r="AL71" s="626" t="s">
        <v>231</v>
      </c>
      <c r="AN71" s="628" t="s">
        <v>844</v>
      </c>
      <c r="AO71" s="625" t="s">
        <v>231</v>
      </c>
      <c r="AP71" s="625" t="s">
        <v>231</v>
      </c>
      <c r="AQ71" s="625" t="s">
        <v>231</v>
      </c>
      <c r="AR71" s="625" t="s">
        <v>231</v>
      </c>
      <c r="AS71" s="625" t="s">
        <v>231</v>
      </c>
      <c r="AT71" s="626" t="s">
        <v>231</v>
      </c>
      <c r="AU71" s="628"/>
      <c r="AV71" s="625" t="s">
        <v>231</v>
      </c>
      <c r="AW71" s="625" t="s">
        <v>231</v>
      </c>
      <c r="AX71" s="625" t="s">
        <v>231</v>
      </c>
      <c r="AY71" s="625" t="s">
        <v>231</v>
      </c>
      <c r="AZ71" s="625" t="s">
        <v>231</v>
      </c>
      <c r="BA71" s="626" t="s">
        <v>231</v>
      </c>
      <c r="BC71" s="628" t="s">
        <v>844</v>
      </c>
      <c r="BD71" s="625" t="s">
        <v>231</v>
      </c>
      <c r="BE71" s="625" t="s">
        <v>231</v>
      </c>
      <c r="BF71" s="625" t="s">
        <v>231</v>
      </c>
      <c r="BG71" s="625" t="s">
        <v>231</v>
      </c>
      <c r="BH71" s="625" t="s">
        <v>231</v>
      </c>
      <c r="BI71" s="626" t="s">
        <v>231</v>
      </c>
      <c r="BJ71" s="628"/>
      <c r="BK71" s="625" t="s">
        <v>231</v>
      </c>
      <c r="BL71" s="625" t="s">
        <v>231</v>
      </c>
      <c r="BM71" s="625" t="s">
        <v>231</v>
      </c>
      <c r="BN71" s="625" t="s">
        <v>231</v>
      </c>
      <c r="BO71" s="625" t="s">
        <v>231</v>
      </c>
      <c r="BP71" s="626" t="s">
        <v>231</v>
      </c>
      <c r="BR71" s="628" t="s">
        <v>844</v>
      </c>
      <c r="BS71" s="669" t="s">
        <v>231</v>
      </c>
      <c r="BT71" s="669" t="s">
        <v>231</v>
      </c>
      <c r="BU71" s="669" t="s">
        <v>231</v>
      </c>
      <c r="BV71" s="669" t="s">
        <v>231</v>
      </c>
      <c r="BW71" s="669" t="s">
        <v>231</v>
      </c>
      <c r="BX71" s="670" t="s">
        <v>231</v>
      </c>
    </row>
    <row r="72" spans="2:76" x14ac:dyDescent="0.25">
      <c r="B72" s="616" t="s">
        <v>847</v>
      </c>
      <c r="C72" s="614">
        <f t="shared" ref="C72:H76" si="26">K72+Z72+AO72</f>
        <v>0</v>
      </c>
      <c r="D72" s="614">
        <f t="shared" si="26"/>
        <v>0</v>
      </c>
      <c r="E72" s="614">
        <f t="shared" si="26"/>
        <v>0</v>
      </c>
      <c r="F72" s="614">
        <f t="shared" si="26"/>
        <v>0</v>
      </c>
      <c r="G72" s="614">
        <f t="shared" si="26"/>
        <v>0</v>
      </c>
      <c r="H72" s="614">
        <f t="shared" si="26"/>
        <v>0</v>
      </c>
      <c r="J72" s="616" t="s">
        <v>847</v>
      </c>
      <c r="K72" s="614">
        <f>Ielas!T567</f>
        <v>0</v>
      </c>
      <c r="L72" s="614">
        <f>Ielas!U567</f>
        <v>0</v>
      </c>
      <c r="M72" s="614">
        <f>Ielas!V567</f>
        <v>0</v>
      </c>
      <c r="N72" s="614">
        <f>Ielas!W567</f>
        <v>0</v>
      </c>
      <c r="O72" s="614">
        <f>Ielas!X567</f>
        <v>0</v>
      </c>
      <c r="P72" s="614">
        <f>Ielas!Y567</f>
        <v>0</v>
      </c>
      <c r="Q72" s="616" t="s">
        <v>847</v>
      </c>
      <c r="R72" s="614">
        <f>Ielas!AA567</f>
        <v>0</v>
      </c>
      <c r="S72" s="614">
        <f>Ielas!AB567</f>
        <v>0</v>
      </c>
      <c r="T72" s="614">
        <f>Ielas!AC567</f>
        <v>0</v>
      </c>
      <c r="U72" s="614">
        <f>Ielas!AD567</f>
        <v>0</v>
      </c>
      <c r="V72" s="614">
        <f>Ielas!AE567</f>
        <v>0</v>
      </c>
      <c r="W72" s="614">
        <f>Ielas!AF567</f>
        <v>0</v>
      </c>
      <c r="Y72" s="616" t="s">
        <v>847</v>
      </c>
      <c r="Z72" s="614"/>
      <c r="AA72" s="614"/>
      <c r="AB72" s="614"/>
      <c r="AC72" s="614"/>
      <c r="AD72" s="614"/>
      <c r="AE72" s="614"/>
      <c r="AF72" s="616" t="s">
        <v>847</v>
      </c>
      <c r="AG72" s="614"/>
      <c r="AH72" s="614"/>
      <c r="AI72" s="614"/>
      <c r="AJ72" s="614"/>
      <c r="AK72" s="614"/>
      <c r="AL72" s="614"/>
      <c r="AN72" s="616" t="s">
        <v>847</v>
      </c>
      <c r="AO72" s="614"/>
      <c r="AP72" s="614"/>
      <c r="AQ72" s="614"/>
      <c r="AR72" s="614"/>
      <c r="AS72" s="614"/>
      <c r="AT72" s="614"/>
      <c r="AU72" s="616" t="s">
        <v>847</v>
      </c>
      <c r="AV72" s="614"/>
      <c r="AW72" s="614"/>
      <c r="AX72" s="614"/>
      <c r="AY72" s="614"/>
      <c r="AZ72" s="614"/>
      <c r="BA72" s="614"/>
      <c r="BC72" s="616" t="s">
        <v>847</v>
      </c>
      <c r="BD72" s="614"/>
      <c r="BE72" s="614"/>
      <c r="BF72" s="614"/>
      <c r="BG72" s="614"/>
      <c r="BH72" s="614"/>
      <c r="BI72" s="614"/>
      <c r="BJ72" s="616" t="s">
        <v>847</v>
      </c>
      <c r="BK72" s="614"/>
      <c r="BL72" s="614"/>
      <c r="BM72" s="614"/>
      <c r="BN72" s="614"/>
      <c r="BO72" s="614"/>
      <c r="BP72" s="614"/>
      <c r="BR72" s="616" t="s">
        <v>847</v>
      </c>
      <c r="BS72" s="614">
        <f t="shared" ref="BS72:BX76" si="27">C72-R72-AG72-AV72</f>
        <v>0</v>
      </c>
      <c r="BT72" s="614">
        <f t="shared" si="27"/>
        <v>0</v>
      </c>
      <c r="BU72" s="614">
        <f t="shared" si="27"/>
        <v>0</v>
      </c>
      <c r="BV72" s="614">
        <f t="shared" si="27"/>
        <v>0</v>
      </c>
      <c r="BW72" s="614">
        <f t="shared" si="27"/>
        <v>0</v>
      </c>
      <c r="BX72" s="614">
        <f t="shared" si="27"/>
        <v>0</v>
      </c>
    </row>
    <row r="73" spans="2:76" x14ac:dyDescent="0.25">
      <c r="B73" s="617" t="s">
        <v>848</v>
      </c>
      <c r="C73" s="614">
        <f t="shared" si="26"/>
        <v>0</v>
      </c>
      <c r="D73" s="614">
        <f t="shared" si="26"/>
        <v>0</v>
      </c>
      <c r="E73" s="614">
        <f t="shared" si="26"/>
        <v>0</v>
      </c>
      <c r="F73" s="614">
        <f t="shared" si="26"/>
        <v>0</v>
      </c>
      <c r="G73" s="614">
        <f t="shared" si="26"/>
        <v>0</v>
      </c>
      <c r="H73" s="614">
        <f t="shared" si="26"/>
        <v>0</v>
      </c>
      <c r="J73" s="617" t="s">
        <v>848</v>
      </c>
      <c r="K73" s="614">
        <f>Ielas!T568</f>
        <v>0</v>
      </c>
      <c r="L73" s="614">
        <f>Ielas!U568</f>
        <v>0</v>
      </c>
      <c r="M73" s="614">
        <f>Ielas!V568</f>
        <v>0</v>
      </c>
      <c r="N73" s="614">
        <f>Ielas!W568</f>
        <v>0</v>
      </c>
      <c r="O73" s="614">
        <f>Ielas!X568</f>
        <v>0</v>
      </c>
      <c r="P73" s="614">
        <f>Ielas!Y568</f>
        <v>0</v>
      </c>
      <c r="Q73" s="617" t="s">
        <v>848</v>
      </c>
      <c r="R73" s="614">
        <f>Ielas!AA568</f>
        <v>0</v>
      </c>
      <c r="S73" s="614">
        <f>Ielas!AB568</f>
        <v>0</v>
      </c>
      <c r="T73" s="614">
        <f>Ielas!AC568</f>
        <v>0</v>
      </c>
      <c r="U73" s="614">
        <f>Ielas!AD568</f>
        <v>0</v>
      </c>
      <c r="V73" s="614">
        <f>Ielas!AE568</f>
        <v>0</v>
      </c>
      <c r="W73" s="614">
        <f>Ielas!AF568</f>
        <v>0</v>
      </c>
      <c r="Y73" s="617" t="s">
        <v>848</v>
      </c>
      <c r="Z73" s="614"/>
      <c r="AA73" s="614"/>
      <c r="AB73" s="614"/>
      <c r="AC73" s="614"/>
      <c r="AD73" s="614"/>
      <c r="AE73" s="614"/>
      <c r="AF73" s="617" t="s">
        <v>848</v>
      </c>
      <c r="AG73" s="614"/>
      <c r="AH73" s="614"/>
      <c r="AI73" s="614"/>
      <c r="AJ73" s="614"/>
      <c r="AK73" s="614"/>
      <c r="AL73" s="614"/>
      <c r="AN73" s="617" t="s">
        <v>848</v>
      </c>
      <c r="AO73" s="614"/>
      <c r="AP73" s="614"/>
      <c r="AQ73" s="614"/>
      <c r="AR73" s="614"/>
      <c r="AS73" s="614"/>
      <c r="AT73" s="614"/>
      <c r="AU73" s="617" t="s">
        <v>848</v>
      </c>
      <c r="AV73" s="614"/>
      <c r="AW73" s="614"/>
      <c r="AX73" s="614"/>
      <c r="AY73" s="614"/>
      <c r="AZ73" s="614"/>
      <c r="BA73" s="614"/>
      <c r="BC73" s="617" t="s">
        <v>848</v>
      </c>
      <c r="BD73" s="614"/>
      <c r="BE73" s="614"/>
      <c r="BF73" s="614"/>
      <c r="BG73" s="614"/>
      <c r="BH73" s="614"/>
      <c r="BI73" s="614"/>
      <c r="BJ73" s="617" t="s">
        <v>848</v>
      </c>
      <c r="BK73" s="614"/>
      <c r="BL73" s="614"/>
      <c r="BM73" s="614"/>
      <c r="BN73" s="614"/>
      <c r="BO73" s="614"/>
      <c r="BP73" s="614"/>
      <c r="BR73" s="617" t="s">
        <v>848</v>
      </c>
      <c r="BS73" s="614">
        <f t="shared" si="27"/>
        <v>0</v>
      </c>
      <c r="BT73" s="614">
        <f t="shared" si="27"/>
        <v>0</v>
      </c>
      <c r="BU73" s="614">
        <f t="shared" si="27"/>
        <v>0</v>
      </c>
      <c r="BV73" s="614">
        <f t="shared" si="27"/>
        <v>0</v>
      </c>
      <c r="BW73" s="614">
        <f t="shared" si="27"/>
        <v>0</v>
      </c>
      <c r="BX73" s="614">
        <f t="shared" si="27"/>
        <v>0</v>
      </c>
    </row>
    <row r="74" spans="2:76" x14ac:dyDescent="0.25">
      <c r="B74" s="615" t="s">
        <v>845</v>
      </c>
      <c r="C74" s="614">
        <f t="shared" si="26"/>
        <v>0</v>
      </c>
      <c r="D74" s="614">
        <f t="shared" si="26"/>
        <v>0</v>
      </c>
      <c r="E74" s="614">
        <f t="shared" si="26"/>
        <v>0</v>
      </c>
      <c r="F74" s="614">
        <f t="shared" si="26"/>
        <v>0</v>
      </c>
      <c r="G74" s="614">
        <f t="shared" si="26"/>
        <v>0</v>
      </c>
      <c r="H74" s="614">
        <f t="shared" si="26"/>
        <v>0</v>
      </c>
      <c r="J74" s="615" t="s">
        <v>845</v>
      </c>
      <c r="K74" s="614">
        <f>Ielas!T569</f>
        <v>0</v>
      </c>
      <c r="L74" s="614">
        <f>Ielas!U569</f>
        <v>0</v>
      </c>
      <c r="M74" s="614">
        <f>Ielas!V569</f>
        <v>0</v>
      </c>
      <c r="N74" s="614">
        <f>Ielas!W569</f>
        <v>0</v>
      </c>
      <c r="O74" s="614">
        <f>Ielas!X569</f>
        <v>0</v>
      </c>
      <c r="P74" s="614">
        <f>Ielas!Y569</f>
        <v>0</v>
      </c>
      <c r="Q74" s="615" t="s">
        <v>845</v>
      </c>
      <c r="R74" s="614">
        <f>Ielas!AA569</f>
        <v>0</v>
      </c>
      <c r="S74" s="614">
        <f>Ielas!AB569</f>
        <v>0</v>
      </c>
      <c r="T74" s="614">
        <f>Ielas!AC569</f>
        <v>0</v>
      </c>
      <c r="U74" s="614">
        <f>Ielas!AD569</f>
        <v>0</v>
      </c>
      <c r="V74" s="614">
        <f>Ielas!AE569</f>
        <v>0</v>
      </c>
      <c r="W74" s="614">
        <f>Ielas!AF569</f>
        <v>0</v>
      </c>
      <c r="Y74" s="615" t="s">
        <v>845</v>
      </c>
      <c r="Z74" s="614"/>
      <c r="AA74" s="614"/>
      <c r="AB74" s="614"/>
      <c r="AC74" s="614"/>
      <c r="AD74" s="614"/>
      <c r="AE74" s="614"/>
      <c r="AF74" s="615" t="s">
        <v>845</v>
      </c>
      <c r="AG74" s="614"/>
      <c r="AH74" s="614"/>
      <c r="AI74" s="614"/>
      <c r="AJ74" s="614"/>
      <c r="AK74" s="614"/>
      <c r="AL74" s="614"/>
      <c r="AN74" s="615" t="s">
        <v>845</v>
      </c>
      <c r="AO74" s="614"/>
      <c r="AP74" s="614"/>
      <c r="AQ74" s="614"/>
      <c r="AR74" s="614"/>
      <c r="AS74" s="614"/>
      <c r="AT74" s="614"/>
      <c r="AU74" s="615" t="s">
        <v>845</v>
      </c>
      <c r="AV74" s="614"/>
      <c r="AW74" s="614"/>
      <c r="AX74" s="614"/>
      <c r="AY74" s="614"/>
      <c r="AZ74" s="614"/>
      <c r="BA74" s="614"/>
      <c r="BC74" s="615" t="s">
        <v>845</v>
      </c>
      <c r="BD74" s="614"/>
      <c r="BE74" s="614"/>
      <c r="BF74" s="614"/>
      <c r="BG74" s="614"/>
      <c r="BH74" s="614"/>
      <c r="BI74" s="614"/>
      <c r="BJ74" s="615" t="s">
        <v>845</v>
      </c>
      <c r="BK74" s="614"/>
      <c r="BL74" s="614"/>
      <c r="BM74" s="614"/>
      <c r="BN74" s="614"/>
      <c r="BO74" s="614"/>
      <c r="BP74" s="614"/>
      <c r="BR74" s="615" t="s">
        <v>845</v>
      </c>
      <c r="BS74" s="614">
        <f t="shared" si="27"/>
        <v>0</v>
      </c>
      <c r="BT74" s="614">
        <f t="shared" si="27"/>
        <v>0</v>
      </c>
      <c r="BU74" s="614">
        <f t="shared" si="27"/>
        <v>0</v>
      </c>
      <c r="BV74" s="614">
        <f t="shared" si="27"/>
        <v>0</v>
      </c>
      <c r="BW74" s="614">
        <f t="shared" si="27"/>
        <v>0</v>
      </c>
      <c r="BX74" s="614">
        <f t="shared" si="27"/>
        <v>0</v>
      </c>
    </row>
    <row r="75" spans="2:76" x14ac:dyDescent="0.25">
      <c r="B75" s="616" t="s">
        <v>846</v>
      </c>
      <c r="C75" s="614">
        <f t="shared" si="26"/>
        <v>6.6890000000000001</v>
      </c>
      <c r="D75" s="614">
        <f t="shared" si="26"/>
        <v>0</v>
      </c>
      <c r="E75" s="614">
        <f t="shared" si="26"/>
        <v>0</v>
      </c>
      <c r="F75" s="614">
        <f t="shared" si="26"/>
        <v>13.072999999999997</v>
      </c>
      <c r="G75" s="614">
        <f t="shared" si="26"/>
        <v>0.22999999999999998</v>
      </c>
      <c r="H75" s="614">
        <f t="shared" si="26"/>
        <v>19.991999999999997</v>
      </c>
      <c r="J75" s="616" t="s">
        <v>846</v>
      </c>
      <c r="K75" s="614">
        <f>Ielas!T570</f>
        <v>6.6890000000000001</v>
      </c>
      <c r="L75" s="614">
        <f>Ielas!U570</f>
        <v>0</v>
      </c>
      <c r="M75" s="614">
        <f>Ielas!V570</f>
        <v>0</v>
      </c>
      <c r="N75" s="614">
        <f>Ielas!W570</f>
        <v>13.072999999999997</v>
      </c>
      <c r="O75" s="614">
        <f>Ielas!X570</f>
        <v>0.22999999999999998</v>
      </c>
      <c r="P75" s="614">
        <f>Ielas!Y570</f>
        <v>19.991999999999997</v>
      </c>
      <c r="Q75" s="616" t="s">
        <v>846</v>
      </c>
      <c r="R75" s="614">
        <f>Ielas!AA570</f>
        <v>0</v>
      </c>
      <c r="S75" s="614">
        <f>Ielas!AB570</f>
        <v>0</v>
      </c>
      <c r="T75" s="614">
        <f>Ielas!AC570</f>
        <v>0</v>
      </c>
      <c r="U75" s="614">
        <f>Ielas!AD570</f>
        <v>0</v>
      </c>
      <c r="V75" s="614">
        <f>Ielas!AE570</f>
        <v>0</v>
      </c>
      <c r="W75" s="614">
        <f>Ielas!AF570</f>
        <v>0</v>
      </c>
      <c r="Y75" s="616" t="s">
        <v>846</v>
      </c>
      <c r="Z75" s="614"/>
      <c r="AA75" s="614"/>
      <c r="AB75" s="614"/>
      <c r="AC75" s="614"/>
      <c r="AD75" s="614"/>
      <c r="AE75" s="614"/>
      <c r="AF75" s="616" t="s">
        <v>846</v>
      </c>
      <c r="AG75" s="614"/>
      <c r="AH75" s="614"/>
      <c r="AI75" s="614"/>
      <c r="AJ75" s="614"/>
      <c r="AK75" s="614"/>
      <c r="AL75" s="614"/>
      <c r="AN75" s="616" t="s">
        <v>846</v>
      </c>
      <c r="AO75" s="614"/>
      <c r="AP75" s="614"/>
      <c r="AQ75" s="614"/>
      <c r="AR75" s="614"/>
      <c r="AS75" s="614"/>
      <c r="AT75" s="614"/>
      <c r="AU75" s="616" t="s">
        <v>846</v>
      </c>
      <c r="AV75" s="614"/>
      <c r="AW75" s="614"/>
      <c r="AX75" s="614"/>
      <c r="AY75" s="614"/>
      <c r="AZ75" s="614"/>
      <c r="BA75" s="614"/>
      <c r="BC75" s="616" t="s">
        <v>846</v>
      </c>
      <c r="BD75" s="614"/>
      <c r="BE75" s="614"/>
      <c r="BF75" s="614"/>
      <c r="BG75" s="614"/>
      <c r="BH75" s="614"/>
      <c r="BI75" s="614"/>
      <c r="BJ75" s="616" t="s">
        <v>846</v>
      </c>
      <c r="BK75" s="614"/>
      <c r="BL75" s="614"/>
      <c r="BM75" s="614"/>
      <c r="BN75" s="614"/>
      <c r="BO75" s="614"/>
      <c r="BP75" s="614"/>
      <c r="BR75" s="616" t="s">
        <v>846</v>
      </c>
      <c r="BS75" s="614">
        <f t="shared" si="27"/>
        <v>6.6890000000000001</v>
      </c>
      <c r="BT75" s="614">
        <f t="shared" si="27"/>
        <v>0</v>
      </c>
      <c r="BU75" s="614">
        <f t="shared" si="27"/>
        <v>0</v>
      </c>
      <c r="BV75" s="614">
        <f t="shared" si="27"/>
        <v>13.072999999999997</v>
      </c>
      <c r="BW75" s="614">
        <f t="shared" si="27"/>
        <v>0.22999999999999998</v>
      </c>
      <c r="BX75" s="614">
        <f t="shared" si="27"/>
        <v>19.991999999999997</v>
      </c>
    </row>
    <row r="76" spans="2:76" x14ac:dyDescent="0.25">
      <c r="C76" s="614">
        <f t="shared" si="26"/>
        <v>6.6890000000000001</v>
      </c>
      <c r="D76" s="614">
        <f t="shared" si="26"/>
        <v>0</v>
      </c>
      <c r="E76" s="614">
        <f t="shared" si="26"/>
        <v>0</v>
      </c>
      <c r="F76" s="614">
        <f t="shared" si="26"/>
        <v>13.072999999999997</v>
      </c>
      <c r="G76" s="614">
        <f t="shared" si="26"/>
        <v>0.22999999999999998</v>
      </c>
      <c r="H76" s="614">
        <f t="shared" si="26"/>
        <v>19.991999999999997</v>
      </c>
      <c r="K76" s="614">
        <f>Ielas!T571</f>
        <v>6.6890000000000001</v>
      </c>
      <c r="L76" s="614">
        <f>Ielas!U571</f>
        <v>0</v>
      </c>
      <c r="M76" s="614">
        <f>Ielas!V571</f>
        <v>0</v>
      </c>
      <c r="N76" s="614">
        <f>Ielas!W571</f>
        <v>13.072999999999997</v>
      </c>
      <c r="O76" s="614">
        <f>Ielas!X571</f>
        <v>0.22999999999999998</v>
      </c>
      <c r="P76" s="614">
        <f>Ielas!Y571</f>
        <v>19.991999999999997</v>
      </c>
      <c r="R76" s="614">
        <f>Ielas!AA571</f>
        <v>0</v>
      </c>
      <c r="S76" s="614">
        <f>Ielas!AB571</f>
        <v>0</v>
      </c>
      <c r="T76" s="614">
        <f>Ielas!AC571</f>
        <v>0</v>
      </c>
      <c r="U76" s="614">
        <f>Ielas!AD571</f>
        <v>0</v>
      </c>
      <c r="V76" s="614">
        <f>Ielas!AE571</f>
        <v>0</v>
      </c>
      <c r="W76" s="614">
        <f>Ielas!AF571</f>
        <v>0</v>
      </c>
      <c r="Z76" s="614"/>
      <c r="AA76" s="614"/>
      <c r="AB76" s="614"/>
      <c r="AC76" s="614"/>
      <c r="AD76" s="614"/>
      <c r="AE76" s="614"/>
      <c r="AG76" s="614"/>
      <c r="AH76" s="614"/>
      <c r="AI76" s="614"/>
      <c r="AJ76" s="614"/>
      <c r="AK76" s="614"/>
      <c r="AL76" s="614"/>
      <c r="AO76" s="614"/>
      <c r="AP76" s="614"/>
      <c r="AQ76" s="614"/>
      <c r="AR76" s="614"/>
      <c r="AS76" s="614"/>
      <c r="AT76" s="614"/>
      <c r="AV76" s="614"/>
      <c r="AW76" s="614"/>
      <c r="AX76" s="614"/>
      <c r="AY76" s="614"/>
      <c r="AZ76" s="614"/>
      <c r="BA76" s="614"/>
      <c r="BD76" s="614"/>
      <c r="BE76" s="614"/>
      <c r="BF76" s="614"/>
      <c r="BG76" s="614"/>
      <c r="BH76" s="614"/>
      <c r="BI76" s="614"/>
      <c r="BK76" s="614"/>
      <c r="BL76" s="614"/>
      <c r="BM76" s="614"/>
      <c r="BN76" s="614"/>
      <c r="BO76" s="614"/>
      <c r="BP76" s="614"/>
      <c r="BS76" s="614">
        <f t="shared" si="27"/>
        <v>6.6890000000000001</v>
      </c>
      <c r="BT76" s="614">
        <f t="shared" si="27"/>
        <v>0</v>
      </c>
      <c r="BU76" s="614">
        <f t="shared" si="27"/>
        <v>0</v>
      </c>
      <c r="BV76" s="614">
        <f t="shared" si="27"/>
        <v>13.072999999999997</v>
      </c>
      <c r="BW76" s="614">
        <f t="shared" si="27"/>
        <v>0.22999999999999998</v>
      </c>
      <c r="BX76" s="614">
        <f t="shared" si="27"/>
        <v>19.991999999999997</v>
      </c>
    </row>
    <row r="77" spans="2:76" x14ac:dyDescent="0.25">
      <c r="C77" s="667"/>
      <c r="D77" s="667"/>
      <c r="E77" s="667"/>
      <c r="F77" s="667"/>
      <c r="G77" s="667"/>
      <c r="H77" s="667"/>
      <c r="BS77" s="667"/>
      <c r="BT77" s="667"/>
      <c r="BU77" s="667"/>
      <c r="BV77" s="667"/>
      <c r="BW77" s="667"/>
      <c r="BX77" s="667"/>
    </row>
    <row r="78" spans="2:76" x14ac:dyDescent="0.25">
      <c r="B78" t="s">
        <v>1167</v>
      </c>
      <c r="C78" s="667"/>
      <c r="D78" s="667"/>
      <c r="E78" s="667"/>
      <c r="F78" s="667"/>
      <c r="G78" s="667"/>
      <c r="H78" s="667"/>
      <c r="K78" t="s">
        <v>1168</v>
      </c>
      <c r="R78" t="s">
        <v>1141</v>
      </c>
      <c r="AG78" t="s">
        <v>1141</v>
      </c>
      <c r="AV78" t="s">
        <v>1141</v>
      </c>
      <c r="BK78" t="s">
        <v>1141</v>
      </c>
      <c r="BR78" t="s">
        <v>1169</v>
      </c>
      <c r="BS78" s="667"/>
      <c r="BT78" s="667"/>
      <c r="BU78" s="667"/>
      <c r="BV78" s="667"/>
      <c r="BW78" s="667"/>
      <c r="BX78" s="667"/>
    </row>
    <row r="79" spans="2:76" ht="23.25" x14ac:dyDescent="0.25">
      <c r="B79" s="102"/>
      <c r="C79" s="669" t="s">
        <v>1092</v>
      </c>
      <c r="D79" s="669" t="s">
        <v>1093</v>
      </c>
      <c r="E79" s="669" t="s">
        <v>1094</v>
      </c>
      <c r="F79" s="669" t="s">
        <v>1095</v>
      </c>
      <c r="G79" s="669" t="s">
        <v>1096</v>
      </c>
      <c r="H79" s="141" t="s">
        <v>269</v>
      </c>
      <c r="J79" s="102"/>
      <c r="K79" s="625" t="s">
        <v>1092</v>
      </c>
      <c r="L79" s="625" t="s">
        <v>1093</v>
      </c>
      <c r="M79" s="625" t="s">
        <v>1094</v>
      </c>
      <c r="N79" s="625" t="s">
        <v>1095</v>
      </c>
      <c r="O79" s="625" t="s">
        <v>1096</v>
      </c>
      <c r="P79" s="627" t="s">
        <v>269</v>
      </c>
      <c r="Q79" s="102"/>
      <c r="R79" s="625" t="s">
        <v>1092</v>
      </c>
      <c r="S79" s="625" t="s">
        <v>1093</v>
      </c>
      <c r="T79" s="625" t="s">
        <v>1094</v>
      </c>
      <c r="U79" s="625" t="s">
        <v>1095</v>
      </c>
      <c r="V79" s="625" t="s">
        <v>1096</v>
      </c>
      <c r="W79" s="627" t="s">
        <v>269</v>
      </c>
      <c r="Y79" s="102"/>
      <c r="Z79" s="625" t="s">
        <v>1092</v>
      </c>
      <c r="AA79" s="625" t="s">
        <v>1093</v>
      </c>
      <c r="AB79" s="625" t="s">
        <v>1094</v>
      </c>
      <c r="AC79" s="625" t="s">
        <v>1095</v>
      </c>
      <c r="AD79" s="625" t="s">
        <v>1096</v>
      </c>
      <c r="AE79" s="627" t="s">
        <v>269</v>
      </c>
      <c r="AF79" s="102"/>
      <c r="AG79" s="625" t="s">
        <v>1092</v>
      </c>
      <c r="AH79" s="625" t="s">
        <v>1093</v>
      </c>
      <c r="AI79" s="625" t="s">
        <v>1094</v>
      </c>
      <c r="AJ79" s="625" t="s">
        <v>1095</v>
      </c>
      <c r="AK79" s="625" t="s">
        <v>1096</v>
      </c>
      <c r="AL79" s="627" t="s">
        <v>269</v>
      </c>
      <c r="AN79" s="102"/>
      <c r="AO79" s="625" t="s">
        <v>1092</v>
      </c>
      <c r="AP79" s="625" t="s">
        <v>1093</v>
      </c>
      <c r="AQ79" s="625" t="s">
        <v>1094</v>
      </c>
      <c r="AR79" s="625" t="s">
        <v>1095</v>
      </c>
      <c r="AS79" s="625" t="s">
        <v>1096</v>
      </c>
      <c r="AT79" s="627" t="s">
        <v>269</v>
      </c>
      <c r="AU79" s="102"/>
      <c r="AV79" s="625" t="s">
        <v>1092</v>
      </c>
      <c r="AW79" s="625" t="s">
        <v>1093</v>
      </c>
      <c r="AX79" s="625" t="s">
        <v>1094</v>
      </c>
      <c r="AY79" s="625" t="s">
        <v>1095</v>
      </c>
      <c r="AZ79" s="625" t="s">
        <v>1096</v>
      </c>
      <c r="BA79" s="627" t="s">
        <v>269</v>
      </c>
      <c r="BC79" s="102"/>
      <c r="BD79" s="625" t="s">
        <v>1092</v>
      </c>
      <c r="BE79" s="625" t="s">
        <v>1093</v>
      </c>
      <c r="BF79" s="625" t="s">
        <v>1094</v>
      </c>
      <c r="BG79" s="625" t="s">
        <v>1095</v>
      </c>
      <c r="BH79" s="625" t="s">
        <v>1096</v>
      </c>
      <c r="BI79" s="627" t="s">
        <v>269</v>
      </c>
      <c r="BJ79" s="102"/>
      <c r="BK79" s="625" t="s">
        <v>1092</v>
      </c>
      <c r="BL79" s="625" t="s">
        <v>1093</v>
      </c>
      <c r="BM79" s="625" t="s">
        <v>1094</v>
      </c>
      <c r="BN79" s="625" t="s">
        <v>1095</v>
      </c>
      <c r="BO79" s="625" t="s">
        <v>1096</v>
      </c>
      <c r="BP79" s="627" t="s">
        <v>269</v>
      </c>
      <c r="BR79" s="102"/>
      <c r="BS79" s="669" t="s">
        <v>1092</v>
      </c>
      <c r="BT79" s="669" t="s">
        <v>1093</v>
      </c>
      <c r="BU79" s="669" t="s">
        <v>1094</v>
      </c>
      <c r="BV79" s="669" t="s">
        <v>1095</v>
      </c>
      <c r="BW79" s="669" t="s">
        <v>1096</v>
      </c>
      <c r="BX79" s="141" t="s">
        <v>269</v>
      </c>
    </row>
    <row r="80" spans="2:76" x14ac:dyDescent="0.25">
      <c r="B80" s="628" t="s">
        <v>844</v>
      </c>
      <c r="C80" s="669" t="s">
        <v>231</v>
      </c>
      <c r="D80" s="669" t="s">
        <v>231</v>
      </c>
      <c r="E80" s="669" t="s">
        <v>231</v>
      </c>
      <c r="F80" s="669" t="s">
        <v>231</v>
      </c>
      <c r="G80" s="669" t="s">
        <v>231</v>
      </c>
      <c r="H80" s="670" t="s">
        <v>231</v>
      </c>
      <c r="J80" s="628" t="s">
        <v>844</v>
      </c>
      <c r="K80" s="625" t="s">
        <v>231</v>
      </c>
      <c r="L80" s="625" t="s">
        <v>231</v>
      </c>
      <c r="M80" s="625" t="s">
        <v>231</v>
      </c>
      <c r="N80" s="625" t="s">
        <v>231</v>
      </c>
      <c r="O80" s="625" t="s">
        <v>231</v>
      </c>
      <c r="P80" s="626" t="s">
        <v>231</v>
      </c>
      <c r="Q80" s="628"/>
      <c r="R80" s="625" t="s">
        <v>231</v>
      </c>
      <c r="S80" s="625" t="s">
        <v>231</v>
      </c>
      <c r="T80" s="625" t="s">
        <v>231</v>
      </c>
      <c r="U80" s="625" t="s">
        <v>231</v>
      </c>
      <c r="V80" s="625" t="s">
        <v>231</v>
      </c>
      <c r="W80" s="626" t="s">
        <v>231</v>
      </c>
      <c r="Y80" s="628" t="s">
        <v>844</v>
      </c>
      <c r="Z80" s="625" t="s">
        <v>231</v>
      </c>
      <c r="AA80" s="625" t="s">
        <v>231</v>
      </c>
      <c r="AB80" s="625" t="s">
        <v>231</v>
      </c>
      <c r="AC80" s="625" t="s">
        <v>231</v>
      </c>
      <c r="AD80" s="625" t="s">
        <v>231</v>
      </c>
      <c r="AE80" s="626" t="s">
        <v>231</v>
      </c>
      <c r="AF80" s="628"/>
      <c r="AG80" s="625" t="s">
        <v>231</v>
      </c>
      <c r="AH80" s="625" t="s">
        <v>231</v>
      </c>
      <c r="AI80" s="625" t="s">
        <v>231</v>
      </c>
      <c r="AJ80" s="625" t="s">
        <v>231</v>
      </c>
      <c r="AK80" s="625" t="s">
        <v>231</v>
      </c>
      <c r="AL80" s="626" t="s">
        <v>231</v>
      </c>
      <c r="AN80" s="628" t="s">
        <v>844</v>
      </c>
      <c r="AO80" s="625" t="s">
        <v>231</v>
      </c>
      <c r="AP80" s="625" t="s">
        <v>231</v>
      </c>
      <c r="AQ80" s="625" t="s">
        <v>231</v>
      </c>
      <c r="AR80" s="625" t="s">
        <v>231</v>
      </c>
      <c r="AS80" s="625" t="s">
        <v>231</v>
      </c>
      <c r="AT80" s="626" t="s">
        <v>231</v>
      </c>
      <c r="AU80" s="628"/>
      <c r="AV80" s="625" t="s">
        <v>231</v>
      </c>
      <c r="AW80" s="625" t="s">
        <v>231</v>
      </c>
      <c r="AX80" s="625" t="s">
        <v>231</v>
      </c>
      <c r="AY80" s="625" t="s">
        <v>231</v>
      </c>
      <c r="AZ80" s="625" t="s">
        <v>231</v>
      </c>
      <c r="BA80" s="626" t="s">
        <v>231</v>
      </c>
      <c r="BC80" s="628" t="s">
        <v>844</v>
      </c>
      <c r="BD80" s="625" t="s">
        <v>231</v>
      </c>
      <c r="BE80" s="625" t="s">
        <v>231</v>
      </c>
      <c r="BF80" s="625" t="s">
        <v>231</v>
      </c>
      <c r="BG80" s="625" t="s">
        <v>231</v>
      </c>
      <c r="BH80" s="625" t="s">
        <v>231</v>
      </c>
      <c r="BI80" s="626" t="s">
        <v>231</v>
      </c>
      <c r="BJ80" s="628"/>
      <c r="BK80" s="625" t="s">
        <v>231</v>
      </c>
      <c r="BL80" s="625" t="s">
        <v>231</v>
      </c>
      <c r="BM80" s="625" t="s">
        <v>231</v>
      </c>
      <c r="BN80" s="625" t="s">
        <v>231</v>
      </c>
      <c r="BO80" s="625" t="s">
        <v>231</v>
      </c>
      <c r="BP80" s="626" t="s">
        <v>231</v>
      </c>
      <c r="BR80" s="628" t="s">
        <v>844</v>
      </c>
      <c r="BS80" s="669" t="s">
        <v>231</v>
      </c>
      <c r="BT80" s="669" t="s">
        <v>231</v>
      </c>
      <c r="BU80" s="669" t="s">
        <v>231</v>
      </c>
      <c r="BV80" s="669" t="s">
        <v>231</v>
      </c>
      <c r="BW80" s="669" t="s">
        <v>231</v>
      </c>
      <c r="BX80" s="670" t="s">
        <v>231</v>
      </c>
    </row>
    <row r="81" spans="2:76" x14ac:dyDescent="0.25">
      <c r="B81" s="616" t="s">
        <v>847</v>
      </c>
      <c r="C81" s="614">
        <f t="shared" ref="C81:H85" si="28">K81+Z81+AO81</f>
        <v>0</v>
      </c>
      <c r="D81" s="614">
        <f t="shared" si="28"/>
        <v>0</v>
      </c>
      <c r="E81" s="614">
        <f t="shared" si="28"/>
        <v>0</v>
      </c>
      <c r="F81" s="614">
        <f t="shared" si="28"/>
        <v>0</v>
      </c>
      <c r="G81" s="614">
        <f t="shared" si="28"/>
        <v>0</v>
      </c>
      <c r="H81" s="614">
        <f t="shared" si="28"/>
        <v>0</v>
      </c>
      <c r="J81" s="616" t="s">
        <v>847</v>
      </c>
      <c r="K81" s="614">
        <f>Ielas!T581</f>
        <v>0</v>
      </c>
      <c r="L81" s="614">
        <f>Ielas!U581</f>
        <v>0</v>
      </c>
      <c r="M81" s="614">
        <f>Ielas!V581</f>
        <v>0</v>
      </c>
      <c r="N81" s="614">
        <f>Ielas!W581</f>
        <v>0</v>
      </c>
      <c r="O81" s="614">
        <f>Ielas!X581</f>
        <v>0</v>
      </c>
      <c r="P81" s="614">
        <f>Ielas!Y581</f>
        <v>0</v>
      </c>
      <c r="Q81" s="616" t="s">
        <v>847</v>
      </c>
      <c r="R81" s="614">
        <f>Ielas!AA581</f>
        <v>0</v>
      </c>
      <c r="S81" s="614">
        <f>Ielas!AB581</f>
        <v>0</v>
      </c>
      <c r="T81" s="614">
        <f>Ielas!AC581</f>
        <v>0</v>
      </c>
      <c r="U81" s="614">
        <f>Ielas!AD581</f>
        <v>0</v>
      </c>
      <c r="V81" s="614">
        <f>Ielas!AE581</f>
        <v>0</v>
      </c>
      <c r="W81" s="614">
        <f>Ielas!AF581</f>
        <v>0</v>
      </c>
      <c r="Y81" s="616" t="s">
        <v>847</v>
      </c>
      <c r="Z81" s="614"/>
      <c r="AA81" s="614"/>
      <c r="AB81" s="614"/>
      <c r="AC81" s="614"/>
      <c r="AD81" s="614"/>
      <c r="AE81" s="614"/>
      <c r="AF81" s="616" t="s">
        <v>847</v>
      </c>
      <c r="AG81" s="614"/>
      <c r="AH81" s="614"/>
      <c r="AI81" s="614"/>
      <c r="AJ81" s="614"/>
      <c r="AK81" s="614"/>
      <c r="AL81" s="614"/>
      <c r="AN81" s="616" t="s">
        <v>847</v>
      </c>
      <c r="AO81" s="614"/>
      <c r="AP81" s="614"/>
      <c r="AQ81" s="614"/>
      <c r="AR81" s="614"/>
      <c r="AS81" s="614"/>
      <c r="AT81" s="614"/>
      <c r="AU81" s="616" t="s">
        <v>847</v>
      </c>
      <c r="AV81" s="614"/>
      <c r="AW81" s="614"/>
      <c r="AX81" s="614"/>
      <c r="AY81" s="614"/>
      <c r="AZ81" s="614"/>
      <c r="BA81" s="614"/>
      <c r="BC81" s="616" t="s">
        <v>847</v>
      </c>
      <c r="BD81" s="614"/>
      <c r="BE81" s="614"/>
      <c r="BF81" s="614"/>
      <c r="BG81" s="614"/>
      <c r="BH81" s="614"/>
      <c r="BI81" s="614"/>
      <c r="BJ81" s="616" t="s">
        <v>847</v>
      </c>
      <c r="BK81" s="614"/>
      <c r="BL81" s="614"/>
      <c r="BM81" s="614"/>
      <c r="BN81" s="614"/>
      <c r="BO81" s="614"/>
      <c r="BP81" s="614"/>
      <c r="BR81" s="616" t="s">
        <v>847</v>
      </c>
      <c r="BS81" s="614">
        <f t="shared" ref="BS81:BX85" si="29">C81-R81-AG81-AV81</f>
        <v>0</v>
      </c>
      <c r="BT81" s="614">
        <f t="shared" si="29"/>
        <v>0</v>
      </c>
      <c r="BU81" s="614">
        <f t="shared" si="29"/>
        <v>0</v>
      </c>
      <c r="BV81" s="614">
        <f t="shared" si="29"/>
        <v>0</v>
      </c>
      <c r="BW81" s="614">
        <f t="shared" si="29"/>
        <v>0</v>
      </c>
      <c r="BX81" s="614">
        <f t="shared" si="29"/>
        <v>0</v>
      </c>
    </row>
    <row r="82" spans="2:76" x14ac:dyDescent="0.25">
      <c r="B82" s="617" t="s">
        <v>848</v>
      </c>
      <c r="C82" s="614">
        <f t="shared" si="28"/>
        <v>0</v>
      </c>
      <c r="D82" s="614">
        <f t="shared" si="28"/>
        <v>0</v>
      </c>
      <c r="E82" s="614">
        <f t="shared" si="28"/>
        <v>0</v>
      </c>
      <c r="F82" s="614">
        <f t="shared" si="28"/>
        <v>0</v>
      </c>
      <c r="G82" s="614">
        <f t="shared" si="28"/>
        <v>0</v>
      </c>
      <c r="H82" s="614">
        <f t="shared" si="28"/>
        <v>0</v>
      </c>
      <c r="J82" s="617" t="s">
        <v>848</v>
      </c>
      <c r="K82" s="614">
        <f>Ielas!T582</f>
        <v>0</v>
      </c>
      <c r="L82" s="614">
        <f>Ielas!U582</f>
        <v>0</v>
      </c>
      <c r="M82" s="614">
        <f>Ielas!V582</f>
        <v>0</v>
      </c>
      <c r="N82" s="614">
        <f>Ielas!W582</f>
        <v>0</v>
      </c>
      <c r="O82" s="614">
        <f>Ielas!X582</f>
        <v>0</v>
      </c>
      <c r="P82" s="614">
        <f>Ielas!Y582</f>
        <v>0</v>
      </c>
      <c r="Q82" s="617" t="s">
        <v>848</v>
      </c>
      <c r="R82" s="614">
        <f>Ielas!AA582</f>
        <v>0</v>
      </c>
      <c r="S82" s="614">
        <f>Ielas!AB582</f>
        <v>0</v>
      </c>
      <c r="T82" s="614">
        <f>Ielas!AC582</f>
        <v>0</v>
      </c>
      <c r="U82" s="614">
        <f>Ielas!AD582</f>
        <v>0</v>
      </c>
      <c r="V82" s="614">
        <f>Ielas!AE582</f>
        <v>0</v>
      </c>
      <c r="W82" s="614">
        <f>Ielas!AF582</f>
        <v>0</v>
      </c>
      <c r="Y82" s="617" t="s">
        <v>848</v>
      </c>
      <c r="Z82" s="614"/>
      <c r="AA82" s="614"/>
      <c r="AB82" s="614"/>
      <c r="AC82" s="614"/>
      <c r="AD82" s="614"/>
      <c r="AE82" s="614"/>
      <c r="AF82" s="617" t="s">
        <v>848</v>
      </c>
      <c r="AG82" s="614"/>
      <c r="AH82" s="614"/>
      <c r="AI82" s="614"/>
      <c r="AJ82" s="614"/>
      <c r="AK82" s="614"/>
      <c r="AL82" s="614"/>
      <c r="AN82" s="617" t="s">
        <v>848</v>
      </c>
      <c r="AO82" s="614"/>
      <c r="AP82" s="614"/>
      <c r="AQ82" s="614"/>
      <c r="AR82" s="614"/>
      <c r="AS82" s="614"/>
      <c r="AT82" s="614"/>
      <c r="AU82" s="617" t="s">
        <v>848</v>
      </c>
      <c r="AV82" s="614"/>
      <c r="AW82" s="614"/>
      <c r="AX82" s="614"/>
      <c r="AY82" s="614"/>
      <c r="AZ82" s="614"/>
      <c r="BA82" s="614"/>
      <c r="BC82" s="617" t="s">
        <v>848</v>
      </c>
      <c r="BD82" s="614"/>
      <c r="BE82" s="614"/>
      <c r="BF82" s="614"/>
      <c r="BG82" s="614"/>
      <c r="BH82" s="614"/>
      <c r="BI82" s="614"/>
      <c r="BJ82" s="617" t="s">
        <v>848</v>
      </c>
      <c r="BK82" s="614"/>
      <c r="BL82" s="614"/>
      <c r="BM82" s="614"/>
      <c r="BN82" s="614"/>
      <c r="BO82" s="614"/>
      <c r="BP82" s="614"/>
      <c r="BR82" s="617" t="s">
        <v>848</v>
      </c>
      <c r="BS82" s="614">
        <f t="shared" si="29"/>
        <v>0</v>
      </c>
      <c r="BT82" s="614">
        <f t="shared" si="29"/>
        <v>0</v>
      </c>
      <c r="BU82" s="614">
        <f t="shared" si="29"/>
        <v>0</v>
      </c>
      <c r="BV82" s="614">
        <f t="shared" si="29"/>
        <v>0</v>
      </c>
      <c r="BW82" s="614">
        <f t="shared" si="29"/>
        <v>0</v>
      </c>
      <c r="BX82" s="614">
        <f t="shared" si="29"/>
        <v>0</v>
      </c>
    </row>
    <row r="83" spans="2:76" x14ac:dyDescent="0.25">
      <c r="B83" s="615" t="s">
        <v>845</v>
      </c>
      <c r="C83" s="614">
        <f t="shared" si="28"/>
        <v>0</v>
      </c>
      <c r="D83" s="614">
        <f t="shared" si="28"/>
        <v>0</v>
      </c>
      <c r="E83" s="614">
        <f t="shared" si="28"/>
        <v>0</v>
      </c>
      <c r="F83" s="614">
        <f t="shared" si="28"/>
        <v>0</v>
      </c>
      <c r="G83" s="614">
        <f t="shared" si="28"/>
        <v>0</v>
      </c>
      <c r="H83" s="614">
        <f t="shared" si="28"/>
        <v>0</v>
      </c>
      <c r="J83" s="615" t="s">
        <v>845</v>
      </c>
      <c r="K83" s="614">
        <f>Ielas!T583</f>
        <v>0</v>
      </c>
      <c r="L83" s="614">
        <f>Ielas!U583</f>
        <v>0</v>
      </c>
      <c r="M83" s="614">
        <f>Ielas!V583</f>
        <v>0</v>
      </c>
      <c r="N83" s="614">
        <f>Ielas!W583</f>
        <v>0</v>
      </c>
      <c r="O83" s="614">
        <f>Ielas!X583</f>
        <v>0</v>
      </c>
      <c r="P83" s="614">
        <f>Ielas!Y583</f>
        <v>0</v>
      </c>
      <c r="Q83" s="615" t="s">
        <v>845</v>
      </c>
      <c r="R83" s="614">
        <f>Ielas!AA583</f>
        <v>0</v>
      </c>
      <c r="S83" s="614">
        <f>Ielas!AB583</f>
        <v>0</v>
      </c>
      <c r="T83" s="614">
        <f>Ielas!AC583</f>
        <v>0</v>
      </c>
      <c r="U83" s="614">
        <f>Ielas!AD583</f>
        <v>0</v>
      </c>
      <c r="V83" s="614">
        <f>Ielas!AE583</f>
        <v>0</v>
      </c>
      <c r="W83" s="614">
        <f>Ielas!AF583</f>
        <v>0</v>
      </c>
      <c r="Y83" s="615" t="s">
        <v>845</v>
      </c>
      <c r="Z83" s="614"/>
      <c r="AA83" s="614"/>
      <c r="AB83" s="614"/>
      <c r="AC83" s="614"/>
      <c r="AD83" s="614"/>
      <c r="AE83" s="614"/>
      <c r="AF83" s="615" t="s">
        <v>845</v>
      </c>
      <c r="AG83" s="614"/>
      <c r="AH83" s="614"/>
      <c r="AI83" s="614"/>
      <c r="AJ83" s="614"/>
      <c r="AK83" s="614"/>
      <c r="AL83" s="614"/>
      <c r="AN83" s="615" t="s">
        <v>845</v>
      </c>
      <c r="AO83" s="614"/>
      <c r="AP83" s="614"/>
      <c r="AQ83" s="614"/>
      <c r="AR83" s="614"/>
      <c r="AS83" s="614"/>
      <c r="AT83" s="614"/>
      <c r="AU83" s="615" t="s">
        <v>845</v>
      </c>
      <c r="AV83" s="614"/>
      <c r="AW83" s="614"/>
      <c r="AX83" s="614"/>
      <c r="AY83" s="614"/>
      <c r="AZ83" s="614"/>
      <c r="BA83" s="614"/>
      <c r="BC83" s="615" t="s">
        <v>845</v>
      </c>
      <c r="BD83" s="614"/>
      <c r="BE83" s="614"/>
      <c r="BF83" s="614"/>
      <c r="BG83" s="614"/>
      <c r="BH83" s="614"/>
      <c r="BI83" s="614"/>
      <c r="BJ83" s="615" t="s">
        <v>845</v>
      </c>
      <c r="BK83" s="614"/>
      <c r="BL83" s="614"/>
      <c r="BM83" s="614"/>
      <c r="BN83" s="614"/>
      <c r="BO83" s="614"/>
      <c r="BP83" s="614"/>
      <c r="BR83" s="615" t="s">
        <v>845</v>
      </c>
      <c r="BS83" s="614">
        <f t="shared" si="29"/>
        <v>0</v>
      </c>
      <c r="BT83" s="614">
        <f t="shared" si="29"/>
        <v>0</v>
      </c>
      <c r="BU83" s="614">
        <f t="shared" si="29"/>
        <v>0</v>
      </c>
      <c r="BV83" s="614">
        <f t="shared" si="29"/>
        <v>0</v>
      </c>
      <c r="BW83" s="614">
        <f t="shared" si="29"/>
        <v>0</v>
      </c>
      <c r="BX83" s="614">
        <f t="shared" si="29"/>
        <v>0</v>
      </c>
    </row>
    <row r="84" spans="2:76" x14ac:dyDescent="0.25">
      <c r="B84" s="616" t="s">
        <v>846</v>
      </c>
      <c r="C84" s="614">
        <f t="shared" si="28"/>
        <v>0.65</v>
      </c>
      <c r="D84" s="614">
        <f t="shared" si="28"/>
        <v>0</v>
      </c>
      <c r="E84" s="614">
        <f t="shared" si="28"/>
        <v>0</v>
      </c>
      <c r="F84" s="614">
        <f t="shared" si="28"/>
        <v>0.2</v>
      </c>
      <c r="G84" s="614">
        <f t="shared" si="28"/>
        <v>0</v>
      </c>
      <c r="H84" s="614">
        <f t="shared" si="28"/>
        <v>0.85000000000000009</v>
      </c>
      <c r="J84" s="616" t="s">
        <v>846</v>
      </c>
      <c r="K84" s="614">
        <f>Ielas!T584</f>
        <v>0.65</v>
      </c>
      <c r="L84" s="614">
        <f>Ielas!U584</f>
        <v>0</v>
      </c>
      <c r="M84" s="614">
        <f>Ielas!V584</f>
        <v>0</v>
      </c>
      <c r="N84" s="614">
        <f>Ielas!W584</f>
        <v>0.2</v>
      </c>
      <c r="O84" s="614">
        <f>Ielas!X584</f>
        <v>0</v>
      </c>
      <c r="P84" s="614">
        <f>Ielas!Y584</f>
        <v>0.85000000000000009</v>
      </c>
      <c r="Q84" s="616" t="s">
        <v>846</v>
      </c>
      <c r="R84" s="614">
        <f>Ielas!AA584</f>
        <v>0</v>
      </c>
      <c r="S84" s="614">
        <f>Ielas!AB584</f>
        <v>0</v>
      </c>
      <c r="T84" s="614">
        <f>Ielas!AC584</f>
        <v>0</v>
      </c>
      <c r="U84" s="614">
        <f>Ielas!AD584</f>
        <v>0</v>
      </c>
      <c r="V84" s="614">
        <f>Ielas!AE584</f>
        <v>0</v>
      </c>
      <c r="W84" s="614">
        <f>Ielas!AF584</f>
        <v>0</v>
      </c>
      <c r="Y84" s="616" t="s">
        <v>846</v>
      </c>
      <c r="Z84" s="614"/>
      <c r="AA84" s="614"/>
      <c r="AB84" s="614"/>
      <c r="AC84" s="614"/>
      <c r="AD84" s="614"/>
      <c r="AE84" s="614"/>
      <c r="AF84" s="616" t="s">
        <v>846</v>
      </c>
      <c r="AG84" s="614"/>
      <c r="AH84" s="614"/>
      <c r="AI84" s="614"/>
      <c r="AJ84" s="614"/>
      <c r="AK84" s="614"/>
      <c r="AL84" s="614"/>
      <c r="AN84" s="616" t="s">
        <v>846</v>
      </c>
      <c r="AO84" s="614"/>
      <c r="AP84" s="614"/>
      <c r="AQ84" s="614"/>
      <c r="AR84" s="614"/>
      <c r="AS84" s="614"/>
      <c r="AT84" s="614"/>
      <c r="AU84" s="616" t="s">
        <v>846</v>
      </c>
      <c r="AV84" s="614"/>
      <c r="AW84" s="614"/>
      <c r="AX84" s="614"/>
      <c r="AY84" s="614"/>
      <c r="AZ84" s="614"/>
      <c r="BA84" s="614"/>
      <c r="BC84" s="616" t="s">
        <v>846</v>
      </c>
      <c r="BD84" s="614"/>
      <c r="BE84" s="614"/>
      <c r="BF84" s="614"/>
      <c r="BG84" s="614"/>
      <c r="BH84" s="614"/>
      <c r="BI84" s="614"/>
      <c r="BJ84" s="616" t="s">
        <v>846</v>
      </c>
      <c r="BK84" s="614"/>
      <c r="BL84" s="614"/>
      <c r="BM84" s="614"/>
      <c r="BN84" s="614"/>
      <c r="BO84" s="614"/>
      <c r="BP84" s="614"/>
      <c r="BR84" s="616" t="s">
        <v>846</v>
      </c>
      <c r="BS84" s="614">
        <f t="shared" si="29"/>
        <v>0.65</v>
      </c>
      <c r="BT84" s="614">
        <f t="shared" si="29"/>
        <v>0</v>
      </c>
      <c r="BU84" s="614">
        <f t="shared" si="29"/>
        <v>0</v>
      </c>
      <c r="BV84" s="614">
        <f t="shared" si="29"/>
        <v>0.2</v>
      </c>
      <c r="BW84" s="614">
        <f t="shared" si="29"/>
        <v>0</v>
      </c>
      <c r="BX84" s="614">
        <f t="shared" si="29"/>
        <v>0.85000000000000009</v>
      </c>
    </row>
    <row r="85" spans="2:76" x14ac:dyDescent="0.25">
      <c r="C85" s="614">
        <f t="shared" si="28"/>
        <v>0.65</v>
      </c>
      <c r="D85" s="614">
        <f t="shared" si="28"/>
        <v>0</v>
      </c>
      <c r="E85" s="614">
        <f t="shared" si="28"/>
        <v>0</v>
      </c>
      <c r="F85" s="614">
        <f t="shared" si="28"/>
        <v>0.2</v>
      </c>
      <c r="G85" s="614">
        <f t="shared" si="28"/>
        <v>0</v>
      </c>
      <c r="H85" s="614">
        <f t="shared" si="28"/>
        <v>0.85000000000000009</v>
      </c>
      <c r="K85" s="614">
        <f>Ielas!T585</f>
        <v>0.65</v>
      </c>
      <c r="L85" s="614">
        <f>Ielas!U585</f>
        <v>0</v>
      </c>
      <c r="M85" s="614">
        <f>Ielas!V585</f>
        <v>0</v>
      </c>
      <c r="N85" s="614">
        <f>Ielas!W585</f>
        <v>0.2</v>
      </c>
      <c r="O85" s="614">
        <f>Ielas!X585</f>
        <v>0</v>
      </c>
      <c r="P85" s="614">
        <f>Ielas!Y585</f>
        <v>0.85000000000000009</v>
      </c>
      <c r="R85" s="614">
        <f>Ielas!AA585</f>
        <v>0</v>
      </c>
      <c r="S85" s="614">
        <f>Ielas!AB585</f>
        <v>0</v>
      </c>
      <c r="T85" s="614">
        <f>Ielas!AC585</f>
        <v>0</v>
      </c>
      <c r="U85" s="614">
        <f>Ielas!AD585</f>
        <v>0</v>
      </c>
      <c r="V85" s="614">
        <f>Ielas!AE585</f>
        <v>0</v>
      </c>
      <c r="W85" s="614">
        <f>Ielas!AF585</f>
        <v>0</v>
      </c>
      <c r="Z85" s="614"/>
      <c r="AA85" s="614"/>
      <c r="AB85" s="614"/>
      <c r="AC85" s="614"/>
      <c r="AD85" s="614"/>
      <c r="AE85" s="614"/>
      <c r="AG85" s="614"/>
      <c r="AH85" s="614"/>
      <c r="AI85" s="614"/>
      <c r="AJ85" s="614"/>
      <c r="AK85" s="614"/>
      <c r="AL85" s="614"/>
      <c r="AO85" s="614"/>
      <c r="AP85" s="614"/>
      <c r="AQ85" s="614"/>
      <c r="AR85" s="614"/>
      <c r="AS85" s="614"/>
      <c r="AT85" s="614"/>
      <c r="AV85" s="614"/>
      <c r="AW85" s="614"/>
      <c r="AX85" s="614"/>
      <c r="AY85" s="614"/>
      <c r="AZ85" s="614"/>
      <c r="BA85" s="614"/>
      <c r="BD85" s="614"/>
      <c r="BE85" s="614"/>
      <c r="BF85" s="614"/>
      <c r="BG85" s="614"/>
      <c r="BH85" s="614"/>
      <c r="BI85" s="614"/>
      <c r="BK85" s="614"/>
      <c r="BL85" s="614"/>
      <c r="BM85" s="614"/>
      <c r="BN85" s="614"/>
      <c r="BO85" s="614"/>
      <c r="BP85" s="614"/>
      <c r="BS85" s="614">
        <f t="shared" si="29"/>
        <v>0.65</v>
      </c>
      <c r="BT85" s="614">
        <f t="shared" si="29"/>
        <v>0</v>
      </c>
      <c r="BU85" s="614">
        <f t="shared" si="29"/>
        <v>0</v>
      </c>
      <c r="BV85" s="614">
        <f t="shared" si="29"/>
        <v>0.2</v>
      </c>
      <c r="BW85" s="614">
        <f t="shared" si="29"/>
        <v>0</v>
      </c>
      <c r="BX85" s="614">
        <f t="shared" si="29"/>
        <v>0.85000000000000009</v>
      </c>
    </row>
    <row r="86" spans="2:76" x14ac:dyDescent="0.25">
      <c r="C86" s="667"/>
      <c r="D86" s="667"/>
      <c r="E86" s="667"/>
      <c r="F86" s="667"/>
      <c r="G86" s="667"/>
      <c r="H86" s="667"/>
      <c r="BS86" s="667"/>
      <c r="BT86" s="667"/>
      <c r="BU86" s="667"/>
      <c r="BV86" s="667"/>
      <c r="BW86" s="667"/>
      <c r="BX86" s="667"/>
    </row>
    <row r="87" spans="2:76" x14ac:dyDescent="0.25">
      <c r="B87" t="s">
        <v>1170</v>
      </c>
      <c r="C87" s="667"/>
      <c r="D87" s="667"/>
      <c r="E87" s="667"/>
      <c r="F87" s="667"/>
      <c r="G87" s="667"/>
      <c r="H87" s="667"/>
      <c r="K87" t="s">
        <v>1171</v>
      </c>
      <c r="R87" t="s">
        <v>1141</v>
      </c>
      <c r="AG87" t="s">
        <v>1141</v>
      </c>
      <c r="AV87" t="s">
        <v>1141</v>
      </c>
      <c r="BK87" t="s">
        <v>1141</v>
      </c>
      <c r="BR87" t="s">
        <v>1172</v>
      </c>
      <c r="BS87" s="667"/>
      <c r="BT87" s="667"/>
      <c r="BU87" s="667"/>
      <c r="BV87" s="667"/>
      <c r="BW87" s="667"/>
      <c r="BX87" s="667"/>
    </row>
    <row r="88" spans="2:76" ht="23.25" x14ac:dyDescent="0.25">
      <c r="B88" s="102"/>
      <c r="C88" s="669" t="s">
        <v>1092</v>
      </c>
      <c r="D88" s="669" t="s">
        <v>1093</v>
      </c>
      <c r="E88" s="669" t="s">
        <v>1094</v>
      </c>
      <c r="F88" s="669" t="s">
        <v>1095</v>
      </c>
      <c r="G88" s="669" t="s">
        <v>1096</v>
      </c>
      <c r="H88" s="141" t="s">
        <v>269</v>
      </c>
      <c r="J88" s="102"/>
      <c r="K88" s="625" t="s">
        <v>1092</v>
      </c>
      <c r="L88" s="625" t="s">
        <v>1093</v>
      </c>
      <c r="M88" s="625" t="s">
        <v>1094</v>
      </c>
      <c r="N88" s="625" t="s">
        <v>1095</v>
      </c>
      <c r="O88" s="625" t="s">
        <v>1096</v>
      </c>
      <c r="P88" s="627" t="s">
        <v>269</v>
      </c>
      <c r="Q88" s="102"/>
      <c r="R88" s="625" t="s">
        <v>1092</v>
      </c>
      <c r="S88" s="625" t="s">
        <v>1093</v>
      </c>
      <c r="T88" s="625" t="s">
        <v>1094</v>
      </c>
      <c r="U88" s="625" t="s">
        <v>1095</v>
      </c>
      <c r="V88" s="625" t="s">
        <v>1096</v>
      </c>
      <c r="W88" s="627" t="s">
        <v>269</v>
      </c>
      <c r="Y88" s="102"/>
      <c r="Z88" s="625" t="s">
        <v>1092</v>
      </c>
      <c r="AA88" s="625" t="s">
        <v>1093</v>
      </c>
      <c r="AB88" s="625" t="s">
        <v>1094</v>
      </c>
      <c r="AC88" s="625" t="s">
        <v>1095</v>
      </c>
      <c r="AD88" s="625" t="s">
        <v>1096</v>
      </c>
      <c r="AE88" s="627" t="s">
        <v>269</v>
      </c>
      <c r="AF88" s="102"/>
      <c r="AG88" s="625" t="s">
        <v>1092</v>
      </c>
      <c r="AH88" s="625" t="s">
        <v>1093</v>
      </c>
      <c r="AI88" s="625" t="s">
        <v>1094</v>
      </c>
      <c r="AJ88" s="625" t="s">
        <v>1095</v>
      </c>
      <c r="AK88" s="625" t="s">
        <v>1096</v>
      </c>
      <c r="AL88" s="627" t="s">
        <v>269</v>
      </c>
      <c r="AN88" s="102"/>
      <c r="AO88" s="625" t="s">
        <v>1092</v>
      </c>
      <c r="AP88" s="625" t="s">
        <v>1093</v>
      </c>
      <c r="AQ88" s="625" t="s">
        <v>1094</v>
      </c>
      <c r="AR88" s="625" t="s">
        <v>1095</v>
      </c>
      <c r="AS88" s="625" t="s">
        <v>1096</v>
      </c>
      <c r="AT88" s="627" t="s">
        <v>269</v>
      </c>
      <c r="AU88" s="102"/>
      <c r="AV88" s="625" t="s">
        <v>1092</v>
      </c>
      <c r="AW88" s="625" t="s">
        <v>1093</v>
      </c>
      <c r="AX88" s="625" t="s">
        <v>1094</v>
      </c>
      <c r="AY88" s="625" t="s">
        <v>1095</v>
      </c>
      <c r="AZ88" s="625" t="s">
        <v>1096</v>
      </c>
      <c r="BA88" s="627" t="s">
        <v>269</v>
      </c>
      <c r="BC88" s="102"/>
      <c r="BD88" s="625" t="s">
        <v>1092</v>
      </c>
      <c r="BE88" s="625" t="s">
        <v>1093</v>
      </c>
      <c r="BF88" s="625" t="s">
        <v>1094</v>
      </c>
      <c r="BG88" s="625" t="s">
        <v>1095</v>
      </c>
      <c r="BH88" s="625" t="s">
        <v>1096</v>
      </c>
      <c r="BI88" s="627" t="s">
        <v>269</v>
      </c>
      <c r="BJ88" s="102"/>
      <c r="BK88" s="625" t="s">
        <v>1092</v>
      </c>
      <c r="BL88" s="625" t="s">
        <v>1093</v>
      </c>
      <c r="BM88" s="625" t="s">
        <v>1094</v>
      </c>
      <c r="BN88" s="625" t="s">
        <v>1095</v>
      </c>
      <c r="BO88" s="625" t="s">
        <v>1096</v>
      </c>
      <c r="BP88" s="627" t="s">
        <v>269</v>
      </c>
      <c r="BR88" s="102"/>
      <c r="BS88" s="669" t="s">
        <v>1092</v>
      </c>
      <c r="BT88" s="669" t="s">
        <v>1093</v>
      </c>
      <c r="BU88" s="669" t="s">
        <v>1094</v>
      </c>
      <c r="BV88" s="669" t="s">
        <v>1095</v>
      </c>
      <c r="BW88" s="669" t="s">
        <v>1096</v>
      </c>
      <c r="BX88" s="141" t="s">
        <v>269</v>
      </c>
    </row>
    <row r="89" spans="2:76" x14ac:dyDescent="0.25">
      <c r="B89" s="628" t="s">
        <v>844</v>
      </c>
      <c r="C89" s="669" t="s">
        <v>231</v>
      </c>
      <c r="D89" s="669" t="s">
        <v>231</v>
      </c>
      <c r="E89" s="669" t="s">
        <v>231</v>
      </c>
      <c r="F89" s="669" t="s">
        <v>231</v>
      </c>
      <c r="G89" s="669" t="s">
        <v>231</v>
      </c>
      <c r="H89" s="670" t="s">
        <v>231</v>
      </c>
      <c r="J89" s="628" t="s">
        <v>844</v>
      </c>
      <c r="K89" s="625" t="s">
        <v>231</v>
      </c>
      <c r="L89" s="625" t="s">
        <v>231</v>
      </c>
      <c r="M89" s="625" t="s">
        <v>231</v>
      </c>
      <c r="N89" s="625" t="s">
        <v>231</v>
      </c>
      <c r="O89" s="625" t="s">
        <v>231</v>
      </c>
      <c r="P89" s="626" t="s">
        <v>231</v>
      </c>
      <c r="Q89" s="628"/>
      <c r="R89" s="625" t="s">
        <v>231</v>
      </c>
      <c r="S89" s="625" t="s">
        <v>231</v>
      </c>
      <c r="T89" s="625" t="s">
        <v>231</v>
      </c>
      <c r="U89" s="625" t="s">
        <v>231</v>
      </c>
      <c r="V89" s="625" t="s">
        <v>231</v>
      </c>
      <c r="W89" s="626" t="s">
        <v>231</v>
      </c>
      <c r="Y89" s="628" t="s">
        <v>844</v>
      </c>
      <c r="Z89" s="625" t="s">
        <v>231</v>
      </c>
      <c r="AA89" s="625" t="s">
        <v>231</v>
      </c>
      <c r="AB89" s="625" t="s">
        <v>231</v>
      </c>
      <c r="AC89" s="625" t="s">
        <v>231</v>
      </c>
      <c r="AD89" s="625" t="s">
        <v>231</v>
      </c>
      <c r="AE89" s="626" t="s">
        <v>231</v>
      </c>
      <c r="AF89" s="628"/>
      <c r="AG89" s="625" t="s">
        <v>231</v>
      </c>
      <c r="AH89" s="625" t="s">
        <v>231</v>
      </c>
      <c r="AI89" s="625" t="s">
        <v>231</v>
      </c>
      <c r="AJ89" s="625" t="s">
        <v>231</v>
      </c>
      <c r="AK89" s="625" t="s">
        <v>231</v>
      </c>
      <c r="AL89" s="626" t="s">
        <v>231</v>
      </c>
      <c r="AN89" s="628" t="s">
        <v>844</v>
      </c>
      <c r="AO89" s="625" t="s">
        <v>231</v>
      </c>
      <c r="AP89" s="625" t="s">
        <v>231</v>
      </c>
      <c r="AQ89" s="625" t="s">
        <v>231</v>
      </c>
      <c r="AR89" s="625" t="s">
        <v>231</v>
      </c>
      <c r="AS89" s="625" t="s">
        <v>231</v>
      </c>
      <c r="AT89" s="626" t="s">
        <v>231</v>
      </c>
      <c r="AU89" s="628"/>
      <c r="AV89" s="625" t="s">
        <v>231</v>
      </c>
      <c r="AW89" s="625" t="s">
        <v>231</v>
      </c>
      <c r="AX89" s="625" t="s">
        <v>231</v>
      </c>
      <c r="AY89" s="625" t="s">
        <v>231</v>
      </c>
      <c r="AZ89" s="625" t="s">
        <v>231</v>
      </c>
      <c r="BA89" s="626" t="s">
        <v>231</v>
      </c>
      <c r="BC89" s="628" t="s">
        <v>844</v>
      </c>
      <c r="BD89" s="625" t="s">
        <v>231</v>
      </c>
      <c r="BE89" s="625" t="s">
        <v>231</v>
      </c>
      <c r="BF89" s="625" t="s">
        <v>231</v>
      </c>
      <c r="BG89" s="625" t="s">
        <v>231</v>
      </c>
      <c r="BH89" s="625" t="s">
        <v>231</v>
      </c>
      <c r="BI89" s="626" t="s">
        <v>231</v>
      </c>
      <c r="BJ89" s="628"/>
      <c r="BK89" s="625" t="s">
        <v>231</v>
      </c>
      <c r="BL89" s="625" t="s">
        <v>231</v>
      </c>
      <c r="BM89" s="625" t="s">
        <v>231</v>
      </c>
      <c r="BN89" s="625" t="s">
        <v>231</v>
      </c>
      <c r="BO89" s="625" t="s">
        <v>231</v>
      </c>
      <c r="BP89" s="626" t="s">
        <v>231</v>
      </c>
      <c r="BR89" s="628" t="s">
        <v>844</v>
      </c>
      <c r="BS89" s="669" t="s">
        <v>231</v>
      </c>
      <c r="BT89" s="669" t="s">
        <v>231</v>
      </c>
      <c r="BU89" s="669" t="s">
        <v>231</v>
      </c>
      <c r="BV89" s="669" t="s">
        <v>231</v>
      </c>
      <c r="BW89" s="669" t="s">
        <v>231</v>
      </c>
      <c r="BX89" s="670" t="s">
        <v>231</v>
      </c>
    </row>
    <row r="90" spans="2:76" x14ac:dyDescent="0.25">
      <c r="B90" s="616" t="s">
        <v>847</v>
      </c>
      <c r="C90" s="614">
        <f t="shared" ref="C90:H94" si="30">K90+Z90+AO90</f>
        <v>0</v>
      </c>
      <c r="D90" s="614">
        <f t="shared" si="30"/>
        <v>0</v>
      </c>
      <c r="E90" s="614">
        <f t="shared" si="30"/>
        <v>0</v>
      </c>
      <c r="F90" s="614">
        <f t="shared" si="30"/>
        <v>0</v>
      </c>
      <c r="G90" s="614">
        <f t="shared" si="30"/>
        <v>0</v>
      </c>
      <c r="H90" s="614">
        <f t="shared" si="30"/>
        <v>0</v>
      </c>
      <c r="J90" s="616" t="s">
        <v>847</v>
      </c>
      <c r="K90" s="614">
        <f>Ielas!T605</f>
        <v>0</v>
      </c>
      <c r="L90" s="614">
        <f>Ielas!U605</f>
        <v>0</v>
      </c>
      <c r="M90" s="614">
        <f>Ielas!V605</f>
        <v>0</v>
      </c>
      <c r="N90" s="614">
        <f>Ielas!W605</f>
        <v>0</v>
      </c>
      <c r="O90" s="614">
        <f>Ielas!X605</f>
        <v>0</v>
      </c>
      <c r="P90" s="614">
        <f>Ielas!Y605</f>
        <v>0</v>
      </c>
      <c r="Q90" s="616" t="s">
        <v>847</v>
      </c>
      <c r="R90" s="614">
        <f>Ielas!AA605</f>
        <v>0</v>
      </c>
      <c r="S90" s="614">
        <f>Ielas!AB605</f>
        <v>0</v>
      </c>
      <c r="T90" s="614">
        <f>Ielas!AC605</f>
        <v>0</v>
      </c>
      <c r="U90" s="614">
        <f>Ielas!AD605</f>
        <v>0</v>
      </c>
      <c r="V90" s="614">
        <f>Ielas!AE605</f>
        <v>0</v>
      </c>
      <c r="W90" s="614">
        <f>Ielas!AF605</f>
        <v>0</v>
      </c>
      <c r="Y90" s="616" t="s">
        <v>847</v>
      </c>
      <c r="Z90" s="614"/>
      <c r="AA90" s="614"/>
      <c r="AB90" s="614"/>
      <c r="AC90" s="614"/>
      <c r="AD90" s="614"/>
      <c r="AE90" s="614"/>
      <c r="AF90" s="616" t="s">
        <v>847</v>
      </c>
      <c r="AG90" s="614"/>
      <c r="AH90" s="614"/>
      <c r="AI90" s="614"/>
      <c r="AJ90" s="614"/>
      <c r="AK90" s="614"/>
      <c r="AL90" s="614"/>
      <c r="AN90" s="616" t="s">
        <v>847</v>
      </c>
      <c r="AO90" s="614"/>
      <c r="AP90" s="614"/>
      <c r="AQ90" s="614"/>
      <c r="AR90" s="614"/>
      <c r="AS90" s="614"/>
      <c r="AT90" s="614"/>
      <c r="AU90" s="616" t="s">
        <v>847</v>
      </c>
      <c r="AV90" s="614"/>
      <c r="AW90" s="614"/>
      <c r="AX90" s="614"/>
      <c r="AY90" s="614"/>
      <c r="AZ90" s="614"/>
      <c r="BA90" s="614"/>
      <c r="BC90" s="616" t="s">
        <v>847</v>
      </c>
      <c r="BD90" s="614"/>
      <c r="BE90" s="614"/>
      <c r="BF90" s="614"/>
      <c r="BG90" s="614"/>
      <c r="BH90" s="614"/>
      <c r="BI90" s="614"/>
      <c r="BJ90" s="616" t="s">
        <v>847</v>
      </c>
      <c r="BK90" s="614"/>
      <c r="BL90" s="614"/>
      <c r="BM90" s="614"/>
      <c r="BN90" s="614"/>
      <c r="BO90" s="614"/>
      <c r="BP90" s="614"/>
      <c r="BR90" s="616" t="s">
        <v>847</v>
      </c>
      <c r="BS90" s="614">
        <f t="shared" ref="BS90:BX94" si="31">C90-R90-AG90-AV90</f>
        <v>0</v>
      </c>
      <c r="BT90" s="614">
        <f t="shared" si="31"/>
        <v>0</v>
      </c>
      <c r="BU90" s="614">
        <f t="shared" si="31"/>
        <v>0</v>
      </c>
      <c r="BV90" s="614">
        <f t="shared" si="31"/>
        <v>0</v>
      </c>
      <c r="BW90" s="614">
        <f t="shared" si="31"/>
        <v>0</v>
      </c>
      <c r="BX90" s="614">
        <f t="shared" si="31"/>
        <v>0</v>
      </c>
    </row>
    <row r="91" spans="2:76" x14ac:dyDescent="0.25">
      <c r="B91" s="617" t="s">
        <v>848</v>
      </c>
      <c r="C91" s="614">
        <f t="shared" si="30"/>
        <v>0</v>
      </c>
      <c r="D91" s="614">
        <f t="shared" si="30"/>
        <v>0</v>
      </c>
      <c r="E91" s="614">
        <f t="shared" si="30"/>
        <v>0</v>
      </c>
      <c r="F91" s="614">
        <f t="shared" si="30"/>
        <v>0</v>
      </c>
      <c r="G91" s="614">
        <f t="shared" si="30"/>
        <v>0</v>
      </c>
      <c r="H91" s="614">
        <f t="shared" si="30"/>
        <v>0</v>
      </c>
      <c r="J91" s="617" t="s">
        <v>848</v>
      </c>
      <c r="K91" s="614">
        <f>Ielas!T606</f>
        <v>0</v>
      </c>
      <c r="L91" s="614">
        <f>Ielas!U606</f>
        <v>0</v>
      </c>
      <c r="M91" s="614">
        <f>Ielas!V606</f>
        <v>0</v>
      </c>
      <c r="N91" s="614">
        <f>Ielas!W606</f>
        <v>0</v>
      </c>
      <c r="O91" s="614">
        <f>Ielas!X606</f>
        <v>0</v>
      </c>
      <c r="P91" s="614">
        <f>Ielas!Y606</f>
        <v>0</v>
      </c>
      <c r="Q91" s="617" t="s">
        <v>848</v>
      </c>
      <c r="R91" s="614">
        <f>Ielas!AA606</f>
        <v>0</v>
      </c>
      <c r="S91" s="614">
        <f>Ielas!AB606</f>
        <v>0</v>
      </c>
      <c r="T91" s="614">
        <f>Ielas!AC606</f>
        <v>0</v>
      </c>
      <c r="U91" s="614">
        <f>Ielas!AD606</f>
        <v>0</v>
      </c>
      <c r="V91" s="614">
        <f>Ielas!AE606</f>
        <v>0</v>
      </c>
      <c r="W91" s="614">
        <f>Ielas!AF606</f>
        <v>0</v>
      </c>
      <c r="Y91" s="617" t="s">
        <v>848</v>
      </c>
      <c r="Z91" s="614"/>
      <c r="AA91" s="614"/>
      <c r="AB91" s="614"/>
      <c r="AC91" s="614"/>
      <c r="AD91" s="614"/>
      <c r="AE91" s="614"/>
      <c r="AF91" s="617" t="s">
        <v>848</v>
      </c>
      <c r="AG91" s="614"/>
      <c r="AH91" s="614"/>
      <c r="AI91" s="614"/>
      <c r="AJ91" s="614"/>
      <c r="AK91" s="614"/>
      <c r="AL91" s="614"/>
      <c r="AN91" s="617" t="s">
        <v>848</v>
      </c>
      <c r="AO91" s="614"/>
      <c r="AP91" s="614"/>
      <c r="AQ91" s="614"/>
      <c r="AR91" s="614"/>
      <c r="AS91" s="614"/>
      <c r="AT91" s="614"/>
      <c r="AU91" s="617" t="s">
        <v>848</v>
      </c>
      <c r="AV91" s="614"/>
      <c r="AW91" s="614"/>
      <c r="AX91" s="614"/>
      <c r="AY91" s="614"/>
      <c r="AZ91" s="614"/>
      <c r="BA91" s="614"/>
      <c r="BC91" s="617" t="s">
        <v>848</v>
      </c>
      <c r="BD91" s="614"/>
      <c r="BE91" s="614"/>
      <c r="BF91" s="614"/>
      <c r="BG91" s="614"/>
      <c r="BH91" s="614"/>
      <c r="BI91" s="614"/>
      <c r="BJ91" s="617" t="s">
        <v>848</v>
      </c>
      <c r="BK91" s="614"/>
      <c r="BL91" s="614"/>
      <c r="BM91" s="614"/>
      <c r="BN91" s="614"/>
      <c r="BO91" s="614"/>
      <c r="BP91" s="614"/>
      <c r="BR91" s="617" t="s">
        <v>848</v>
      </c>
      <c r="BS91" s="614">
        <f t="shared" si="31"/>
        <v>0</v>
      </c>
      <c r="BT91" s="614">
        <f t="shared" si="31"/>
        <v>0</v>
      </c>
      <c r="BU91" s="614">
        <f t="shared" si="31"/>
        <v>0</v>
      </c>
      <c r="BV91" s="614">
        <f t="shared" si="31"/>
        <v>0</v>
      </c>
      <c r="BW91" s="614">
        <f t="shared" si="31"/>
        <v>0</v>
      </c>
      <c r="BX91" s="614">
        <f t="shared" si="31"/>
        <v>0</v>
      </c>
    </row>
    <row r="92" spans="2:76" x14ac:dyDescent="0.25">
      <c r="B92" s="615" t="s">
        <v>845</v>
      </c>
      <c r="C92" s="614">
        <f t="shared" si="30"/>
        <v>0</v>
      </c>
      <c r="D92" s="614">
        <f t="shared" si="30"/>
        <v>0</v>
      </c>
      <c r="E92" s="614">
        <f t="shared" si="30"/>
        <v>0</v>
      </c>
      <c r="F92" s="614">
        <f t="shared" si="30"/>
        <v>0</v>
      </c>
      <c r="G92" s="614">
        <f t="shared" si="30"/>
        <v>0</v>
      </c>
      <c r="H92" s="614">
        <f t="shared" si="30"/>
        <v>0</v>
      </c>
      <c r="J92" s="615" t="s">
        <v>845</v>
      </c>
      <c r="K92" s="614">
        <f>Ielas!T607</f>
        <v>0</v>
      </c>
      <c r="L92" s="614">
        <f>Ielas!U607</f>
        <v>0</v>
      </c>
      <c r="M92" s="614">
        <f>Ielas!V607</f>
        <v>0</v>
      </c>
      <c r="N92" s="614">
        <f>Ielas!W607</f>
        <v>0</v>
      </c>
      <c r="O92" s="614">
        <f>Ielas!X607</f>
        <v>0</v>
      </c>
      <c r="P92" s="614">
        <f>Ielas!Y607</f>
        <v>0</v>
      </c>
      <c r="Q92" s="615" t="s">
        <v>845</v>
      </c>
      <c r="R92" s="614">
        <f>Ielas!AA607</f>
        <v>0</v>
      </c>
      <c r="S92" s="614">
        <f>Ielas!AB607</f>
        <v>0</v>
      </c>
      <c r="T92" s="614">
        <f>Ielas!AC607</f>
        <v>0</v>
      </c>
      <c r="U92" s="614">
        <f>Ielas!AD607</f>
        <v>0</v>
      </c>
      <c r="V92" s="614">
        <f>Ielas!AE607</f>
        <v>0</v>
      </c>
      <c r="W92" s="614">
        <f>Ielas!AF607</f>
        <v>0</v>
      </c>
      <c r="Y92" s="615" t="s">
        <v>845</v>
      </c>
      <c r="Z92" s="614"/>
      <c r="AA92" s="614"/>
      <c r="AB92" s="614"/>
      <c r="AC92" s="614"/>
      <c r="AD92" s="614"/>
      <c r="AE92" s="614"/>
      <c r="AF92" s="615" t="s">
        <v>845</v>
      </c>
      <c r="AG92" s="614"/>
      <c r="AH92" s="614"/>
      <c r="AI92" s="614"/>
      <c r="AJ92" s="614"/>
      <c r="AK92" s="614"/>
      <c r="AL92" s="614"/>
      <c r="AN92" s="615" t="s">
        <v>845</v>
      </c>
      <c r="AO92" s="614"/>
      <c r="AP92" s="614"/>
      <c r="AQ92" s="614"/>
      <c r="AR92" s="614"/>
      <c r="AS92" s="614"/>
      <c r="AT92" s="614"/>
      <c r="AU92" s="615" t="s">
        <v>845</v>
      </c>
      <c r="AV92" s="614"/>
      <c r="AW92" s="614"/>
      <c r="AX92" s="614"/>
      <c r="AY92" s="614"/>
      <c r="AZ92" s="614"/>
      <c r="BA92" s="614"/>
      <c r="BC92" s="615" t="s">
        <v>845</v>
      </c>
      <c r="BD92" s="614"/>
      <c r="BE92" s="614"/>
      <c r="BF92" s="614"/>
      <c r="BG92" s="614"/>
      <c r="BH92" s="614"/>
      <c r="BI92" s="614"/>
      <c r="BJ92" s="615" t="s">
        <v>845</v>
      </c>
      <c r="BK92" s="614"/>
      <c r="BL92" s="614"/>
      <c r="BM92" s="614"/>
      <c r="BN92" s="614"/>
      <c r="BO92" s="614"/>
      <c r="BP92" s="614"/>
      <c r="BR92" s="615" t="s">
        <v>845</v>
      </c>
      <c r="BS92" s="614">
        <f t="shared" si="31"/>
        <v>0</v>
      </c>
      <c r="BT92" s="614">
        <f t="shared" si="31"/>
        <v>0</v>
      </c>
      <c r="BU92" s="614">
        <f t="shared" si="31"/>
        <v>0</v>
      </c>
      <c r="BV92" s="614">
        <f t="shared" si="31"/>
        <v>0</v>
      </c>
      <c r="BW92" s="614">
        <f t="shared" si="31"/>
        <v>0</v>
      </c>
      <c r="BX92" s="614">
        <f t="shared" si="31"/>
        <v>0</v>
      </c>
    </row>
    <row r="93" spans="2:76" x14ac:dyDescent="0.25">
      <c r="B93" s="616" t="s">
        <v>846</v>
      </c>
      <c r="C93" s="614">
        <f t="shared" si="30"/>
        <v>0.84199999999999997</v>
      </c>
      <c r="D93" s="614">
        <f t="shared" si="30"/>
        <v>0</v>
      </c>
      <c r="E93" s="614">
        <f t="shared" si="30"/>
        <v>0</v>
      </c>
      <c r="F93" s="614">
        <f t="shared" si="30"/>
        <v>2.9000000000000004</v>
      </c>
      <c r="G93" s="614">
        <f t="shared" si="30"/>
        <v>0</v>
      </c>
      <c r="H93" s="614">
        <f t="shared" si="30"/>
        <v>3.7420000000000004</v>
      </c>
      <c r="J93" s="616" t="s">
        <v>846</v>
      </c>
      <c r="K93" s="614">
        <f>Ielas!T608</f>
        <v>0.84199999999999997</v>
      </c>
      <c r="L93" s="614">
        <f>Ielas!U608</f>
        <v>0</v>
      </c>
      <c r="M93" s="614">
        <f>Ielas!V608</f>
        <v>0</v>
      </c>
      <c r="N93" s="614">
        <f>Ielas!W608</f>
        <v>2.9000000000000004</v>
      </c>
      <c r="O93" s="614">
        <f>Ielas!X608</f>
        <v>0</v>
      </c>
      <c r="P93" s="614">
        <f>Ielas!Y608</f>
        <v>3.7420000000000004</v>
      </c>
      <c r="Q93" s="616" t="s">
        <v>846</v>
      </c>
      <c r="R93" s="614">
        <f>Ielas!AA608</f>
        <v>0</v>
      </c>
      <c r="S93" s="614">
        <f>Ielas!AB608</f>
        <v>0</v>
      </c>
      <c r="T93" s="614">
        <f>Ielas!AC608</f>
        <v>0</v>
      </c>
      <c r="U93" s="614">
        <f>Ielas!AD608</f>
        <v>0</v>
      </c>
      <c r="V93" s="614">
        <f>Ielas!AE608</f>
        <v>0</v>
      </c>
      <c r="W93" s="614">
        <f>Ielas!AF608</f>
        <v>0</v>
      </c>
      <c r="Y93" s="616" t="s">
        <v>846</v>
      </c>
      <c r="Z93" s="614"/>
      <c r="AA93" s="614"/>
      <c r="AB93" s="614"/>
      <c r="AC93" s="614"/>
      <c r="AD93" s="614"/>
      <c r="AE93" s="614"/>
      <c r="AF93" s="616" t="s">
        <v>846</v>
      </c>
      <c r="AG93" s="614"/>
      <c r="AH93" s="614"/>
      <c r="AI93" s="614"/>
      <c r="AJ93" s="614"/>
      <c r="AK93" s="614"/>
      <c r="AL93" s="614"/>
      <c r="AN93" s="616" t="s">
        <v>846</v>
      </c>
      <c r="AO93" s="614"/>
      <c r="AP93" s="614"/>
      <c r="AQ93" s="614"/>
      <c r="AR93" s="614"/>
      <c r="AS93" s="614"/>
      <c r="AT93" s="614"/>
      <c r="AU93" s="616" t="s">
        <v>846</v>
      </c>
      <c r="AV93" s="614"/>
      <c r="AW93" s="614"/>
      <c r="AX93" s="614"/>
      <c r="AY93" s="614"/>
      <c r="AZ93" s="614"/>
      <c r="BA93" s="614"/>
      <c r="BC93" s="616" t="s">
        <v>846</v>
      </c>
      <c r="BD93" s="614"/>
      <c r="BE93" s="614"/>
      <c r="BF93" s="614"/>
      <c r="BG93" s="614"/>
      <c r="BH93" s="614"/>
      <c r="BI93" s="614"/>
      <c r="BJ93" s="616" t="s">
        <v>846</v>
      </c>
      <c r="BK93" s="614"/>
      <c r="BL93" s="614"/>
      <c r="BM93" s="614"/>
      <c r="BN93" s="614"/>
      <c r="BO93" s="614"/>
      <c r="BP93" s="614"/>
      <c r="BR93" s="616" t="s">
        <v>846</v>
      </c>
      <c r="BS93" s="614">
        <f t="shared" si="31"/>
        <v>0.84199999999999997</v>
      </c>
      <c r="BT93" s="614">
        <f t="shared" si="31"/>
        <v>0</v>
      </c>
      <c r="BU93" s="614">
        <f t="shared" si="31"/>
        <v>0</v>
      </c>
      <c r="BV93" s="614">
        <f t="shared" si="31"/>
        <v>2.9000000000000004</v>
      </c>
      <c r="BW93" s="614">
        <f t="shared" si="31"/>
        <v>0</v>
      </c>
      <c r="BX93" s="614">
        <f t="shared" si="31"/>
        <v>3.7420000000000004</v>
      </c>
    </row>
    <row r="94" spans="2:76" x14ac:dyDescent="0.25">
      <c r="C94" s="614">
        <f t="shared" si="30"/>
        <v>0.84199999999999997</v>
      </c>
      <c r="D94" s="614">
        <f t="shared" si="30"/>
        <v>0</v>
      </c>
      <c r="E94" s="614">
        <f t="shared" si="30"/>
        <v>0</v>
      </c>
      <c r="F94" s="614">
        <f t="shared" si="30"/>
        <v>2.9000000000000004</v>
      </c>
      <c r="G94" s="614">
        <f t="shared" si="30"/>
        <v>0</v>
      </c>
      <c r="H94" s="614">
        <f t="shared" si="30"/>
        <v>3.7420000000000004</v>
      </c>
      <c r="K94" s="614">
        <f>Ielas!T609</f>
        <v>0.84199999999999997</v>
      </c>
      <c r="L94" s="614">
        <f>Ielas!U609</f>
        <v>0</v>
      </c>
      <c r="M94" s="614">
        <f>Ielas!V609</f>
        <v>0</v>
      </c>
      <c r="N94" s="614">
        <f>Ielas!W609</f>
        <v>2.9000000000000004</v>
      </c>
      <c r="O94" s="614">
        <f>Ielas!X609</f>
        <v>0</v>
      </c>
      <c r="P94" s="614">
        <f>Ielas!Y609</f>
        <v>3.7420000000000004</v>
      </c>
      <c r="R94" s="614">
        <f>Ielas!AA609</f>
        <v>0</v>
      </c>
      <c r="S94" s="614">
        <f>Ielas!AB609</f>
        <v>0</v>
      </c>
      <c r="T94" s="614">
        <f>Ielas!AC609</f>
        <v>0</v>
      </c>
      <c r="U94" s="614">
        <f>Ielas!AD609</f>
        <v>0</v>
      </c>
      <c r="V94" s="614">
        <f>Ielas!AE609</f>
        <v>0</v>
      </c>
      <c r="W94" s="614">
        <f>Ielas!AF609</f>
        <v>0</v>
      </c>
      <c r="Z94" s="614"/>
      <c r="AA94" s="614"/>
      <c r="AB94" s="614"/>
      <c r="AC94" s="614"/>
      <c r="AD94" s="614"/>
      <c r="AE94" s="614"/>
      <c r="AG94" s="614"/>
      <c r="AH94" s="614"/>
      <c r="AI94" s="614"/>
      <c r="AJ94" s="614"/>
      <c r="AK94" s="614"/>
      <c r="AL94" s="614"/>
      <c r="AO94" s="614"/>
      <c r="AP94" s="614"/>
      <c r="AQ94" s="614"/>
      <c r="AR94" s="614"/>
      <c r="AS94" s="614"/>
      <c r="AT94" s="614"/>
      <c r="AV94" s="614"/>
      <c r="AW94" s="614"/>
      <c r="AX94" s="614"/>
      <c r="AY94" s="614"/>
      <c r="AZ94" s="614"/>
      <c r="BA94" s="614"/>
      <c r="BD94" s="614"/>
      <c r="BE94" s="614"/>
      <c r="BF94" s="614"/>
      <c r="BG94" s="614"/>
      <c r="BH94" s="614"/>
      <c r="BI94" s="614"/>
      <c r="BK94" s="614"/>
      <c r="BL94" s="614"/>
      <c r="BM94" s="614"/>
      <c r="BN94" s="614"/>
      <c r="BO94" s="614"/>
      <c r="BP94" s="614"/>
      <c r="BS94" s="614">
        <f t="shared" si="31"/>
        <v>0.84199999999999997</v>
      </c>
      <c r="BT94" s="614">
        <f t="shared" si="31"/>
        <v>0</v>
      </c>
      <c r="BU94" s="614">
        <f t="shared" si="31"/>
        <v>0</v>
      </c>
      <c r="BV94" s="614">
        <f t="shared" si="31"/>
        <v>2.9000000000000004</v>
      </c>
      <c r="BW94" s="614">
        <f t="shared" si="31"/>
        <v>0</v>
      </c>
      <c r="BX94" s="614">
        <f t="shared" si="31"/>
        <v>3.7420000000000004</v>
      </c>
    </row>
    <row r="95" spans="2:76" x14ac:dyDescent="0.25">
      <c r="C95" s="667"/>
      <c r="D95" s="667"/>
      <c r="E95" s="667"/>
      <c r="F95" s="667"/>
      <c r="G95" s="667"/>
      <c r="H95" s="667"/>
      <c r="BS95" s="667"/>
      <c r="BT95" s="667"/>
      <c r="BU95" s="667"/>
      <c r="BV95" s="667"/>
      <c r="BW95" s="667"/>
      <c r="BX95" s="667"/>
    </row>
    <row r="96" spans="2:76" x14ac:dyDescent="0.25">
      <c r="B96" t="s">
        <v>1173</v>
      </c>
      <c r="C96" s="667"/>
      <c r="D96" s="667"/>
      <c r="E96" s="667"/>
      <c r="F96" s="667"/>
      <c r="G96" s="667"/>
      <c r="H96" s="667"/>
      <c r="K96" t="s">
        <v>1174</v>
      </c>
      <c r="R96" t="s">
        <v>1141</v>
      </c>
      <c r="AG96" t="s">
        <v>1141</v>
      </c>
      <c r="AV96" t="s">
        <v>1141</v>
      </c>
      <c r="BK96" t="s">
        <v>1141</v>
      </c>
      <c r="BR96" t="s">
        <v>1175</v>
      </c>
      <c r="BS96" s="667"/>
      <c r="BT96" s="667"/>
      <c r="BU96" s="667"/>
      <c r="BV96" s="667"/>
      <c r="BW96" s="667"/>
      <c r="BX96" s="667"/>
    </row>
    <row r="97" spans="2:76" ht="23.25" x14ac:dyDescent="0.25">
      <c r="B97" s="102"/>
      <c r="C97" s="669" t="s">
        <v>1092</v>
      </c>
      <c r="D97" s="669" t="s">
        <v>1093</v>
      </c>
      <c r="E97" s="669" t="s">
        <v>1094</v>
      </c>
      <c r="F97" s="669" t="s">
        <v>1095</v>
      </c>
      <c r="G97" s="669" t="s">
        <v>1096</v>
      </c>
      <c r="H97" s="141" t="s">
        <v>269</v>
      </c>
      <c r="J97" s="102"/>
      <c r="K97" s="625" t="s">
        <v>1092</v>
      </c>
      <c r="L97" s="625" t="s">
        <v>1093</v>
      </c>
      <c r="M97" s="625" t="s">
        <v>1094</v>
      </c>
      <c r="N97" s="625" t="s">
        <v>1095</v>
      </c>
      <c r="O97" s="625" t="s">
        <v>1096</v>
      </c>
      <c r="P97" s="627" t="s">
        <v>269</v>
      </c>
      <c r="Q97" s="102"/>
      <c r="R97" s="625" t="s">
        <v>1092</v>
      </c>
      <c r="S97" s="625" t="s">
        <v>1093</v>
      </c>
      <c r="T97" s="625" t="s">
        <v>1094</v>
      </c>
      <c r="U97" s="625" t="s">
        <v>1095</v>
      </c>
      <c r="V97" s="625" t="s">
        <v>1096</v>
      </c>
      <c r="W97" s="627" t="s">
        <v>269</v>
      </c>
      <c r="Y97" s="102"/>
      <c r="Z97" s="625" t="s">
        <v>1092</v>
      </c>
      <c r="AA97" s="625" t="s">
        <v>1093</v>
      </c>
      <c r="AB97" s="625" t="s">
        <v>1094</v>
      </c>
      <c r="AC97" s="625" t="s">
        <v>1095</v>
      </c>
      <c r="AD97" s="625" t="s">
        <v>1096</v>
      </c>
      <c r="AE97" s="627" t="s">
        <v>269</v>
      </c>
      <c r="AF97" s="102"/>
      <c r="AG97" s="625" t="s">
        <v>1092</v>
      </c>
      <c r="AH97" s="625" t="s">
        <v>1093</v>
      </c>
      <c r="AI97" s="625" t="s">
        <v>1094</v>
      </c>
      <c r="AJ97" s="625" t="s">
        <v>1095</v>
      </c>
      <c r="AK97" s="625" t="s">
        <v>1096</v>
      </c>
      <c r="AL97" s="627" t="s">
        <v>269</v>
      </c>
      <c r="AN97" s="102"/>
      <c r="AO97" s="625" t="s">
        <v>1092</v>
      </c>
      <c r="AP97" s="625" t="s">
        <v>1093</v>
      </c>
      <c r="AQ97" s="625" t="s">
        <v>1094</v>
      </c>
      <c r="AR97" s="625" t="s">
        <v>1095</v>
      </c>
      <c r="AS97" s="625" t="s">
        <v>1096</v>
      </c>
      <c r="AT97" s="627" t="s">
        <v>269</v>
      </c>
      <c r="AU97" s="102"/>
      <c r="AV97" s="625" t="s">
        <v>1092</v>
      </c>
      <c r="AW97" s="625" t="s">
        <v>1093</v>
      </c>
      <c r="AX97" s="625" t="s">
        <v>1094</v>
      </c>
      <c r="AY97" s="625" t="s">
        <v>1095</v>
      </c>
      <c r="AZ97" s="625" t="s">
        <v>1096</v>
      </c>
      <c r="BA97" s="627" t="s">
        <v>269</v>
      </c>
      <c r="BC97" s="102"/>
      <c r="BD97" s="625" t="s">
        <v>1092</v>
      </c>
      <c r="BE97" s="625" t="s">
        <v>1093</v>
      </c>
      <c r="BF97" s="625" t="s">
        <v>1094</v>
      </c>
      <c r="BG97" s="625" t="s">
        <v>1095</v>
      </c>
      <c r="BH97" s="625" t="s">
        <v>1096</v>
      </c>
      <c r="BI97" s="627" t="s">
        <v>269</v>
      </c>
      <c r="BJ97" s="102"/>
      <c r="BK97" s="625" t="s">
        <v>1092</v>
      </c>
      <c r="BL97" s="625" t="s">
        <v>1093</v>
      </c>
      <c r="BM97" s="625" t="s">
        <v>1094</v>
      </c>
      <c r="BN97" s="625" t="s">
        <v>1095</v>
      </c>
      <c r="BO97" s="625" t="s">
        <v>1096</v>
      </c>
      <c r="BP97" s="627" t="s">
        <v>269</v>
      </c>
      <c r="BR97" s="102"/>
      <c r="BS97" s="669" t="s">
        <v>1092</v>
      </c>
      <c r="BT97" s="669" t="s">
        <v>1093</v>
      </c>
      <c r="BU97" s="669" t="s">
        <v>1094</v>
      </c>
      <c r="BV97" s="669" t="s">
        <v>1095</v>
      </c>
      <c r="BW97" s="669" t="s">
        <v>1096</v>
      </c>
      <c r="BX97" s="141" t="s">
        <v>269</v>
      </c>
    </row>
    <row r="98" spans="2:76" x14ac:dyDescent="0.25">
      <c r="B98" s="628" t="s">
        <v>844</v>
      </c>
      <c r="C98" s="669" t="s">
        <v>231</v>
      </c>
      <c r="D98" s="669" t="s">
        <v>231</v>
      </c>
      <c r="E98" s="669" t="s">
        <v>231</v>
      </c>
      <c r="F98" s="669" t="s">
        <v>231</v>
      </c>
      <c r="G98" s="669" t="s">
        <v>231</v>
      </c>
      <c r="H98" s="670" t="s">
        <v>231</v>
      </c>
      <c r="J98" s="628" t="s">
        <v>844</v>
      </c>
      <c r="K98" s="625" t="s">
        <v>231</v>
      </c>
      <c r="L98" s="625" t="s">
        <v>231</v>
      </c>
      <c r="M98" s="625" t="s">
        <v>231</v>
      </c>
      <c r="N98" s="625" t="s">
        <v>231</v>
      </c>
      <c r="O98" s="625" t="s">
        <v>231</v>
      </c>
      <c r="P98" s="626" t="s">
        <v>231</v>
      </c>
      <c r="Q98" s="628"/>
      <c r="R98" s="625" t="s">
        <v>231</v>
      </c>
      <c r="S98" s="625" t="s">
        <v>231</v>
      </c>
      <c r="T98" s="625" t="s">
        <v>231</v>
      </c>
      <c r="U98" s="625" t="s">
        <v>231</v>
      </c>
      <c r="V98" s="625" t="s">
        <v>231</v>
      </c>
      <c r="W98" s="626" t="s">
        <v>231</v>
      </c>
      <c r="Y98" s="628" t="s">
        <v>844</v>
      </c>
      <c r="Z98" s="625" t="s">
        <v>231</v>
      </c>
      <c r="AA98" s="625" t="s">
        <v>231</v>
      </c>
      <c r="AB98" s="625" t="s">
        <v>231</v>
      </c>
      <c r="AC98" s="625" t="s">
        <v>231</v>
      </c>
      <c r="AD98" s="625" t="s">
        <v>231</v>
      </c>
      <c r="AE98" s="626" t="s">
        <v>231</v>
      </c>
      <c r="AF98" s="628"/>
      <c r="AG98" s="625" t="s">
        <v>231</v>
      </c>
      <c r="AH98" s="625" t="s">
        <v>231</v>
      </c>
      <c r="AI98" s="625" t="s">
        <v>231</v>
      </c>
      <c r="AJ98" s="625" t="s">
        <v>231</v>
      </c>
      <c r="AK98" s="625" t="s">
        <v>231</v>
      </c>
      <c r="AL98" s="626" t="s">
        <v>231</v>
      </c>
      <c r="AN98" s="628" t="s">
        <v>844</v>
      </c>
      <c r="AO98" s="625" t="s">
        <v>231</v>
      </c>
      <c r="AP98" s="625" t="s">
        <v>231</v>
      </c>
      <c r="AQ98" s="625" t="s">
        <v>231</v>
      </c>
      <c r="AR98" s="625" t="s">
        <v>231</v>
      </c>
      <c r="AS98" s="625" t="s">
        <v>231</v>
      </c>
      <c r="AT98" s="626" t="s">
        <v>231</v>
      </c>
      <c r="AU98" s="628"/>
      <c r="AV98" s="625" t="s">
        <v>231</v>
      </c>
      <c r="AW98" s="625" t="s">
        <v>231</v>
      </c>
      <c r="AX98" s="625" t="s">
        <v>231</v>
      </c>
      <c r="AY98" s="625" t="s">
        <v>231</v>
      </c>
      <c r="AZ98" s="625" t="s">
        <v>231</v>
      </c>
      <c r="BA98" s="626" t="s">
        <v>231</v>
      </c>
      <c r="BC98" s="628" t="s">
        <v>844</v>
      </c>
      <c r="BD98" s="625" t="s">
        <v>231</v>
      </c>
      <c r="BE98" s="625" t="s">
        <v>231</v>
      </c>
      <c r="BF98" s="625" t="s">
        <v>231</v>
      </c>
      <c r="BG98" s="625" t="s">
        <v>231</v>
      </c>
      <c r="BH98" s="625" t="s">
        <v>231</v>
      </c>
      <c r="BI98" s="626" t="s">
        <v>231</v>
      </c>
      <c r="BJ98" s="628"/>
      <c r="BK98" s="625" t="s">
        <v>231</v>
      </c>
      <c r="BL98" s="625" t="s">
        <v>231</v>
      </c>
      <c r="BM98" s="625" t="s">
        <v>231</v>
      </c>
      <c r="BN98" s="625" t="s">
        <v>231</v>
      </c>
      <c r="BO98" s="625" t="s">
        <v>231</v>
      </c>
      <c r="BP98" s="626" t="s">
        <v>231</v>
      </c>
      <c r="BR98" s="628" t="s">
        <v>844</v>
      </c>
      <c r="BS98" s="669" t="s">
        <v>231</v>
      </c>
      <c r="BT98" s="669" t="s">
        <v>231</v>
      </c>
      <c r="BU98" s="669" t="s">
        <v>231</v>
      </c>
      <c r="BV98" s="669" t="s">
        <v>231</v>
      </c>
      <c r="BW98" s="669" t="s">
        <v>231</v>
      </c>
      <c r="BX98" s="670" t="s">
        <v>231</v>
      </c>
    </row>
    <row r="99" spans="2:76" x14ac:dyDescent="0.25">
      <c r="B99" s="616" t="s">
        <v>847</v>
      </c>
      <c r="C99" s="614">
        <f t="shared" ref="C99:H103" si="32">K99+Z99+AO99</f>
        <v>0</v>
      </c>
      <c r="D99" s="614">
        <f t="shared" si="32"/>
        <v>0</v>
      </c>
      <c r="E99" s="614">
        <f t="shared" si="32"/>
        <v>0</v>
      </c>
      <c r="F99" s="614">
        <f t="shared" si="32"/>
        <v>0</v>
      </c>
      <c r="G99" s="614">
        <f t="shared" si="32"/>
        <v>0</v>
      </c>
      <c r="H99" s="614">
        <f t="shared" si="32"/>
        <v>0</v>
      </c>
      <c r="J99" s="616" t="s">
        <v>847</v>
      </c>
      <c r="K99" s="614">
        <f>Ielas!T678</f>
        <v>0</v>
      </c>
      <c r="L99" s="614">
        <f>Ielas!U678</f>
        <v>0</v>
      </c>
      <c r="M99" s="614">
        <f>Ielas!V678</f>
        <v>0</v>
      </c>
      <c r="N99" s="614">
        <f>Ielas!W678</f>
        <v>0</v>
      </c>
      <c r="O99" s="614">
        <f>Ielas!X678</f>
        <v>0</v>
      </c>
      <c r="P99" s="614">
        <f>Ielas!Y678</f>
        <v>0</v>
      </c>
      <c r="Q99" s="616" t="s">
        <v>847</v>
      </c>
      <c r="R99" s="614">
        <f>Ielas!AA678</f>
        <v>0</v>
      </c>
      <c r="S99" s="614">
        <f>Ielas!AB678</f>
        <v>0</v>
      </c>
      <c r="T99" s="614">
        <f>Ielas!AC678</f>
        <v>0</v>
      </c>
      <c r="U99" s="614">
        <f>Ielas!AD678</f>
        <v>0</v>
      </c>
      <c r="V99" s="614">
        <f>Ielas!AE678</f>
        <v>0</v>
      </c>
      <c r="W99" s="614">
        <f>Ielas!AF678</f>
        <v>0</v>
      </c>
      <c r="Y99" s="616" t="s">
        <v>847</v>
      </c>
      <c r="Z99" s="614"/>
      <c r="AA99" s="614"/>
      <c r="AB99" s="614"/>
      <c r="AC99" s="614"/>
      <c r="AD99" s="614"/>
      <c r="AE99" s="614"/>
      <c r="AF99" s="616" t="s">
        <v>847</v>
      </c>
      <c r="AG99" s="614"/>
      <c r="AH99" s="614"/>
      <c r="AI99" s="614"/>
      <c r="AJ99" s="614"/>
      <c r="AK99" s="614"/>
      <c r="AL99" s="614"/>
      <c r="AN99" s="616" t="s">
        <v>847</v>
      </c>
      <c r="AO99" s="614"/>
      <c r="AP99" s="614"/>
      <c r="AQ99" s="614"/>
      <c r="AR99" s="614"/>
      <c r="AS99" s="614"/>
      <c r="AT99" s="614"/>
      <c r="AU99" s="616" t="s">
        <v>847</v>
      </c>
      <c r="AV99" s="614"/>
      <c r="AW99" s="614"/>
      <c r="AX99" s="614"/>
      <c r="AY99" s="614"/>
      <c r="AZ99" s="614"/>
      <c r="BA99" s="614"/>
      <c r="BC99" s="616" t="s">
        <v>847</v>
      </c>
      <c r="BD99" s="614"/>
      <c r="BE99" s="614"/>
      <c r="BF99" s="614"/>
      <c r="BG99" s="614"/>
      <c r="BH99" s="614"/>
      <c r="BI99" s="614"/>
      <c r="BJ99" s="616" t="s">
        <v>847</v>
      </c>
      <c r="BK99" s="614"/>
      <c r="BL99" s="614"/>
      <c r="BM99" s="614"/>
      <c r="BN99" s="614"/>
      <c r="BO99" s="614"/>
      <c r="BP99" s="614"/>
      <c r="BR99" s="616" t="s">
        <v>847</v>
      </c>
      <c r="BS99" s="614">
        <f t="shared" ref="BS99:BX103" si="33">C99-R99-AG99-AV99</f>
        <v>0</v>
      </c>
      <c r="BT99" s="614">
        <f t="shared" si="33"/>
        <v>0</v>
      </c>
      <c r="BU99" s="614">
        <f t="shared" si="33"/>
        <v>0</v>
      </c>
      <c r="BV99" s="614">
        <f t="shared" si="33"/>
        <v>0</v>
      </c>
      <c r="BW99" s="614">
        <f t="shared" si="33"/>
        <v>0</v>
      </c>
      <c r="BX99" s="614">
        <f t="shared" si="33"/>
        <v>0</v>
      </c>
    </row>
    <row r="100" spans="2:76" x14ac:dyDescent="0.25">
      <c r="B100" s="617" t="s">
        <v>848</v>
      </c>
      <c r="C100" s="614">
        <f t="shared" si="32"/>
        <v>0.94</v>
      </c>
      <c r="D100" s="614">
        <f t="shared" si="32"/>
        <v>0</v>
      </c>
      <c r="E100" s="614">
        <f t="shared" si="32"/>
        <v>0</v>
      </c>
      <c r="F100" s="614">
        <f t="shared" si="32"/>
        <v>0</v>
      </c>
      <c r="G100" s="614">
        <f t="shared" si="32"/>
        <v>0</v>
      </c>
      <c r="H100" s="614">
        <f t="shared" si="32"/>
        <v>0.94</v>
      </c>
      <c r="J100" s="617" t="s">
        <v>848</v>
      </c>
      <c r="K100" s="614">
        <f>Ielas!T679</f>
        <v>0.94</v>
      </c>
      <c r="L100" s="614">
        <f>Ielas!U679</f>
        <v>0</v>
      </c>
      <c r="M100" s="614">
        <f>Ielas!V679</f>
        <v>0</v>
      </c>
      <c r="N100" s="614">
        <f>Ielas!W679</f>
        <v>0</v>
      </c>
      <c r="O100" s="614">
        <f>Ielas!X679</f>
        <v>0</v>
      </c>
      <c r="P100" s="614">
        <f>Ielas!Y679</f>
        <v>0.94</v>
      </c>
      <c r="Q100" s="617" t="s">
        <v>848</v>
      </c>
      <c r="R100" s="614">
        <f>Ielas!AA679</f>
        <v>0</v>
      </c>
      <c r="S100" s="614">
        <f>Ielas!AB679</f>
        <v>0</v>
      </c>
      <c r="T100" s="614">
        <f>Ielas!AC679</f>
        <v>0</v>
      </c>
      <c r="U100" s="614">
        <f>Ielas!AD679</f>
        <v>0</v>
      </c>
      <c r="V100" s="614">
        <f>Ielas!AE679</f>
        <v>0</v>
      </c>
      <c r="W100" s="614">
        <f>Ielas!AF679</f>
        <v>0</v>
      </c>
      <c r="Y100" s="617" t="s">
        <v>848</v>
      </c>
      <c r="Z100" s="614"/>
      <c r="AA100" s="614"/>
      <c r="AB100" s="614"/>
      <c r="AC100" s="614"/>
      <c r="AD100" s="614"/>
      <c r="AE100" s="614"/>
      <c r="AF100" s="617" t="s">
        <v>848</v>
      </c>
      <c r="AG100" s="614"/>
      <c r="AH100" s="614"/>
      <c r="AI100" s="614"/>
      <c r="AJ100" s="614"/>
      <c r="AK100" s="614"/>
      <c r="AL100" s="614"/>
      <c r="AN100" s="617" t="s">
        <v>848</v>
      </c>
      <c r="AO100" s="614"/>
      <c r="AP100" s="614"/>
      <c r="AQ100" s="614"/>
      <c r="AR100" s="614"/>
      <c r="AS100" s="614"/>
      <c r="AT100" s="614"/>
      <c r="AU100" s="617" t="s">
        <v>848</v>
      </c>
      <c r="AV100" s="614"/>
      <c r="AW100" s="614"/>
      <c r="AX100" s="614"/>
      <c r="AY100" s="614"/>
      <c r="AZ100" s="614"/>
      <c r="BA100" s="614"/>
      <c r="BC100" s="617" t="s">
        <v>848</v>
      </c>
      <c r="BD100" s="614"/>
      <c r="BE100" s="614"/>
      <c r="BF100" s="614"/>
      <c r="BG100" s="614"/>
      <c r="BH100" s="614"/>
      <c r="BI100" s="614"/>
      <c r="BJ100" s="617" t="s">
        <v>848</v>
      </c>
      <c r="BK100" s="614"/>
      <c r="BL100" s="614"/>
      <c r="BM100" s="614"/>
      <c r="BN100" s="614"/>
      <c r="BO100" s="614"/>
      <c r="BP100" s="614"/>
      <c r="BR100" s="617" t="s">
        <v>848</v>
      </c>
      <c r="BS100" s="614">
        <f t="shared" si="33"/>
        <v>0.94</v>
      </c>
      <c r="BT100" s="614">
        <f t="shared" si="33"/>
        <v>0</v>
      </c>
      <c r="BU100" s="614">
        <f t="shared" si="33"/>
        <v>0</v>
      </c>
      <c r="BV100" s="614">
        <f t="shared" si="33"/>
        <v>0</v>
      </c>
      <c r="BW100" s="614">
        <f t="shared" si="33"/>
        <v>0</v>
      </c>
      <c r="BX100" s="614">
        <f t="shared" si="33"/>
        <v>0.94</v>
      </c>
    </row>
    <row r="101" spans="2:76" x14ac:dyDescent="0.25">
      <c r="B101" s="615" t="s">
        <v>845</v>
      </c>
      <c r="C101" s="614">
        <f t="shared" si="32"/>
        <v>3.74</v>
      </c>
      <c r="D101" s="614">
        <f t="shared" si="32"/>
        <v>0</v>
      </c>
      <c r="E101" s="614">
        <f t="shared" si="32"/>
        <v>0</v>
      </c>
      <c r="F101" s="614">
        <f t="shared" si="32"/>
        <v>0.14299999999999999</v>
      </c>
      <c r="G101" s="614">
        <f t="shared" si="32"/>
        <v>0</v>
      </c>
      <c r="H101" s="614">
        <f t="shared" si="32"/>
        <v>3.883</v>
      </c>
      <c r="J101" s="615" t="s">
        <v>845</v>
      </c>
      <c r="K101" s="614">
        <f>Ielas!T680</f>
        <v>3.74</v>
      </c>
      <c r="L101" s="614">
        <f>Ielas!U680</f>
        <v>0</v>
      </c>
      <c r="M101" s="614">
        <f>Ielas!V680</f>
        <v>0</v>
      </c>
      <c r="N101" s="614">
        <f>Ielas!W680</f>
        <v>0.14299999999999999</v>
      </c>
      <c r="O101" s="614">
        <f>Ielas!X680</f>
        <v>0</v>
      </c>
      <c r="P101" s="614">
        <f>Ielas!Y680</f>
        <v>3.883</v>
      </c>
      <c r="Q101" s="615" t="s">
        <v>845</v>
      </c>
      <c r="R101" s="614">
        <f>Ielas!AA680</f>
        <v>0</v>
      </c>
      <c r="S101" s="614">
        <f>Ielas!AB680</f>
        <v>0</v>
      </c>
      <c r="T101" s="614">
        <f>Ielas!AC680</f>
        <v>0</v>
      </c>
      <c r="U101" s="614">
        <f>Ielas!AD680</f>
        <v>0</v>
      </c>
      <c r="V101" s="614">
        <f>Ielas!AE680</f>
        <v>0</v>
      </c>
      <c r="W101" s="614">
        <f>Ielas!AF680</f>
        <v>0</v>
      </c>
      <c r="Y101" s="615" t="s">
        <v>845</v>
      </c>
      <c r="Z101" s="614"/>
      <c r="AA101" s="614"/>
      <c r="AB101" s="614"/>
      <c r="AC101" s="614"/>
      <c r="AD101" s="614"/>
      <c r="AE101" s="614"/>
      <c r="AF101" s="615" t="s">
        <v>845</v>
      </c>
      <c r="AG101" s="614"/>
      <c r="AH101" s="614"/>
      <c r="AI101" s="614"/>
      <c r="AJ101" s="614"/>
      <c r="AK101" s="614"/>
      <c r="AL101" s="614"/>
      <c r="AN101" s="615" t="s">
        <v>845</v>
      </c>
      <c r="AO101" s="614"/>
      <c r="AP101" s="614"/>
      <c r="AQ101" s="614"/>
      <c r="AR101" s="614"/>
      <c r="AS101" s="614"/>
      <c r="AT101" s="614"/>
      <c r="AU101" s="615" t="s">
        <v>845</v>
      </c>
      <c r="AV101" s="614"/>
      <c r="AW101" s="614"/>
      <c r="AX101" s="614"/>
      <c r="AY101" s="614"/>
      <c r="AZ101" s="614"/>
      <c r="BA101" s="614"/>
      <c r="BC101" s="615" t="s">
        <v>845</v>
      </c>
      <c r="BD101" s="614"/>
      <c r="BE101" s="614"/>
      <c r="BF101" s="614"/>
      <c r="BG101" s="614"/>
      <c r="BH101" s="614"/>
      <c r="BI101" s="614"/>
      <c r="BJ101" s="615" t="s">
        <v>845</v>
      </c>
      <c r="BK101" s="614"/>
      <c r="BL101" s="614"/>
      <c r="BM101" s="614"/>
      <c r="BN101" s="614"/>
      <c r="BO101" s="614"/>
      <c r="BP101" s="614"/>
      <c r="BR101" s="615" t="s">
        <v>845</v>
      </c>
      <c r="BS101" s="614">
        <f t="shared" si="33"/>
        <v>3.74</v>
      </c>
      <c r="BT101" s="614">
        <f t="shared" si="33"/>
        <v>0</v>
      </c>
      <c r="BU101" s="614">
        <f t="shared" si="33"/>
        <v>0</v>
      </c>
      <c r="BV101" s="614">
        <f t="shared" si="33"/>
        <v>0.14299999999999999</v>
      </c>
      <c r="BW101" s="614">
        <f t="shared" si="33"/>
        <v>0</v>
      </c>
      <c r="BX101" s="614">
        <f t="shared" si="33"/>
        <v>3.883</v>
      </c>
    </row>
    <row r="102" spans="2:76" x14ac:dyDescent="0.25">
      <c r="B102" s="616" t="s">
        <v>846</v>
      </c>
      <c r="C102" s="614">
        <f t="shared" si="32"/>
        <v>10.686</v>
      </c>
      <c r="D102" s="614">
        <f t="shared" si="32"/>
        <v>0</v>
      </c>
      <c r="E102" s="614">
        <f t="shared" si="32"/>
        <v>0</v>
      </c>
      <c r="F102" s="614">
        <f t="shared" si="32"/>
        <v>3.5400000000000005</v>
      </c>
      <c r="G102" s="614">
        <f t="shared" si="32"/>
        <v>2.6480000000000001</v>
      </c>
      <c r="H102" s="614">
        <f t="shared" si="32"/>
        <v>16.874000000000002</v>
      </c>
      <c r="J102" s="616" t="s">
        <v>846</v>
      </c>
      <c r="K102" s="614">
        <f>Ielas!T681</f>
        <v>10.686</v>
      </c>
      <c r="L102" s="614">
        <f>Ielas!U681</f>
        <v>0</v>
      </c>
      <c r="M102" s="614">
        <f>Ielas!V681</f>
        <v>0</v>
      </c>
      <c r="N102" s="614">
        <f>Ielas!W681</f>
        <v>3.5400000000000005</v>
      </c>
      <c r="O102" s="614">
        <f>Ielas!X681</f>
        <v>2.6480000000000001</v>
      </c>
      <c r="P102" s="614">
        <f>Ielas!Y681</f>
        <v>16.874000000000002</v>
      </c>
      <c r="Q102" s="616" t="s">
        <v>846</v>
      </c>
      <c r="R102" s="614">
        <f>Ielas!AA681</f>
        <v>0</v>
      </c>
      <c r="S102" s="614">
        <f>Ielas!AB681</f>
        <v>0</v>
      </c>
      <c r="T102" s="614">
        <f>Ielas!AC681</f>
        <v>0</v>
      </c>
      <c r="U102" s="614">
        <f>Ielas!AD681</f>
        <v>0</v>
      </c>
      <c r="V102" s="614">
        <f>Ielas!AE681</f>
        <v>0</v>
      </c>
      <c r="W102" s="614">
        <f>Ielas!AF681</f>
        <v>0</v>
      </c>
      <c r="Y102" s="616" t="s">
        <v>846</v>
      </c>
      <c r="Z102" s="614"/>
      <c r="AA102" s="614"/>
      <c r="AB102" s="614"/>
      <c r="AC102" s="614"/>
      <c r="AD102" s="614"/>
      <c r="AE102" s="614"/>
      <c r="AF102" s="616" t="s">
        <v>846</v>
      </c>
      <c r="AG102" s="614"/>
      <c r="AH102" s="614"/>
      <c r="AI102" s="614"/>
      <c r="AJ102" s="614"/>
      <c r="AK102" s="614"/>
      <c r="AL102" s="614"/>
      <c r="AN102" s="616" t="s">
        <v>846</v>
      </c>
      <c r="AO102" s="614"/>
      <c r="AP102" s="614"/>
      <c r="AQ102" s="614"/>
      <c r="AR102" s="614"/>
      <c r="AS102" s="614"/>
      <c r="AT102" s="614"/>
      <c r="AU102" s="616" t="s">
        <v>846</v>
      </c>
      <c r="AV102" s="614"/>
      <c r="AW102" s="614"/>
      <c r="AX102" s="614"/>
      <c r="AY102" s="614"/>
      <c r="AZ102" s="614"/>
      <c r="BA102" s="614"/>
      <c r="BC102" s="616" t="s">
        <v>846</v>
      </c>
      <c r="BD102" s="614"/>
      <c r="BE102" s="614"/>
      <c r="BF102" s="614"/>
      <c r="BG102" s="614"/>
      <c r="BH102" s="614"/>
      <c r="BI102" s="614"/>
      <c r="BJ102" s="616" t="s">
        <v>846</v>
      </c>
      <c r="BK102" s="614"/>
      <c r="BL102" s="614"/>
      <c r="BM102" s="614"/>
      <c r="BN102" s="614"/>
      <c r="BO102" s="614"/>
      <c r="BP102" s="614"/>
      <c r="BR102" s="616" t="s">
        <v>846</v>
      </c>
      <c r="BS102" s="614">
        <f t="shared" si="33"/>
        <v>10.686</v>
      </c>
      <c r="BT102" s="614">
        <f t="shared" si="33"/>
        <v>0</v>
      </c>
      <c r="BU102" s="614">
        <f t="shared" si="33"/>
        <v>0</v>
      </c>
      <c r="BV102" s="614">
        <f t="shared" si="33"/>
        <v>3.5400000000000005</v>
      </c>
      <c r="BW102" s="614">
        <f t="shared" si="33"/>
        <v>2.6480000000000001</v>
      </c>
      <c r="BX102" s="614">
        <f t="shared" si="33"/>
        <v>16.874000000000002</v>
      </c>
    </row>
    <row r="103" spans="2:76" x14ac:dyDescent="0.25">
      <c r="C103" s="614">
        <f t="shared" si="32"/>
        <v>15.366</v>
      </c>
      <c r="D103" s="614">
        <f t="shared" si="32"/>
        <v>0</v>
      </c>
      <c r="E103" s="614">
        <f t="shared" si="32"/>
        <v>0</v>
      </c>
      <c r="F103" s="614">
        <f t="shared" si="32"/>
        <v>3.6830000000000003</v>
      </c>
      <c r="G103" s="614">
        <f t="shared" si="32"/>
        <v>2.6480000000000001</v>
      </c>
      <c r="H103" s="614">
        <f t="shared" si="32"/>
        <v>21.697000000000003</v>
      </c>
      <c r="K103" s="614">
        <f>Ielas!T682</f>
        <v>15.366</v>
      </c>
      <c r="L103" s="614">
        <f>Ielas!U682</f>
        <v>0</v>
      </c>
      <c r="M103" s="614">
        <f>Ielas!V682</f>
        <v>0</v>
      </c>
      <c r="N103" s="614">
        <f>Ielas!W682</f>
        <v>3.6830000000000003</v>
      </c>
      <c r="O103" s="614">
        <f>Ielas!X682</f>
        <v>2.6480000000000001</v>
      </c>
      <c r="P103" s="614">
        <f>Ielas!Y682</f>
        <v>21.697000000000003</v>
      </c>
      <c r="R103" s="614">
        <f>Ielas!AA682</f>
        <v>0</v>
      </c>
      <c r="S103" s="614">
        <f>Ielas!AB682</f>
        <v>0</v>
      </c>
      <c r="T103" s="614">
        <f>Ielas!AC682</f>
        <v>0</v>
      </c>
      <c r="U103" s="614">
        <f>Ielas!AD682</f>
        <v>0</v>
      </c>
      <c r="V103" s="614">
        <f>Ielas!AE682</f>
        <v>0</v>
      </c>
      <c r="W103" s="614">
        <f>Ielas!AF682</f>
        <v>0</v>
      </c>
      <c r="Z103" s="614"/>
      <c r="AA103" s="614"/>
      <c r="AB103" s="614"/>
      <c r="AC103" s="614"/>
      <c r="AD103" s="614"/>
      <c r="AE103" s="614"/>
      <c r="AG103" s="614"/>
      <c r="AH103" s="614"/>
      <c r="AI103" s="614"/>
      <c r="AJ103" s="614"/>
      <c r="AK103" s="614"/>
      <c r="AL103" s="614"/>
      <c r="AO103" s="614"/>
      <c r="AP103" s="614"/>
      <c r="AQ103" s="614"/>
      <c r="AR103" s="614"/>
      <c r="AS103" s="614"/>
      <c r="AT103" s="614"/>
      <c r="AV103" s="614"/>
      <c r="AW103" s="614"/>
      <c r="AX103" s="614"/>
      <c r="AY103" s="614"/>
      <c r="AZ103" s="614"/>
      <c r="BA103" s="614"/>
      <c r="BD103" s="614"/>
      <c r="BE103" s="614"/>
      <c r="BF103" s="614"/>
      <c r="BG103" s="614"/>
      <c r="BH103" s="614"/>
      <c r="BI103" s="614"/>
      <c r="BK103" s="614"/>
      <c r="BL103" s="614"/>
      <c r="BM103" s="614"/>
      <c r="BN103" s="614"/>
      <c r="BO103" s="614"/>
      <c r="BP103" s="614"/>
      <c r="BS103" s="614">
        <f t="shared" si="33"/>
        <v>15.366</v>
      </c>
      <c r="BT103" s="614">
        <f t="shared" si="33"/>
        <v>0</v>
      </c>
      <c r="BU103" s="614">
        <f t="shared" si="33"/>
        <v>0</v>
      </c>
      <c r="BV103" s="614">
        <f t="shared" si="33"/>
        <v>3.6830000000000003</v>
      </c>
      <c r="BW103" s="614">
        <f t="shared" si="33"/>
        <v>2.6480000000000001</v>
      </c>
      <c r="BX103" s="614">
        <f t="shared" si="33"/>
        <v>21.697000000000003</v>
      </c>
    </row>
    <row r="104" spans="2:76" x14ac:dyDescent="0.25">
      <c r="C104" s="667"/>
      <c r="D104" s="667"/>
      <c r="E104" s="667"/>
      <c r="F104" s="667"/>
      <c r="G104" s="667"/>
      <c r="H104" s="667"/>
      <c r="BS104" s="667"/>
      <c r="BT104" s="667"/>
      <c r="BU104" s="667"/>
      <c r="BV104" s="667"/>
      <c r="BW104" s="667"/>
      <c r="BX104" s="667"/>
    </row>
    <row r="105" spans="2:76" x14ac:dyDescent="0.25">
      <c r="B105" t="s">
        <v>1176</v>
      </c>
      <c r="C105" s="667"/>
      <c r="D105" s="667"/>
      <c r="E105" s="667"/>
      <c r="F105" s="667"/>
      <c r="G105" s="667"/>
      <c r="H105" s="667"/>
      <c r="K105" t="s">
        <v>1177</v>
      </c>
      <c r="R105" t="s">
        <v>1141</v>
      </c>
      <c r="AG105" t="s">
        <v>1141</v>
      </c>
      <c r="AV105" t="s">
        <v>1141</v>
      </c>
      <c r="BK105" t="s">
        <v>1141</v>
      </c>
      <c r="BR105" t="s">
        <v>1178</v>
      </c>
      <c r="BS105" s="667"/>
      <c r="BT105" s="667"/>
      <c r="BU105" s="667"/>
      <c r="BV105" s="667"/>
      <c r="BW105" s="667"/>
      <c r="BX105" s="667"/>
    </row>
    <row r="106" spans="2:76" ht="23.25" x14ac:dyDescent="0.25">
      <c r="B106" s="102"/>
      <c r="C106" s="669" t="s">
        <v>1092</v>
      </c>
      <c r="D106" s="669" t="s">
        <v>1093</v>
      </c>
      <c r="E106" s="669" t="s">
        <v>1094</v>
      </c>
      <c r="F106" s="669" t="s">
        <v>1095</v>
      </c>
      <c r="G106" s="669" t="s">
        <v>1096</v>
      </c>
      <c r="H106" s="141" t="s">
        <v>269</v>
      </c>
      <c r="J106" s="102"/>
      <c r="K106" s="625" t="s">
        <v>1092</v>
      </c>
      <c r="L106" s="625" t="s">
        <v>1093</v>
      </c>
      <c r="M106" s="625" t="s">
        <v>1094</v>
      </c>
      <c r="N106" s="625" t="s">
        <v>1095</v>
      </c>
      <c r="O106" s="625" t="s">
        <v>1096</v>
      </c>
      <c r="P106" s="627" t="s">
        <v>269</v>
      </c>
      <c r="Q106" s="102"/>
      <c r="R106" s="625" t="s">
        <v>1092</v>
      </c>
      <c r="S106" s="625" t="s">
        <v>1093</v>
      </c>
      <c r="T106" s="625" t="s">
        <v>1094</v>
      </c>
      <c r="U106" s="625" t="s">
        <v>1095</v>
      </c>
      <c r="V106" s="625" t="s">
        <v>1096</v>
      </c>
      <c r="W106" s="627" t="s">
        <v>269</v>
      </c>
      <c r="Y106" s="102"/>
      <c r="Z106" s="625" t="s">
        <v>1092</v>
      </c>
      <c r="AA106" s="625" t="s">
        <v>1093</v>
      </c>
      <c r="AB106" s="625" t="s">
        <v>1094</v>
      </c>
      <c r="AC106" s="625" t="s">
        <v>1095</v>
      </c>
      <c r="AD106" s="625" t="s">
        <v>1096</v>
      </c>
      <c r="AE106" s="627" t="s">
        <v>269</v>
      </c>
      <c r="AF106" s="102"/>
      <c r="AG106" s="625" t="s">
        <v>1092</v>
      </c>
      <c r="AH106" s="625" t="s">
        <v>1093</v>
      </c>
      <c r="AI106" s="625" t="s">
        <v>1094</v>
      </c>
      <c r="AJ106" s="625" t="s">
        <v>1095</v>
      </c>
      <c r="AK106" s="625" t="s">
        <v>1096</v>
      </c>
      <c r="AL106" s="627" t="s">
        <v>269</v>
      </c>
      <c r="AN106" s="102"/>
      <c r="AO106" s="625" t="s">
        <v>1092</v>
      </c>
      <c r="AP106" s="625" t="s">
        <v>1093</v>
      </c>
      <c r="AQ106" s="625" t="s">
        <v>1094</v>
      </c>
      <c r="AR106" s="625" t="s">
        <v>1095</v>
      </c>
      <c r="AS106" s="625" t="s">
        <v>1096</v>
      </c>
      <c r="AT106" s="627" t="s">
        <v>269</v>
      </c>
      <c r="AU106" s="102"/>
      <c r="AV106" s="625" t="s">
        <v>1092</v>
      </c>
      <c r="AW106" s="625" t="s">
        <v>1093</v>
      </c>
      <c r="AX106" s="625" t="s">
        <v>1094</v>
      </c>
      <c r="AY106" s="625" t="s">
        <v>1095</v>
      </c>
      <c r="AZ106" s="625" t="s">
        <v>1096</v>
      </c>
      <c r="BA106" s="627" t="s">
        <v>269</v>
      </c>
      <c r="BC106" s="102"/>
      <c r="BD106" s="625" t="s">
        <v>1092</v>
      </c>
      <c r="BE106" s="625" t="s">
        <v>1093</v>
      </c>
      <c r="BF106" s="625" t="s">
        <v>1094</v>
      </c>
      <c r="BG106" s="625" t="s">
        <v>1095</v>
      </c>
      <c r="BH106" s="625" t="s">
        <v>1096</v>
      </c>
      <c r="BI106" s="627" t="s">
        <v>269</v>
      </c>
      <c r="BJ106" s="102"/>
      <c r="BK106" s="625" t="s">
        <v>1092</v>
      </c>
      <c r="BL106" s="625" t="s">
        <v>1093</v>
      </c>
      <c r="BM106" s="625" t="s">
        <v>1094</v>
      </c>
      <c r="BN106" s="625" t="s">
        <v>1095</v>
      </c>
      <c r="BO106" s="625" t="s">
        <v>1096</v>
      </c>
      <c r="BP106" s="627" t="s">
        <v>269</v>
      </c>
      <c r="BR106" s="102"/>
      <c r="BS106" s="669" t="s">
        <v>1092</v>
      </c>
      <c r="BT106" s="669" t="s">
        <v>1093</v>
      </c>
      <c r="BU106" s="669" t="s">
        <v>1094</v>
      </c>
      <c r="BV106" s="669" t="s">
        <v>1095</v>
      </c>
      <c r="BW106" s="669" t="s">
        <v>1096</v>
      </c>
      <c r="BX106" s="141" t="s">
        <v>269</v>
      </c>
    </row>
    <row r="107" spans="2:76" x14ac:dyDescent="0.25">
      <c r="B107" s="628" t="s">
        <v>844</v>
      </c>
      <c r="C107" s="669" t="s">
        <v>231</v>
      </c>
      <c r="D107" s="669" t="s">
        <v>231</v>
      </c>
      <c r="E107" s="669" t="s">
        <v>231</v>
      </c>
      <c r="F107" s="669" t="s">
        <v>231</v>
      </c>
      <c r="G107" s="669" t="s">
        <v>231</v>
      </c>
      <c r="H107" s="670" t="s">
        <v>231</v>
      </c>
      <c r="J107" s="628" t="s">
        <v>844</v>
      </c>
      <c r="K107" s="625" t="s">
        <v>231</v>
      </c>
      <c r="L107" s="625" t="s">
        <v>231</v>
      </c>
      <c r="M107" s="625" t="s">
        <v>231</v>
      </c>
      <c r="N107" s="625" t="s">
        <v>231</v>
      </c>
      <c r="O107" s="625" t="s">
        <v>231</v>
      </c>
      <c r="P107" s="626" t="s">
        <v>231</v>
      </c>
      <c r="Q107" s="628"/>
      <c r="R107" s="625" t="s">
        <v>231</v>
      </c>
      <c r="S107" s="625" t="s">
        <v>231</v>
      </c>
      <c r="T107" s="625" t="s">
        <v>231</v>
      </c>
      <c r="U107" s="625" t="s">
        <v>231</v>
      </c>
      <c r="V107" s="625" t="s">
        <v>231</v>
      </c>
      <c r="W107" s="626" t="s">
        <v>231</v>
      </c>
      <c r="Y107" s="628" t="s">
        <v>844</v>
      </c>
      <c r="Z107" s="625" t="s">
        <v>231</v>
      </c>
      <c r="AA107" s="625" t="s">
        <v>231</v>
      </c>
      <c r="AB107" s="625" t="s">
        <v>231</v>
      </c>
      <c r="AC107" s="625" t="s">
        <v>231</v>
      </c>
      <c r="AD107" s="625" t="s">
        <v>231</v>
      </c>
      <c r="AE107" s="626" t="s">
        <v>231</v>
      </c>
      <c r="AF107" s="628"/>
      <c r="AG107" s="625" t="s">
        <v>231</v>
      </c>
      <c r="AH107" s="625" t="s">
        <v>231</v>
      </c>
      <c r="AI107" s="625" t="s">
        <v>231</v>
      </c>
      <c r="AJ107" s="625" t="s">
        <v>231</v>
      </c>
      <c r="AK107" s="625" t="s">
        <v>231</v>
      </c>
      <c r="AL107" s="626" t="s">
        <v>231</v>
      </c>
      <c r="AN107" s="628" t="s">
        <v>844</v>
      </c>
      <c r="AO107" s="625" t="s">
        <v>231</v>
      </c>
      <c r="AP107" s="625" t="s">
        <v>231</v>
      </c>
      <c r="AQ107" s="625" t="s">
        <v>231</v>
      </c>
      <c r="AR107" s="625" t="s">
        <v>231</v>
      </c>
      <c r="AS107" s="625" t="s">
        <v>231</v>
      </c>
      <c r="AT107" s="626" t="s">
        <v>231</v>
      </c>
      <c r="AU107" s="628"/>
      <c r="AV107" s="625" t="s">
        <v>231</v>
      </c>
      <c r="AW107" s="625" t="s">
        <v>231</v>
      </c>
      <c r="AX107" s="625" t="s">
        <v>231</v>
      </c>
      <c r="AY107" s="625" t="s">
        <v>231</v>
      </c>
      <c r="AZ107" s="625" t="s">
        <v>231</v>
      </c>
      <c r="BA107" s="626" t="s">
        <v>231</v>
      </c>
      <c r="BC107" s="628" t="s">
        <v>844</v>
      </c>
      <c r="BD107" s="625" t="s">
        <v>231</v>
      </c>
      <c r="BE107" s="625" t="s">
        <v>231</v>
      </c>
      <c r="BF107" s="625" t="s">
        <v>231</v>
      </c>
      <c r="BG107" s="625" t="s">
        <v>231</v>
      </c>
      <c r="BH107" s="625" t="s">
        <v>231</v>
      </c>
      <c r="BI107" s="626" t="s">
        <v>231</v>
      </c>
      <c r="BJ107" s="628"/>
      <c r="BK107" s="625" t="s">
        <v>231</v>
      </c>
      <c r="BL107" s="625" t="s">
        <v>231</v>
      </c>
      <c r="BM107" s="625" t="s">
        <v>231</v>
      </c>
      <c r="BN107" s="625" t="s">
        <v>231</v>
      </c>
      <c r="BO107" s="625" t="s">
        <v>231</v>
      </c>
      <c r="BP107" s="626" t="s">
        <v>231</v>
      </c>
      <c r="BR107" s="628" t="s">
        <v>844</v>
      </c>
      <c r="BS107" s="669" t="s">
        <v>231</v>
      </c>
      <c r="BT107" s="669" t="s">
        <v>231</v>
      </c>
      <c r="BU107" s="669" t="s">
        <v>231</v>
      </c>
      <c r="BV107" s="669" t="s">
        <v>231</v>
      </c>
      <c r="BW107" s="669" t="s">
        <v>231</v>
      </c>
      <c r="BX107" s="670" t="s">
        <v>231</v>
      </c>
    </row>
    <row r="108" spans="2:76" x14ac:dyDescent="0.25">
      <c r="B108" s="616" t="s">
        <v>847</v>
      </c>
      <c r="C108" s="614">
        <f t="shared" ref="C108:H112" si="34">K108+Z108+AO108</f>
        <v>0</v>
      </c>
      <c r="D108" s="614">
        <f t="shared" si="34"/>
        <v>0</v>
      </c>
      <c r="E108" s="614">
        <f t="shared" si="34"/>
        <v>0</v>
      </c>
      <c r="F108" s="614">
        <f t="shared" si="34"/>
        <v>0</v>
      </c>
      <c r="G108" s="614">
        <f t="shared" si="34"/>
        <v>0</v>
      </c>
      <c r="H108" s="614">
        <f t="shared" si="34"/>
        <v>0</v>
      </c>
      <c r="J108" s="616" t="s">
        <v>847</v>
      </c>
      <c r="K108" s="614">
        <f>Ielas!T697</f>
        <v>0</v>
      </c>
      <c r="L108" s="614">
        <f>Ielas!U697</f>
        <v>0</v>
      </c>
      <c r="M108" s="614">
        <f>Ielas!V697</f>
        <v>0</v>
      </c>
      <c r="N108" s="614">
        <f>Ielas!W697</f>
        <v>0</v>
      </c>
      <c r="O108" s="614">
        <f>Ielas!X697</f>
        <v>0</v>
      </c>
      <c r="P108" s="614">
        <f>Ielas!Y697</f>
        <v>0</v>
      </c>
      <c r="Q108" s="616" t="s">
        <v>847</v>
      </c>
      <c r="R108" s="614">
        <f>Ielas!AA697</f>
        <v>0</v>
      </c>
      <c r="S108" s="614">
        <f>Ielas!AB697</f>
        <v>0</v>
      </c>
      <c r="T108" s="614">
        <f>Ielas!AC697</f>
        <v>0</v>
      </c>
      <c r="U108" s="614">
        <f>Ielas!AD697</f>
        <v>0</v>
      </c>
      <c r="V108" s="614">
        <f>Ielas!AE697</f>
        <v>0</v>
      </c>
      <c r="W108" s="614">
        <f>Ielas!AF697</f>
        <v>0</v>
      </c>
      <c r="Y108" s="616" t="s">
        <v>847</v>
      </c>
      <c r="Z108" s="614"/>
      <c r="AA108" s="614"/>
      <c r="AB108" s="614"/>
      <c r="AC108" s="614"/>
      <c r="AD108" s="614"/>
      <c r="AE108" s="614"/>
      <c r="AF108" s="616" t="s">
        <v>847</v>
      </c>
      <c r="AG108" s="614"/>
      <c r="AH108" s="614"/>
      <c r="AI108" s="614"/>
      <c r="AJ108" s="614"/>
      <c r="AK108" s="614"/>
      <c r="AL108" s="614"/>
      <c r="AN108" s="616" t="s">
        <v>847</v>
      </c>
      <c r="AO108" s="614"/>
      <c r="AP108" s="614"/>
      <c r="AQ108" s="614"/>
      <c r="AR108" s="614"/>
      <c r="AS108" s="614"/>
      <c r="AT108" s="614"/>
      <c r="AU108" s="616" t="s">
        <v>847</v>
      </c>
      <c r="AV108" s="614"/>
      <c r="AW108" s="614"/>
      <c r="AX108" s="614"/>
      <c r="AY108" s="614"/>
      <c r="AZ108" s="614"/>
      <c r="BA108" s="614"/>
      <c r="BC108" s="616" t="s">
        <v>847</v>
      </c>
      <c r="BD108" s="614"/>
      <c r="BE108" s="614"/>
      <c r="BF108" s="614"/>
      <c r="BG108" s="614"/>
      <c r="BH108" s="614"/>
      <c r="BI108" s="614"/>
      <c r="BJ108" s="616" t="s">
        <v>847</v>
      </c>
      <c r="BK108" s="614"/>
      <c r="BL108" s="614"/>
      <c r="BM108" s="614"/>
      <c r="BN108" s="614"/>
      <c r="BO108" s="614"/>
      <c r="BP108" s="614"/>
      <c r="BR108" s="616" t="s">
        <v>847</v>
      </c>
      <c r="BS108" s="614">
        <f t="shared" ref="BS108:BX112" si="35">C108-R108-AG108-AV108</f>
        <v>0</v>
      </c>
      <c r="BT108" s="614">
        <f t="shared" si="35"/>
        <v>0</v>
      </c>
      <c r="BU108" s="614">
        <f t="shared" si="35"/>
        <v>0</v>
      </c>
      <c r="BV108" s="614">
        <f t="shared" si="35"/>
        <v>0</v>
      </c>
      <c r="BW108" s="614">
        <f t="shared" si="35"/>
        <v>0</v>
      </c>
      <c r="BX108" s="614">
        <f t="shared" si="35"/>
        <v>0</v>
      </c>
    </row>
    <row r="109" spans="2:76" x14ac:dyDescent="0.25">
      <c r="B109" s="617" t="s">
        <v>848</v>
      </c>
      <c r="C109" s="614">
        <f t="shared" si="34"/>
        <v>0</v>
      </c>
      <c r="D109" s="614">
        <f t="shared" si="34"/>
        <v>0</v>
      </c>
      <c r="E109" s="614">
        <f t="shared" si="34"/>
        <v>0</v>
      </c>
      <c r="F109" s="614">
        <f t="shared" si="34"/>
        <v>0</v>
      </c>
      <c r="G109" s="614">
        <f t="shared" si="34"/>
        <v>0</v>
      </c>
      <c r="H109" s="614">
        <f t="shared" si="34"/>
        <v>0</v>
      </c>
      <c r="J109" s="617" t="s">
        <v>848</v>
      </c>
      <c r="K109" s="614">
        <f>Ielas!T698</f>
        <v>0</v>
      </c>
      <c r="L109" s="614">
        <f>Ielas!U698</f>
        <v>0</v>
      </c>
      <c r="M109" s="614">
        <f>Ielas!V698</f>
        <v>0</v>
      </c>
      <c r="N109" s="614">
        <f>Ielas!W698</f>
        <v>0</v>
      </c>
      <c r="O109" s="614">
        <f>Ielas!X698</f>
        <v>0</v>
      </c>
      <c r="P109" s="614">
        <f>Ielas!Y698</f>
        <v>0</v>
      </c>
      <c r="Q109" s="617" t="s">
        <v>848</v>
      </c>
      <c r="R109" s="614">
        <f>Ielas!AA698</f>
        <v>0</v>
      </c>
      <c r="S109" s="614">
        <f>Ielas!AB698</f>
        <v>0</v>
      </c>
      <c r="T109" s="614">
        <f>Ielas!AC698</f>
        <v>0</v>
      </c>
      <c r="U109" s="614">
        <f>Ielas!AD698</f>
        <v>0</v>
      </c>
      <c r="V109" s="614">
        <f>Ielas!AE698</f>
        <v>0</v>
      </c>
      <c r="W109" s="614">
        <f>Ielas!AF698</f>
        <v>0</v>
      </c>
      <c r="Y109" s="617" t="s">
        <v>848</v>
      </c>
      <c r="Z109" s="614"/>
      <c r="AA109" s="614"/>
      <c r="AB109" s="614"/>
      <c r="AC109" s="614"/>
      <c r="AD109" s="614"/>
      <c r="AE109" s="614"/>
      <c r="AF109" s="617" t="s">
        <v>848</v>
      </c>
      <c r="AG109" s="614"/>
      <c r="AH109" s="614"/>
      <c r="AI109" s="614"/>
      <c r="AJ109" s="614"/>
      <c r="AK109" s="614"/>
      <c r="AL109" s="614"/>
      <c r="AN109" s="617" t="s">
        <v>848</v>
      </c>
      <c r="AO109" s="614"/>
      <c r="AP109" s="614"/>
      <c r="AQ109" s="614"/>
      <c r="AR109" s="614"/>
      <c r="AS109" s="614"/>
      <c r="AT109" s="614"/>
      <c r="AU109" s="617" t="s">
        <v>848</v>
      </c>
      <c r="AV109" s="614"/>
      <c r="AW109" s="614"/>
      <c r="AX109" s="614"/>
      <c r="AY109" s="614"/>
      <c r="AZ109" s="614"/>
      <c r="BA109" s="614"/>
      <c r="BC109" s="617" t="s">
        <v>848</v>
      </c>
      <c r="BD109" s="614"/>
      <c r="BE109" s="614"/>
      <c r="BF109" s="614"/>
      <c r="BG109" s="614"/>
      <c r="BH109" s="614"/>
      <c r="BI109" s="614"/>
      <c r="BJ109" s="617" t="s">
        <v>848</v>
      </c>
      <c r="BK109" s="614"/>
      <c r="BL109" s="614"/>
      <c r="BM109" s="614"/>
      <c r="BN109" s="614"/>
      <c r="BO109" s="614"/>
      <c r="BP109" s="614"/>
      <c r="BR109" s="617" t="s">
        <v>848</v>
      </c>
      <c r="BS109" s="614">
        <f t="shared" si="35"/>
        <v>0</v>
      </c>
      <c r="BT109" s="614">
        <f t="shared" si="35"/>
        <v>0</v>
      </c>
      <c r="BU109" s="614">
        <f t="shared" si="35"/>
        <v>0</v>
      </c>
      <c r="BV109" s="614">
        <f t="shared" si="35"/>
        <v>0</v>
      </c>
      <c r="BW109" s="614">
        <f t="shared" si="35"/>
        <v>0</v>
      </c>
      <c r="BX109" s="614">
        <f t="shared" si="35"/>
        <v>0</v>
      </c>
    </row>
    <row r="110" spans="2:76" x14ac:dyDescent="0.25">
      <c r="B110" s="615" t="s">
        <v>845</v>
      </c>
      <c r="C110" s="614">
        <f t="shared" si="34"/>
        <v>0</v>
      </c>
      <c r="D110" s="614">
        <f t="shared" si="34"/>
        <v>0</v>
      </c>
      <c r="E110" s="614">
        <f t="shared" si="34"/>
        <v>0</v>
      </c>
      <c r="F110" s="614">
        <f t="shared" si="34"/>
        <v>0</v>
      </c>
      <c r="G110" s="614">
        <f t="shared" si="34"/>
        <v>0</v>
      </c>
      <c r="H110" s="614">
        <f t="shared" si="34"/>
        <v>0</v>
      </c>
      <c r="J110" s="615" t="s">
        <v>845</v>
      </c>
      <c r="K110" s="614">
        <f>Ielas!T699</f>
        <v>0</v>
      </c>
      <c r="L110" s="614">
        <f>Ielas!U699</f>
        <v>0</v>
      </c>
      <c r="M110" s="614">
        <f>Ielas!V699</f>
        <v>0</v>
      </c>
      <c r="N110" s="614">
        <f>Ielas!W699</f>
        <v>0</v>
      </c>
      <c r="O110" s="614">
        <f>Ielas!X699</f>
        <v>0</v>
      </c>
      <c r="P110" s="614">
        <f>Ielas!Y699</f>
        <v>0</v>
      </c>
      <c r="Q110" s="615" t="s">
        <v>845</v>
      </c>
      <c r="R110" s="614">
        <f>Ielas!AA699</f>
        <v>0</v>
      </c>
      <c r="S110" s="614">
        <f>Ielas!AB699</f>
        <v>0</v>
      </c>
      <c r="T110" s="614">
        <f>Ielas!AC699</f>
        <v>0</v>
      </c>
      <c r="U110" s="614">
        <f>Ielas!AD699</f>
        <v>0</v>
      </c>
      <c r="V110" s="614">
        <f>Ielas!AE699</f>
        <v>0</v>
      </c>
      <c r="W110" s="614">
        <f>Ielas!AF699</f>
        <v>0</v>
      </c>
      <c r="Y110" s="615" t="s">
        <v>845</v>
      </c>
      <c r="Z110" s="614"/>
      <c r="AA110" s="614"/>
      <c r="AB110" s="614"/>
      <c r="AC110" s="614"/>
      <c r="AD110" s="614"/>
      <c r="AE110" s="614"/>
      <c r="AF110" s="615" t="s">
        <v>845</v>
      </c>
      <c r="AG110" s="614"/>
      <c r="AH110" s="614"/>
      <c r="AI110" s="614"/>
      <c r="AJ110" s="614"/>
      <c r="AK110" s="614"/>
      <c r="AL110" s="614"/>
      <c r="AN110" s="615" t="s">
        <v>845</v>
      </c>
      <c r="AO110" s="614"/>
      <c r="AP110" s="614"/>
      <c r="AQ110" s="614"/>
      <c r="AR110" s="614"/>
      <c r="AS110" s="614"/>
      <c r="AT110" s="614"/>
      <c r="AU110" s="615" t="s">
        <v>845</v>
      </c>
      <c r="AV110" s="614"/>
      <c r="AW110" s="614"/>
      <c r="AX110" s="614"/>
      <c r="AY110" s="614"/>
      <c r="AZ110" s="614"/>
      <c r="BA110" s="614"/>
      <c r="BC110" s="615" t="s">
        <v>845</v>
      </c>
      <c r="BD110" s="614"/>
      <c r="BE110" s="614"/>
      <c r="BF110" s="614"/>
      <c r="BG110" s="614"/>
      <c r="BH110" s="614"/>
      <c r="BI110" s="614"/>
      <c r="BJ110" s="615" t="s">
        <v>845</v>
      </c>
      <c r="BK110" s="614"/>
      <c r="BL110" s="614"/>
      <c r="BM110" s="614"/>
      <c r="BN110" s="614"/>
      <c r="BO110" s="614"/>
      <c r="BP110" s="614"/>
      <c r="BR110" s="615" t="s">
        <v>845</v>
      </c>
      <c r="BS110" s="614">
        <f t="shared" si="35"/>
        <v>0</v>
      </c>
      <c r="BT110" s="614">
        <f t="shared" si="35"/>
        <v>0</v>
      </c>
      <c r="BU110" s="614">
        <f t="shared" si="35"/>
        <v>0</v>
      </c>
      <c r="BV110" s="614">
        <f t="shared" si="35"/>
        <v>0</v>
      </c>
      <c r="BW110" s="614">
        <f t="shared" si="35"/>
        <v>0</v>
      </c>
      <c r="BX110" s="614">
        <f t="shared" si="35"/>
        <v>0</v>
      </c>
    </row>
    <row r="111" spans="2:76" x14ac:dyDescent="0.25">
      <c r="B111" s="616" t="s">
        <v>846</v>
      </c>
      <c r="C111" s="614">
        <f t="shared" si="34"/>
        <v>4.0199999999999996</v>
      </c>
      <c r="D111" s="614">
        <f t="shared" si="34"/>
        <v>0</v>
      </c>
      <c r="E111" s="614">
        <f t="shared" si="34"/>
        <v>0</v>
      </c>
      <c r="F111" s="614">
        <f t="shared" si="34"/>
        <v>1.085</v>
      </c>
      <c r="G111" s="614">
        <f t="shared" si="34"/>
        <v>0</v>
      </c>
      <c r="H111" s="614">
        <f t="shared" si="34"/>
        <v>5.1049999999999995</v>
      </c>
      <c r="J111" s="616" t="s">
        <v>846</v>
      </c>
      <c r="K111" s="614">
        <f>Ielas!T700</f>
        <v>4.0199999999999996</v>
      </c>
      <c r="L111" s="614">
        <f>Ielas!U700</f>
        <v>0</v>
      </c>
      <c r="M111" s="614">
        <f>Ielas!V700</f>
        <v>0</v>
      </c>
      <c r="N111" s="614">
        <f>Ielas!W700</f>
        <v>1.085</v>
      </c>
      <c r="O111" s="614">
        <f>Ielas!X700</f>
        <v>0</v>
      </c>
      <c r="P111" s="614">
        <f>Ielas!Y700</f>
        <v>5.1049999999999995</v>
      </c>
      <c r="Q111" s="616" t="s">
        <v>846</v>
      </c>
      <c r="R111" s="614">
        <f>Ielas!AA700</f>
        <v>0</v>
      </c>
      <c r="S111" s="614">
        <f>Ielas!AB700</f>
        <v>0</v>
      </c>
      <c r="T111" s="614">
        <f>Ielas!AC700</f>
        <v>0</v>
      </c>
      <c r="U111" s="614">
        <f>Ielas!AD700</f>
        <v>0</v>
      </c>
      <c r="V111" s="614">
        <f>Ielas!AE700</f>
        <v>0</v>
      </c>
      <c r="W111" s="614">
        <f>Ielas!AF700</f>
        <v>0</v>
      </c>
      <c r="Y111" s="616" t="s">
        <v>846</v>
      </c>
      <c r="Z111" s="614"/>
      <c r="AA111" s="614"/>
      <c r="AB111" s="614"/>
      <c r="AC111" s="614"/>
      <c r="AD111" s="614"/>
      <c r="AE111" s="614"/>
      <c r="AF111" s="616" t="s">
        <v>846</v>
      </c>
      <c r="AG111" s="614"/>
      <c r="AH111" s="614"/>
      <c r="AI111" s="614"/>
      <c r="AJ111" s="614"/>
      <c r="AK111" s="614"/>
      <c r="AL111" s="614"/>
      <c r="AN111" s="616" t="s">
        <v>846</v>
      </c>
      <c r="AO111" s="614"/>
      <c r="AP111" s="614"/>
      <c r="AQ111" s="614"/>
      <c r="AR111" s="614"/>
      <c r="AS111" s="614"/>
      <c r="AT111" s="614"/>
      <c r="AU111" s="616" t="s">
        <v>846</v>
      </c>
      <c r="AV111" s="614"/>
      <c r="AW111" s="614"/>
      <c r="AX111" s="614"/>
      <c r="AY111" s="614"/>
      <c r="AZ111" s="614"/>
      <c r="BA111" s="614"/>
      <c r="BC111" s="616" t="s">
        <v>846</v>
      </c>
      <c r="BD111" s="614"/>
      <c r="BE111" s="614"/>
      <c r="BF111" s="614"/>
      <c r="BG111" s="614"/>
      <c r="BH111" s="614"/>
      <c r="BI111" s="614"/>
      <c r="BJ111" s="616" t="s">
        <v>846</v>
      </c>
      <c r="BK111" s="614"/>
      <c r="BL111" s="614"/>
      <c r="BM111" s="614"/>
      <c r="BN111" s="614"/>
      <c r="BO111" s="614"/>
      <c r="BP111" s="614"/>
      <c r="BR111" s="616" t="s">
        <v>846</v>
      </c>
      <c r="BS111" s="614">
        <f t="shared" si="35"/>
        <v>4.0199999999999996</v>
      </c>
      <c r="BT111" s="614">
        <f t="shared" si="35"/>
        <v>0</v>
      </c>
      <c r="BU111" s="614">
        <f t="shared" si="35"/>
        <v>0</v>
      </c>
      <c r="BV111" s="614">
        <f t="shared" si="35"/>
        <v>1.085</v>
      </c>
      <c r="BW111" s="614">
        <f t="shared" si="35"/>
        <v>0</v>
      </c>
      <c r="BX111" s="614">
        <f t="shared" si="35"/>
        <v>5.1049999999999995</v>
      </c>
    </row>
    <row r="112" spans="2:76" x14ac:dyDescent="0.25">
      <c r="C112" s="614">
        <f t="shared" si="34"/>
        <v>4.0199999999999996</v>
      </c>
      <c r="D112" s="614">
        <f t="shared" si="34"/>
        <v>0</v>
      </c>
      <c r="E112" s="614">
        <f t="shared" si="34"/>
        <v>0</v>
      </c>
      <c r="F112" s="614">
        <f t="shared" si="34"/>
        <v>1.085</v>
      </c>
      <c r="G112" s="614">
        <f t="shared" si="34"/>
        <v>0</v>
      </c>
      <c r="H112" s="614">
        <f t="shared" si="34"/>
        <v>5.1049999999999995</v>
      </c>
      <c r="K112" s="614">
        <f>Ielas!T701</f>
        <v>4.0199999999999996</v>
      </c>
      <c r="L112" s="614">
        <f>Ielas!U701</f>
        <v>0</v>
      </c>
      <c r="M112" s="614">
        <f>Ielas!V701</f>
        <v>0</v>
      </c>
      <c r="N112" s="614">
        <f>Ielas!W701</f>
        <v>1.085</v>
      </c>
      <c r="O112" s="614">
        <f>Ielas!X701</f>
        <v>0</v>
      </c>
      <c r="P112" s="614">
        <f>Ielas!Y701</f>
        <v>5.1049999999999995</v>
      </c>
      <c r="R112" s="614">
        <f>Ielas!AA701</f>
        <v>0</v>
      </c>
      <c r="S112" s="614">
        <f>Ielas!AB701</f>
        <v>0</v>
      </c>
      <c r="T112" s="614">
        <f>Ielas!AC701</f>
        <v>0</v>
      </c>
      <c r="U112" s="614">
        <f>Ielas!AD701</f>
        <v>0</v>
      </c>
      <c r="V112" s="614">
        <f>Ielas!AE701</f>
        <v>0</v>
      </c>
      <c r="W112" s="614">
        <f>Ielas!AF701</f>
        <v>0</v>
      </c>
      <c r="Z112" s="614"/>
      <c r="AA112" s="614"/>
      <c r="AB112" s="614"/>
      <c r="AC112" s="614"/>
      <c r="AD112" s="614"/>
      <c r="AE112" s="614"/>
      <c r="AG112" s="614"/>
      <c r="AH112" s="614"/>
      <c r="AI112" s="614"/>
      <c r="AJ112" s="614"/>
      <c r="AK112" s="614"/>
      <c r="AL112" s="614"/>
      <c r="AO112" s="614"/>
      <c r="AP112" s="614"/>
      <c r="AQ112" s="614"/>
      <c r="AR112" s="614"/>
      <c r="AS112" s="614"/>
      <c r="AT112" s="614"/>
      <c r="AV112" s="614"/>
      <c r="AW112" s="614"/>
      <c r="AX112" s="614"/>
      <c r="AY112" s="614"/>
      <c r="AZ112" s="614"/>
      <c r="BA112" s="614"/>
      <c r="BD112" s="614"/>
      <c r="BE112" s="614"/>
      <c r="BF112" s="614"/>
      <c r="BG112" s="614"/>
      <c r="BH112" s="614"/>
      <c r="BI112" s="614"/>
      <c r="BK112" s="614"/>
      <c r="BL112" s="614"/>
      <c r="BM112" s="614"/>
      <c r="BN112" s="614"/>
      <c r="BO112" s="614"/>
      <c r="BP112" s="614"/>
      <c r="BS112" s="614">
        <f t="shared" si="35"/>
        <v>4.0199999999999996</v>
      </c>
      <c r="BT112" s="614">
        <f t="shared" si="35"/>
        <v>0</v>
      </c>
      <c r="BU112" s="614">
        <f t="shared" si="35"/>
        <v>0</v>
      </c>
      <c r="BV112" s="614">
        <f t="shared" si="35"/>
        <v>1.085</v>
      </c>
      <c r="BW112" s="614">
        <f t="shared" si="35"/>
        <v>0</v>
      </c>
      <c r="BX112" s="614">
        <f t="shared" si="35"/>
        <v>5.1049999999999995</v>
      </c>
    </row>
    <row r="113" spans="2:76" x14ac:dyDescent="0.25">
      <c r="C113" s="667"/>
      <c r="D113" s="667"/>
      <c r="E113" s="667"/>
      <c r="F113" s="667"/>
      <c r="G113" s="667"/>
      <c r="H113" s="667"/>
      <c r="BS113" s="667"/>
      <c r="BT113" s="667"/>
      <c r="BU113" s="667"/>
      <c r="BV113" s="667"/>
      <c r="BW113" s="667"/>
      <c r="BX113" s="667"/>
    </row>
    <row r="114" spans="2:76" x14ac:dyDescent="0.25">
      <c r="B114" t="s">
        <v>1179</v>
      </c>
      <c r="C114" s="667"/>
      <c r="D114" s="667"/>
      <c r="E114" s="667"/>
      <c r="F114" s="667"/>
      <c r="G114" s="667"/>
      <c r="H114" s="667"/>
      <c r="K114" t="s">
        <v>1181</v>
      </c>
      <c r="R114" t="s">
        <v>1141</v>
      </c>
      <c r="AG114" t="s">
        <v>1141</v>
      </c>
      <c r="AV114" t="s">
        <v>1141</v>
      </c>
      <c r="BK114" t="s">
        <v>1141</v>
      </c>
      <c r="BR114" t="s">
        <v>1180</v>
      </c>
      <c r="BS114" s="667"/>
      <c r="BT114" s="667"/>
      <c r="BU114" s="667"/>
      <c r="BV114" s="667"/>
      <c r="BW114" s="667"/>
      <c r="BX114" s="667"/>
    </row>
    <row r="115" spans="2:76" ht="23.25" x14ac:dyDescent="0.25">
      <c r="B115" s="102"/>
      <c r="C115" s="669" t="s">
        <v>1092</v>
      </c>
      <c r="D115" s="669" t="s">
        <v>1093</v>
      </c>
      <c r="E115" s="669" t="s">
        <v>1094</v>
      </c>
      <c r="F115" s="669" t="s">
        <v>1095</v>
      </c>
      <c r="G115" s="669" t="s">
        <v>1096</v>
      </c>
      <c r="H115" s="141" t="s">
        <v>269</v>
      </c>
      <c r="J115" s="102"/>
      <c r="K115" s="625" t="s">
        <v>1092</v>
      </c>
      <c r="L115" s="625" t="s">
        <v>1093</v>
      </c>
      <c r="M115" s="625" t="s">
        <v>1094</v>
      </c>
      <c r="N115" s="625" t="s">
        <v>1095</v>
      </c>
      <c r="O115" s="625" t="s">
        <v>1096</v>
      </c>
      <c r="P115" s="627" t="s">
        <v>269</v>
      </c>
      <c r="Q115" s="102"/>
      <c r="R115" s="625" t="s">
        <v>1092</v>
      </c>
      <c r="S115" s="625" t="s">
        <v>1093</v>
      </c>
      <c r="T115" s="625" t="s">
        <v>1094</v>
      </c>
      <c r="U115" s="625" t="s">
        <v>1095</v>
      </c>
      <c r="V115" s="625" t="s">
        <v>1096</v>
      </c>
      <c r="W115" s="627" t="s">
        <v>269</v>
      </c>
      <c r="Y115" s="102"/>
      <c r="Z115" s="625" t="s">
        <v>1092</v>
      </c>
      <c r="AA115" s="625" t="s">
        <v>1093</v>
      </c>
      <c r="AB115" s="625" t="s">
        <v>1094</v>
      </c>
      <c r="AC115" s="625" t="s">
        <v>1095</v>
      </c>
      <c r="AD115" s="625" t="s">
        <v>1096</v>
      </c>
      <c r="AE115" s="627" t="s">
        <v>269</v>
      </c>
      <c r="AF115" s="102"/>
      <c r="AG115" s="625" t="s">
        <v>1092</v>
      </c>
      <c r="AH115" s="625" t="s">
        <v>1093</v>
      </c>
      <c r="AI115" s="625" t="s">
        <v>1094</v>
      </c>
      <c r="AJ115" s="625" t="s">
        <v>1095</v>
      </c>
      <c r="AK115" s="625" t="s">
        <v>1096</v>
      </c>
      <c r="AL115" s="627" t="s">
        <v>269</v>
      </c>
      <c r="AN115" s="102"/>
      <c r="AO115" s="625" t="s">
        <v>1092</v>
      </c>
      <c r="AP115" s="625" t="s">
        <v>1093</v>
      </c>
      <c r="AQ115" s="625" t="s">
        <v>1094</v>
      </c>
      <c r="AR115" s="625" t="s">
        <v>1095</v>
      </c>
      <c r="AS115" s="625" t="s">
        <v>1096</v>
      </c>
      <c r="AT115" s="627" t="s">
        <v>269</v>
      </c>
      <c r="AU115" s="102"/>
      <c r="AV115" s="625" t="s">
        <v>1092</v>
      </c>
      <c r="AW115" s="625" t="s">
        <v>1093</v>
      </c>
      <c r="AX115" s="625" t="s">
        <v>1094</v>
      </c>
      <c r="AY115" s="625" t="s">
        <v>1095</v>
      </c>
      <c r="AZ115" s="625" t="s">
        <v>1096</v>
      </c>
      <c r="BA115" s="627" t="s">
        <v>269</v>
      </c>
      <c r="BC115" s="102"/>
      <c r="BD115" s="625" t="s">
        <v>1092</v>
      </c>
      <c r="BE115" s="625" t="s">
        <v>1093</v>
      </c>
      <c r="BF115" s="625" t="s">
        <v>1094</v>
      </c>
      <c r="BG115" s="625" t="s">
        <v>1095</v>
      </c>
      <c r="BH115" s="625" t="s">
        <v>1096</v>
      </c>
      <c r="BI115" s="627" t="s">
        <v>269</v>
      </c>
      <c r="BJ115" s="102"/>
      <c r="BK115" s="625" t="s">
        <v>1092</v>
      </c>
      <c r="BL115" s="625" t="s">
        <v>1093</v>
      </c>
      <c r="BM115" s="625" t="s">
        <v>1094</v>
      </c>
      <c r="BN115" s="625" t="s">
        <v>1095</v>
      </c>
      <c r="BO115" s="625" t="s">
        <v>1096</v>
      </c>
      <c r="BP115" s="627" t="s">
        <v>269</v>
      </c>
      <c r="BR115" s="102"/>
      <c r="BS115" s="669" t="s">
        <v>1092</v>
      </c>
      <c r="BT115" s="669" t="s">
        <v>1093</v>
      </c>
      <c r="BU115" s="669" t="s">
        <v>1094</v>
      </c>
      <c r="BV115" s="669" t="s">
        <v>1095</v>
      </c>
      <c r="BW115" s="669" t="s">
        <v>1096</v>
      </c>
      <c r="BX115" s="141" t="s">
        <v>269</v>
      </c>
    </row>
    <row r="116" spans="2:76" x14ac:dyDescent="0.25">
      <c r="B116" s="628" t="s">
        <v>844</v>
      </c>
      <c r="C116" s="669" t="s">
        <v>231</v>
      </c>
      <c r="D116" s="669" t="s">
        <v>231</v>
      </c>
      <c r="E116" s="669" t="s">
        <v>231</v>
      </c>
      <c r="F116" s="669" t="s">
        <v>231</v>
      </c>
      <c r="G116" s="669" t="s">
        <v>231</v>
      </c>
      <c r="H116" s="670" t="s">
        <v>231</v>
      </c>
      <c r="J116" s="628" t="s">
        <v>844</v>
      </c>
      <c r="K116" s="625" t="s">
        <v>231</v>
      </c>
      <c r="L116" s="625" t="s">
        <v>231</v>
      </c>
      <c r="M116" s="625" t="s">
        <v>231</v>
      </c>
      <c r="N116" s="625" t="s">
        <v>231</v>
      </c>
      <c r="O116" s="625" t="s">
        <v>231</v>
      </c>
      <c r="P116" s="626" t="s">
        <v>231</v>
      </c>
      <c r="Q116" s="628"/>
      <c r="R116" s="625" t="s">
        <v>231</v>
      </c>
      <c r="S116" s="625" t="s">
        <v>231</v>
      </c>
      <c r="T116" s="625" t="s">
        <v>231</v>
      </c>
      <c r="U116" s="625" t="s">
        <v>231</v>
      </c>
      <c r="V116" s="625" t="s">
        <v>231</v>
      </c>
      <c r="W116" s="626" t="s">
        <v>231</v>
      </c>
      <c r="Y116" s="628" t="s">
        <v>844</v>
      </c>
      <c r="Z116" s="625" t="s">
        <v>231</v>
      </c>
      <c r="AA116" s="625" t="s">
        <v>231</v>
      </c>
      <c r="AB116" s="625" t="s">
        <v>231</v>
      </c>
      <c r="AC116" s="625" t="s">
        <v>231</v>
      </c>
      <c r="AD116" s="625" t="s">
        <v>231</v>
      </c>
      <c r="AE116" s="626" t="s">
        <v>231</v>
      </c>
      <c r="AF116" s="628"/>
      <c r="AG116" s="625" t="s">
        <v>231</v>
      </c>
      <c r="AH116" s="625" t="s">
        <v>231</v>
      </c>
      <c r="AI116" s="625" t="s">
        <v>231</v>
      </c>
      <c r="AJ116" s="625" t="s">
        <v>231</v>
      </c>
      <c r="AK116" s="625" t="s">
        <v>231</v>
      </c>
      <c r="AL116" s="626" t="s">
        <v>231</v>
      </c>
      <c r="AN116" s="628" t="s">
        <v>844</v>
      </c>
      <c r="AO116" s="625" t="s">
        <v>231</v>
      </c>
      <c r="AP116" s="625" t="s">
        <v>231</v>
      </c>
      <c r="AQ116" s="625" t="s">
        <v>231</v>
      </c>
      <c r="AR116" s="625" t="s">
        <v>231</v>
      </c>
      <c r="AS116" s="625" t="s">
        <v>231</v>
      </c>
      <c r="AT116" s="626" t="s">
        <v>231</v>
      </c>
      <c r="AU116" s="628"/>
      <c r="AV116" s="625" t="s">
        <v>231</v>
      </c>
      <c r="AW116" s="625" t="s">
        <v>231</v>
      </c>
      <c r="AX116" s="625" t="s">
        <v>231</v>
      </c>
      <c r="AY116" s="625" t="s">
        <v>231</v>
      </c>
      <c r="AZ116" s="625" t="s">
        <v>231</v>
      </c>
      <c r="BA116" s="626" t="s">
        <v>231</v>
      </c>
      <c r="BC116" s="628" t="s">
        <v>844</v>
      </c>
      <c r="BD116" s="625" t="s">
        <v>231</v>
      </c>
      <c r="BE116" s="625" t="s">
        <v>231</v>
      </c>
      <c r="BF116" s="625" t="s">
        <v>231</v>
      </c>
      <c r="BG116" s="625" t="s">
        <v>231</v>
      </c>
      <c r="BH116" s="625" t="s">
        <v>231</v>
      </c>
      <c r="BI116" s="626" t="s">
        <v>231</v>
      </c>
      <c r="BJ116" s="628"/>
      <c r="BK116" s="625" t="s">
        <v>231</v>
      </c>
      <c r="BL116" s="625" t="s">
        <v>231</v>
      </c>
      <c r="BM116" s="625" t="s">
        <v>231</v>
      </c>
      <c r="BN116" s="625" t="s">
        <v>231</v>
      </c>
      <c r="BO116" s="625" t="s">
        <v>231</v>
      </c>
      <c r="BP116" s="626" t="s">
        <v>231</v>
      </c>
      <c r="BR116" s="628" t="s">
        <v>844</v>
      </c>
      <c r="BS116" s="669" t="s">
        <v>231</v>
      </c>
      <c r="BT116" s="669" t="s">
        <v>231</v>
      </c>
      <c r="BU116" s="669" t="s">
        <v>231</v>
      </c>
      <c r="BV116" s="669" t="s">
        <v>231</v>
      </c>
      <c r="BW116" s="669" t="s">
        <v>231</v>
      </c>
      <c r="BX116" s="670" t="s">
        <v>231</v>
      </c>
    </row>
    <row r="117" spans="2:76" x14ac:dyDescent="0.25">
      <c r="B117" s="616" t="s">
        <v>847</v>
      </c>
      <c r="C117" s="614">
        <f t="shared" ref="C117:H121" si="36">K117+Z117+AO117</f>
        <v>0</v>
      </c>
      <c r="D117" s="614">
        <f t="shared" si="36"/>
        <v>0</v>
      </c>
      <c r="E117" s="614">
        <f t="shared" si="36"/>
        <v>0</v>
      </c>
      <c r="F117" s="614">
        <f t="shared" si="36"/>
        <v>0</v>
      </c>
      <c r="G117" s="614">
        <f t="shared" si="36"/>
        <v>0</v>
      </c>
      <c r="H117" s="614">
        <f t="shared" si="36"/>
        <v>0</v>
      </c>
      <c r="J117" s="616" t="s">
        <v>847</v>
      </c>
      <c r="K117" s="614">
        <f>Ielas!T761</f>
        <v>0</v>
      </c>
      <c r="L117" s="614">
        <f>Ielas!U761</f>
        <v>0</v>
      </c>
      <c r="M117" s="614">
        <f>Ielas!V761</f>
        <v>0</v>
      </c>
      <c r="N117" s="614">
        <f>Ielas!W761</f>
        <v>0</v>
      </c>
      <c r="O117" s="614">
        <f>Ielas!X761</f>
        <v>0</v>
      </c>
      <c r="P117" s="614">
        <f>Ielas!Y761</f>
        <v>0</v>
      </c>
      <c r="Q117" s="616" t="s">
        <v>847</v>
      </c>
      <c r="R117" s="614">
        <f>Ielas!AA761</f>
        <v>0</v>
      </c>
      <c r="S117" s="614">
        <f>Ielas!AB761</f>
        <v>0</v>
      </c>
      <c r="T117" s="614">
        <f>Ielas!AC761</f>
        <v>0</v>
      </c>
      <c r="U117" s="614">
        <f>Ielas!AD761</f>
        <v>0</v>
      </c>
      <c r="V117" s="614">
        <f>Ielas!AE761</f>
        <v>0</v>
      </c>
      <c r="W117" s="614">
        <f>Ielas!AF761</f>
        <v>0</v>
      </c>
      <c r="Y117" s="616" t="s">
        <v>847</v>
      </c>
      <c r="Z117" s="614"/>
      <c r="AA117" s="614"/>
      <c r="AB117" s="614"/>
      <c r="AC117" s="614"/>
      <c r="AD117" s="614"/>
      <c r="AE117" s="614"/>
      <c r="AF117" s="616" t="s">
        <v>847</v>
      </c>
      <c r="AG117" s="614"/>
      <c r="AH117" s="614"/>
      <c r="AI117" s="614"/>
      <c r="AJ117" s="614"/>
      <c r="AK117" s="614"/>
      <c r="AL117" s="614"/>
      <c r="AN117" s="616" t="s">
        <v>847</v>
      </c>
      <c r="AO117" s="614"/>
      <c r="AP117" s="614"/>
      <c r="AQ117" s="614"/>
      <c r="AR117" s="614"/>
      <c r="AS117" s="614"/>
      <c r="AT117" s="614"/>
      <c r="AU117" s="616" t="s">
        <v>847</v>
      </c>
      <c r="AV117" s="614"/>
      <c r="AW117" s="614"/>
      <c r="AX117" s="614"/>
      <c r="AY117" s="614"/>
      <c r="AZ117" s="614"/>
      <c r="BA117" s="614"/>
      <c r="BC117" s="616" t="s">
        <v>847</v>
      </c>
      <c r="BD117" s="614"/>
      <c r="BE117" s="614"/>
      <c r="BF117" s="614"/>
      <c r="BG117" s="614"/>
      <c r="BH117" s="614"/>
      <c r="BI117" s="614"/>
      <c r="BJ117" s="616" t="s">
        <v>847</v>
      </c>
      <c r="BK117" s="614"/>
      <c r="BL117" s="614"/>
      <c r="BM117" s="614"/>
      <c r="BN117" s="614"/>
      <c r="BO117" s="614"/>
      <c r="BP117" s="614"/>
      <c r="BR117" s="616" t="s">
        <v>847</v>
      </c>
      <c r="BS117" s="614">
        <f t="shared" ref="BS117:BX121" si="37">C117-R117-AG117-AV117</f>
        <v>0</v>
      </c>
      <c r="BT117" s="614">
        <f t="shared" si="37"/>
        <v>0</v>
      </c>
      <c r="BU117" s="614">
        <f t="shared" si="37"/>
        <v>0</v>
      </c>
      <c r="BV117" s="614">
        <f t="shared" si="37"/>
        <v>0</v>
      </c>
      <c r="BW117" s="614">
        <f t="shared" si="37"/>
        <v>0</v>
      </c>
      <c r="BX117" s="614">
        <f t="shared" si="37"/>
        <v>0</v>
      </c>
    </row>
    <row r="118" spans="2:76" x14ac:dyDescent="0.25">
      <c r="B118" s="617" t="s">
        <v>848</v>
      </c>
      <c r="C118" s="614">
        <f t="shared" si="36"/>
        <v>0</v>
      </c>
      <c r="D118" s="614">
        <f t="shared" si="36"/>
        <v>0</v>
      </c>
      <c r="E118" s="614">
        <f t="shared" si="36"/>
        <v>0</v>
      </c>
      <c r="F118" s="614">
        <f t="shared" si="36"/>
        <v>0</v>
      </c>
      <c r="G118" s="614">
        <f t="shared" si="36"/>
        <v>0</v>
      </c>
      <c r="H118" s="614">
        <f t="shared" si="36"/>
        <v>0</v>
      </c>
      <c r="J118" s="617" t="s">
        <v>848</v>
      </c>
      <c r="K118" s="614">
        <f>Ielas!T762</f>
        <v>0</v>
      </c>
      <c r="L118" s="614">
        <f>Ielas!U762</f>
        <v>0</v>
      </c>
      <c r="M118" s="614">
        <f>Ielas!V762</f>
        <v>0</v>
      </c>
      <c r="N118" s="614">
        <f>Ielas!W762</f>
        <v>0</v>
      </c>
      <c r="O118" s="614">
        <f>Ielas!X762</f>
        <v>0</v>
      </c>
      <c r="P118" s="614">
        <f>Ielas!Y762</f>
        <v>0</v>
      </c>
      <c r="Q118" s="617" t="s">
        <v>848</v>
      </c>
      <c r="R118" s="614">
        <f>Ielas!AA762</f>
        <v>0</v>
      </c>
      <c r="S118" s="614">
        <f>Ielas!AB762</f>
        <v>0</v>
      </c>
      <c r="T118" s="614">
        <f>Ielas!AC762</f>
        <v>0</v>
      </c>
      <c r="U118" s="614">
        <f>Ielas!AD762</f>
        <v>0</v>
      </c>
      <c r="V118" s="614">
        <f>Ielas!AE762</f>
        <v>0</v>
      </c>
      <c r="W118" s="614">
        <f>Ielas!AF762</f>
        <v>0</v>
      </c>
      <c r="Y118" s="617" t="s">
        <v>848</v>
      </c>
      <c r="Z118" s="614"/>
      <c r="AA118" s="614"/>
      <c r="AB118" s="614"/>
      <c r="AC118" s="614"/>
      <c r="AD118" s="614"/>
      <c r="AE118" s="614"/>
      <c r="AF118" s="617" t="s">
        <v>848</v>
      </c>
      <c r="AG118" s="614"/>
      <c r="AH118" s="614"/>
      <c r="AI118" s="614"/>
      <c r="AJ118" s="614"/>
      <c r="AK118" s="614"/>
      <c r="AL118" s="614"/>
      <c r="AN118" s="617" t="s">
        <v>848</v>
      </c>
      <c r="AO118" s="614"/>
      <c r="AP118" s="614"/>
      <c r="AQ118" s="614"/>
      <c r="AR118" s="614"/>
      <c r="AS118" s="614"/>
      <c r="AT118" s="614"/>
      <c r="AU118" s="617" t="s">
        <v>848</v>
      </c>
      <c r="AV118" s="614"/>
      <c r="AW118" s="614"/>
      <c r="AX118" s="614"/>
      <c r="AY118" s="614"/>
      <c r="AZ118" s="614"/>
      <c r="BA118" s="614"/>
      <c r="BC118" s="617" t="s">
        <v>848</v>
      </c>
      <c r="BD118" s="614"/>
      <c r="BE118" s="614"/>
      <c r="BF118" s="614"/>
      <c r="BG118" s="614"/>
      <c r="BH118" s="614"/>
      <c r="BI118" s="614"/>
      <c r="BJ118" s="617" t="s">
        <v>848</v>
      </c>
      <c r="BK118" s="614"/>
      <c r="BL118" s="614"/>
      <c r="BM118" s="614"/>
      <c r="BN118" s="614"/>
      <c r="BO118" s="614"/>
      <c r="BP118" s="614"/>
      <c r="BR118" s="617" t="s">
        <v>848</v>
      </c>
      <c r="BS118" s="614">
        <f t="shared" si="37"/>
        <v>0</v>
      </c>
      <c r="BT118" s="614">
        <f t="shared" si="37"/>
        <v>0</v>
      </c>
      <c r="BU118" s="614">
        <f t="shared" si="37"/>
        <v>0</v>
      </c>
      <c r="BV118" s="614">
        <f t="shared" si="37"/>
        <v>0</v>
      </c>
      <c r="BW118" s="614">
        <f t="shared" si="37"/>
        <v>0</v>
      </c>
      <c r="BX118" s="614">
        <f t="shared" si="37"/>
        <v>0</v>
      </c>
    </row>
    <row r="119" spans="2:76" x14ac:dyDescent="0.25">
      <c r="B119" s="615" t="s">
        <v>845</v>
      </c>
      <c r="C119" s="614">
        <f t="shared" si="36"/>
        <v>0</v>
      </c>
      <c r="D119" s="614">
        <f t="shared" si="36"/>
        <v>0</v>
      </c>
      <c r="E119" s="614">
        <f t="shared" si="36"/>
        <v>0</v>
      </c>
      <c r="F119" s="614">
        <f t="shared" si="36"/>
        <v>0</v>
      </c>
      <c r="G119" s="614">
        <f t="shared" si="36"/>
        <v>0</v>
      </c>
      <c r="H119" s="614">
        <f t="shared" si="36"/>
        <v>0</v>
      </c>
      <c r="J119" s="615" t="s">
        <v>845</v>
      </c>
      <c r="K119" s="614">
        <f>Ielas!T763</f>
        <v>0</v>
      </c>
      <c r="L119" s="614">
        <f>Ielas!U763</f>
        <v>0</v>
      </c>
      <c r="M119" s="614">
        <f>Ielas!V763</f>
        <v>0</v>
      </c>
      <c r="N119" s="614">
        <f>Ielas!W763</f>
        <v>0</v>
      </c>
      <c r="O119" s="614">
        <f>Ielas!X763</f>
        <v>0</v>
      </c>
      <c r="P119" s="614">
        <f>Ielas!Y763</f>
        <v>0</v>
      </c>
      <c r="Q119" s="615" t="s">
        <v>845</v>
      </c>
      <c r="R119" s="614">
        <f>Ielas!AA763</f>
        <v>0</v>
      </c>
      <c r="S119" s="614">
        <f>Ielas!AB763</f>
        <v>0</v>
      </c>
      <c r="T119" s="614">
        <f>Ielas!AC763</f>
        <v>0</v>
      </c>
      <c r="U119" s="614">
        <f>Ielas!AD763</f>
        <v>0</v>
      </c>
      <c r="V119" s="614">
        <f>Ielas!AE763</f>
        <v>0</v>
      </c>
      <c r="W119" s="614">
        <f>Ielas!AF763</f>
        <v>0</v>
      </c>
      <c r="Y119" s="615" t="s">
        <v>845</v>
      </c>
      <c r="Z119" s="614"/>
      <c r="AA119" s="614"/>
      <c r="AB119" s="614"/>
      <c r="AC119" s="614"/>
      <c r="AD119" s="614"/>
      <c r="AE119" s="614"/>
      <c r="AF119" s="615" t="s">
        <v>845</v>
      </c>
      <c r="AG119" s="614"/>
      <c r="AH119" s="614"/>
      <c r="AI119" s="614"/>
      <c r="AJ119" s="614"/>
      <c r="AK119" s="614"/>
      <c r="AL119" s="614"/>
      <c r="AN119" s="615" t="s">
        <v>845</v>
      </c>
      <c r="AO119" s="614"/>
      <c r="AP119" s="614"/>
      <c r="AQ119" s="614"/>
      <c r="AR119" s="614"/>
      <c r="AS119" s="614"/>
      <c r="AT119" s="614"/>
      <c r="AU119" s="615" t="s">
        <v>845</v>
      </c>
      <c r="AV119" s="614"/>
      <c r="AW119" s="614"/>
      <c r="AX119" s="614"/>
      <c r="AY119" s="614"/>
      <c r="AZ119" s="614"/>
      <c r="BA119" s="614"/>
      <c r="BC119" s="615" t="s">
        <v>845</v>
      </c>
      <c r="BD119" s="614"/>
      <c r="BE119" s="614"/>
      <c r="BF119" s="614"/>
      <c r="BG119" s="614"/>
      <c r="BH119" s="614"/>
      <c r="BI119" s="614"/>
      <c r="BJ119" s="615" t="s">
        <v>845</v>
      </c>
      <c r="BK119" s="614"/>
      <c r="BL119" s="614"/>
      <c r="BM119" s="614"/>
      <c r="BN119" s="614"/>
      <c r="BO119" s="614"/>
      <c r="BP119" s="614"/>
      <c r="BR119" s="615" t="s">
        <v>845</v>
      </c>
      <c r="BS119" s="614">
        <f t="shared" si="37"/>
        <v>0</v>
      </c>
      <c r="BT119" s="614">
        <f t="shared" si="37"/>
        <v>0</v>
      </c>
      <c r="BU119" s="614">
        <f t="shared" si="37"/>
        <v>0</v>
      </c>
      <c r="BV119" s="614">
        <f t="shared" si="37"/>
        <v>0</v>
      </c>
      <c r="BW119" s="614">
        <f t="shared" si="37"/>
        <v>0</v>
      </c>
      <c r="BX119" s="614">
        <f t="shared" si="37"/>
        <v>0</v>
      </c>
    </row>
    <row r="120" spans="2:76" x14ac:dyDescent="0.25">
      <c r="B120" s="616" t="s">
        <v>846</v>
      </c>
      <c r="C120" s="614">
        <f t="shared" si="36"/>
        <v>0</v>
      </c>
      <c r="D120" s="614">
        <f t="shared" si="36"/>
        <v>0</v>
      </c>
      <c r="E120" s="614">
        <f t="shared" si="36"/>
        <v>0</v>
      </c>
      <c r="F120" s="614">
        <f t="shared" si="36"/>
        <v>15.989000000000003</v>
      </c>
      <c r="G120" s="614">
        <f t="shared" si="36"/>
        <v>0</v>
      </c>
      <c r="H120" s="614">
        <f t="shared" si="36"/>
        <v>15.989000000000003</v>
      </c>
      <c r="J120" s="616" t="s">
        <v>846</v>
      </c>
      <c r="K120" s="614">
        <f>Ielas!T764</f>
        <v>0</v>
      </c>
      <c r="L120" s="614">
        <f>Ielas!U764</f>
        <v>0</v>
      </c>
      <c r="M120" s="614">
        <f>Ielas!V764</f>
        <v>0</v>
      </c>
      <c r="N120" s="614">
        <f>Ielas!W764</f>
        <v>15.989000000000003</v>
      </c>
      <c r="O120" s="614">
        <f>Ielas!X764</f>
        <v>0</v>
      </c>
      <c r="P120" s="614">
        <f>Ielas!Y764</f>
        <v>15.989000000000003</v>
      </c>
      <c r="Q120" s="616" t="s">
        <v>846</v>
      </c>
      <c r="R120" s="614">
        <f>Ielas!AA764</f>
        <v>0</v>
      </c>
      <c r="S120" s="614">
        <f>Ielas!AB764</f>
        <v>0</v>
      </c>
      <c r="T120" s="614">
        <f>Ielas!AC764</f>
        <v>0</v>
      </c>
      <c r="U120" s="614">
        <f>Ielas!AD764</f>
        <v>0.79799999999999993</v>
      </c>
      <c r="V120" s="614">
        <f>Ielas!AE764</f>
        <v>0</v>
      </c>
      <c r="W120" s="614">
        <f>Ielas!AF764</f>
        <v>0.79799999999999993</v>
      </c>
      <c r="Y120" s="616" t="s">
        <v>846</v>
      </c>
      <c r="Z120" s="614"/>
      <c r="AA120" s="614"/>
      <c r="AB120" s="614"/>
      <c r="AC120" s="614"/>
      <c r="AD120" s="614"/>
      <c r="AE120" s="614"/>
      <c r="AF120" s="616" t="s">
        <v>846</v>
      </c>
      <c r="AG120" s="614"/>
      <c r="AH120" s="614"/>
      <c r="AI120" s="614"/>
      <c r="AJ120" s="614"/>
      <c r="AK120" s="614"/>
      <c r="AL120" s="614"/>
      <c r="AN120" s="616" t="s">
        <v>846</v>
      </c>
      <c r="AO120" s="614"/>
      <c r="AP120" s="614"/>
      <c r="AQ120" s="614"/>
      <c r="AR120" s="614"/>
      <c r="AS120" s="614"/>
      <c r="AT120" s="614"/>
      <c r="AU120" s="616" t="s">
        <v>846</v>
      </c>
      <c r="AV120" s="614"/>
      <c r="AW120" s="614"/>
      <c r="AX120" s="614"/>
      <c r="AY120" s="614"/>
      <c r="AZ120" s="614"/>
      <c r="BA120" s="614"/>
      <c r="BC120" s="616" t="s">
        <v>846</v>
      </c>
      <c r="BD120" s="614"/>
      <c r="BE120" s="614"/>
      <c r="BF120" s="614"/>
      <c r="BG120" s="614"/>
      <c r="BH120" s="614"/>
      <c r="BI120" s="614"/>
      <c r="BJ120" s="616" t="s">
        <v>846</v>
      </c>
      <c r="BK120" s="614"/>
      <c r="BL120" s="614"/>
      <c r="BM120" s="614"/>
      <c r="BN120" s="614"/>
      <c r="BO120" s="614"/>
      <c r="BP120" s="614"/>
      <c r="BR120" s="616" t="s">
        <v>846</v>
      </c>
      <c r="BS120" s="614">
        <f t="shared" si="37"/>
        <v>0</v>
      </c>
      <c r="BT120" s="614">
        <f t="shared" si="37"/>
        <v>0</v>
      </c>
      <c r="BU120" s="614">
        <f t="shared" si="37"/>
        <v>0</v>
      </c>
      <c r="BV120" s="614">
        <f t="shared" si="37"/>
        <v>15.191000000000003</v>
      </c>
      <c r="BW120" s="614">
        <f t="shared" si="37"/>
        <v>0</v>
      </c>
      <c r="BX120" s="614">
        <f t="shared" si="37"/>
        <v>15.191000000000003</v>
      </c>
    </row>
    <row r="121" spans="2:76" x14ac:dyDescent="0.25">
      <c r="C121" s="614">
        <f t="shared" si="36"/>
        <v>0</v>
      </c>
      <c r="D121" s="614">
        <f t="shared" si="36"/>
        <v>0</v>
      </c>
      <c r="E121" s="614">
        <f t="shared" si="36"/>
        <v>0</v>
      </c>
      <c r="F121" s="614">
        <f t="shared" si="36"/>
        <v>15.989000000000003</v>
      </c>
      <c r="G121" s="614">
        <f t="shared" si="36"/>
        <v>0</v>
      </c>
      <c r="H121" s="614">
        <f t="shared" si="36"/>
        <v>15.989000000000003</v>
      </c>
      <c r="K121" s="614">
        <f>Ielas!T765</f>
        <v>0</v>
      </c>
      <c r="L121" s="614">
        <f>Ielas!U765</f>
        <v>0</v>
      </c>
      <c r="M121" s="614">
        <f>Ielas!V765</f>
        <v>0</v>
      </c>
      <c r="N121" s="614">
        <f>Ielas!W765</f>
        <v>15.989000000000003</v>
      </c>
      <c r="O121" s="614">
        <f>Ielas!X765</f>
        <v>0</v>
      </c>
      <c r="P121" s="614">
        <f>Ielas!Y765</f>
        <v>15.989000000000003</v>
      </c>
      <c r="R121" s="614">
        <f>Ielas!AA765</f>
        <v>0</v>
      </c>
      <c r="S121" s="614">
        <f>Ielas!AB765</f>
        <v>0</v>
      </c>
      <c r="T121" s="614">
        <f>Ielas!AC765</f>
        <v>0</v>
      </c>
      <c r="U121" s="614">
        <f>Ielas!AD765</f>
        <v>0.79799999999999993</v>
      </c>
      <c r="V121" s="614">
        <f>Ielas!AE765</f>
        <v>0</v>
      </c>
      <c r="W121" s="614">
        <f>Ielas!AF765</f>
        <v>0.79799999999999993</v>
      </c>
      <c r="Z121" s="614"/>
      <c r="AA121" s="614"/>
      <c r="AB121" s="614"/>
      <c r="AC121" s="614"/>
      <c r="AD121" s="614"/>
      <c r="AE121" s="614"/>
      <c r="AG121" s="614"/>
      <c r="AH121" s="614"/>
      <c r="AI121" s="614"/>
      <c r="AJ121" s="614"/>
      <c r="AK121" s="614"/>
      <c r="AL121" s="614"/>
      <c r="AO121" s="614"/>
      <c r="AP121" s="614"/>
      <c r="AQ121" s="614"/>
      <c r="AR121" s="614"/>
      <c r="AS121" s="614"/>
      <c r="AT121" s="614"/>
      <c r="AV121" s="614"/>
      <c r="AW121" s="614"/>
      <c r="AX121" s="614"/>
      <c r="AY121" s="614"/>
      <c r="AZ121" s="614"/>
      <c r="BA121" s="614"/>
      <c r="BD121" s="614"/>
      <c r="BE121" s="614"/>
      <c r="BF121" s="614"/>
      <c r="BG121" s="614"/>
      <c r="BH121" s="614"/>
      <c r="BI121" s="614"/>
      <c r="BK121" s="614"/>
      <c r="BL121" s="614"/>
      <c r="BM121" s="614"/>
      <c r="BN121" s="614"/>
      <c r="BO121" s="614"/>
      <c r="BP121" s="614"/>
      <c r="BS121" s="614">
        <f t="shared" si="37"/>
        <v>0</v>
      </c>
      <c r="BT121" s="614">
        <f t="shared" si="37"/>
        <v>0</v>
      </c>
      <c r="BU121" s="614">
        <f t="shared" si="37"/>
        <v>0</v>
      </c>
      <c r="BV121" s="614">
        <f t="shared" si="37"/>
        <v>15.191000000000003</v>
      </c>
      <c r="BW121" s="614">
        <f t="shared" si="37"/>
        <v>0</v>
      </c>
      <c r="BX121" s="614">
        <f t="shared" si="37"/>
        <v>15.191000000000003</v>
      </c>
    </row>
    <row r="122" spans="2:76" x14ac:dyDescent="0.25">
      <c r="C122" s="667"/>
      <c r="D122" s="667"/>
      <c r="E122" s="667"/>
      <c r="F122" s="667"/>
      <c r="G122" s="667"/>
      <c r="H122" s="667"/>
      <c r="BS122" s="667"/>
      <c r="BT122" s="667"/>
      <c r="BU122" s="667"/>
      <c r="BV122" s="667"/>
      <c r="BW122" s="667"/>
      <c r="BX122" s="667"/>
    </row>
    <row r="123" spans="2:76" x14ac:dyDescent="0.25">
      <c r="B123" t="s">
        <v>1182</v>
      </c>
      <c r="C123" s="667"/>
      <c r="D123" s="667"/>
      <c r="E123" s="667"/>
      <c r="F123" s="667"/>
      <c r="G123" s="667"/>
      <c r="H123" s="667"/>
      <c r="K123" t="s">
        <v>1183</v>
      </c>
      <c r="R123" t="s">
        <v>1141</v>
      </c>
      <c r="AG123" t="s">
        <v>1141</v>
      </c>
      <c r="AV123" t="s">
        <v>1141</v>
      </c>
      <c r="BK123" t="s">
        <v>1141</v>
      </c>
      <c r="BR123" t="s">
        <v>1184</v>
      </c>
      <c r="BS123" s="667"/>
      <c r="BT123" s="667"/>
      <c r="BU123" s="667"/>
      <c r="BV123" s="667"/>
      <c r="BW123" s="667"/>
      <c r="BX123" s="667"/>
    </row>
    <row r="124" spans="2:76" ht="23.25" x14ac:dyDescent="0.25">
      <c r="B124" s="102"/>
      <c r="C124" s="669" t="s">
        <v>1092</v>
      </c>
      <c r="D124" s="669" t="s">
        <v>1093</v>
      </c>
      <c r="E124" s="669" t="s">
        <v>1094</v>
      </c>
      <c r="F124" s="669" t="s">
        <v>1095</v>
      </c>
      <c r="G124" s="669" t="s">
        <v>1096</v>
      </c>
      <c r="H124" s="141" t="s">
        <v>269</v>
      </c>
      <c r="J124" s="102"/>
      <c r="K124" s="625" t="s">
        <v>1092</v>
      </c>
      <c r="L124" s="625" t="s">
        <v>1093</v>
      </c>
      <c r="M124" s="625" t="s">
        <v>1094</v>
      </c>
      <c r="N124" s="625" t="s">
        <v>1095</v>
      </c>
      <c r="O124" s="625" t="s">
        <v>1096</v>
      </c>
      <c r="P124" s="627" t="s">
        <v>269</v>
      </c>
      <c r="Q124" s="102"/>
      <c r="R124" s="625" t="s">
        <v>1092</v>
      </c>
      <c r="S124" s="625" t="s">
        <v>1093</v>
      </c>
      <c r="T124" s="625" t="s">
        <v>1094</v>
      </c>
      <c r="U124" s="625" t="s">
        <v>1095</v>
      </c>
      <c r="V124" s="625" t="s">
        <v>1096</v>
      </c>
      <c r="W124" s="627" t="s">
        <v>269</v>
      </c>
      <c r="Y124" s="102"/>
      <c r="Z124" s="625" t="s">
        <v>1092</v>
      </c>
      <c r="AA124" s="625" t="s">
        <v>1093</v>
      </c>
      <c r="AB124" s="625" t="s">
        <v>1094</v>
      </c>
      <c r="AC124" s="625" t="s">
        <v>1095</v>
      </c>
      <c r="AD124" s="625" t="s">
        <v>1096</v>
      </c>
      <c r="AE124" s="627" t="s">
        <v>269</v>
      </c>
      <c r="AF124" s="102"/>
      <c r="AG124" s="625" t="s">
        <v>1092</v>
      </c>
      <c r="AH124" s="625" t="s">
        <v>1093</v>
      </c>
      <c r="AI124" s="625" t="s">
        <v>1094</v>
      </c>
      <c r="AJ124" s="625" t="s">
        <v>1095</v>
      </c>
      <c r="AK124" s="625" t="s">
        <v>1096</v>
      </c>
      <c r="AL124" s="627" t="s">
        <v>269</v>
      </c>
      <c r="AN124" s="102"/>
      <c r="AO124" s="625" t="s">
        <v>1092</v>
      </c>
      <c r="AP124" s="625" t="s">
        <v>1093</v>
      </c>
      <c r="AQ124" s="625" t="s">
        <v>1094</v>
      </c>
      <c r="AR124" s="625" t="s">
        <v>1095</v>
      </c>
      <c r="AS124" s="625" t="s">
        <v>1096</v>
      </c>
      <c r="AT124" s="627" t="s">
        <v>269</v>
      </c>
      <c r="AU124" s="102"/>
      <c r="AV124" s="625" t="s">
        <v>1092</v>
      </c>
      <c r="AW124" s="625" t="s">
        <v>1093</v>
      </c>
      <c r="AX124" s="625" t="s">
        <v>1094</v>
      </c>
      <c r="AY124" s="625" t="s">
        <v>1095</v>
      </c>
      <c r="AZ124" s="625" t="s">
        <v>1096</v>
      </c>
      <c r="BA124" s="627" t="s">
        <v>269</v>
      </c>
      <c r="BC124" s="102"/>
      <c r="BD124" s="625" t="s">
        <v>1092</v>
      </c>
      <c r="BE124" s="625" t="s">
        <v>1093</v>
      </c>
      <c r="BF124" s="625" t="s">
        <v>1094</v>
      </c>
      <c r="BG124" s="625" t="s">
        <v>1095</v>
      </c>
      <c r="BH124" s="625" t="s">
        <v>1096</v>
      </c>
      <c r="BI124" s="627" t="s">
        <v>269</v>
      </c>
      <c r="BJ124" s="102"/>
      <c r="BK124" s="625" t="s">
        <v>1092</v>
      </c>
      <c r="BL124" s="625" t="s">
        <v>1093</v>
      </c>
      <c r="BM124" s="625" t="s">
        <v>1094</v>
      </c>
      <c r="BN124" s="625" t="s">
        <v>1095</v>
      </c>
      <c r="BO124" s="625" t="s">
        <v>1096</v>
      </c>
      <c r="BP124" s="627" t="s">
        <v>269</v>
      </c>
      <c r="BR124" s="102"/>
      <c r="BS124" s="669" t="s">
        <v>1092</v>
      </c>
      <c r="BT124" s="669" t="s">
        <v>1093</v>
      </c>
      <c r="BU124" s="669" t="s">
        <v>1094</v>
      </c>
      <c r="BV124" s="669" t="s">
        <v>1095</v>
      </c>
      <c r="BW124" s="669" t="s">
        <v>1096</v>
      </c>
      <c r="BX124" s="141" t="s">
        <v>269</v>
      </c>
    </row>
    <row r="125" spans="2:76" x14ac:dyDescent="0.25">
      <c r="B125" s="628" t="s">
        <v>844</v>
      </c>
      <c r="C125" s="669" t="s">
        <v>231</v>
      </c>
      <c r="D125" s="669" t="s">
        <v>231</v>
      </c>
      <c r="E125" s="669" t="s">
        <v>231</v>
      </c>
      <c r="F125" s="669" t="s">
        <v>231</v>
      </c>
      <c r="G125" s="669" t="s">
        <v>231</v>
      </c>
      <c r="H125" s="670" t="s">
        <v>231</v>
      </c>
      <c r="J125" s="628" t="s">
        <v>844</v>
      </c>
      <c r="K125" s="625" t="s">
        <v>231</v>
      </c>
      <c r="L125" s="625" t="s">
        <v>231</v>
      </c>
      <c r="M125" s="625" t="s">
        <v>231</v>
      </c>
      <c r="N125" s="625" t="s">
        <v>231</v>
      </c>
      <c r="O125" s="625" t="s">
        <v>231</v>
      </c>
      <c r="P125" s="626" t="s">
        <v>231</v>
      </c>
      <c r="Q125" s="628"/>
      <c r="R125" s="625" t="s">
        <v>231</v>
      </c>
      <c r="S125" s="625" t="s">
        <v>231</v>
      </c>
      <c r="T125" s="625" t="s">
        <v>231</v>
      </c>
      <c r="U125" s="625" t="s">
        <v>231</v>
      </c>
      <c r="V125" s="625" t="s">
        <v>231</v>
      </c>
      <c r="W125" s="626" t="s">
        <v>231</v>
      </c>
      <c r="Y125" s="628" t="s">
        <v>844</v>
      </c>
      <c r="Z125" s="625" t="s">
        <v>231</v>
      </c>
      <c r="AA125" s="625" t="s">
        <v>231</v>
      </c>
      <c r="AB125" s="625" t="s">
        <v>231</v>
      </c>
      <c r="AC125" s="625" t="s">
        <v>231</v>
      </c>
      <c r="AD125" s="625" t="s">
        <v>231</v>
      </c>
      <c r="AE125" s="626" t="s">
        <v>231</v>
      </c>
      <c r="AF125" s="628"/>
      <c r="AG125" s="625" t="s">
        <v>231</v>
      </c>
      <c r="AH125" s="625" t="s">
        <v>231</v>
      </c>
      <c r="AI125" s="625" t="s">
        <v>231</v>
      </c>
      <c r="AJ125" s="625" t="s">
        <v>231</v>
      </c>
      <c r="AK125" s="625" t="s">
        <v>231</v>
      </c>
      <c r="AL125" s="626" t="s">
        <v>231</v>
      </c>
      <c r="AN125" s="628" t="s">
        <v>844</v>
      </c>
      <c r="AO125" s="625" t="s">
        <v>231</v>
      </c>
      <c r="AP125" s="625" t="s">
        <v>231</v>
      </c>
      <c r="AQ125" s="625" t="s">
        <v>231</v>
      </c>
      <c r="AR125" s="625" t="s">
        <v>231</v>
      </c>
      <c r="AS125" s="625" t="s">
        <v>231</v>
      </c>
      <c r="AT125" s="626" t="s">
        <v>231</v>
      </c>
      <c r="AU125" s="628"/>
      <c r="AV125" s="625" t="s">
        <v>231</v>
      </c>
      <c r="AW125" s="625" t="s">
        <v>231</v>
      </c>
      <c r="AX125" s="625" t="s">
        <v>231</v>
      </c>
      <c r="AY125" s="625" t="s">
        <v>231</v>
      </c>
      <c r="AZ125" s="625" t="s">
        <v>231</v>
      </c>
      <c r="BA125" s="626" t="s">
        <v>231</v>
      </c>
      <c r="BC125" s="628" t="s">
        <v>844</v>
      </c>
      <c r="BD125" s="625" t="s">
        <v>231</v>
      </c>
      <c r="BE125" s="625" t="s">
        <v>231</v>
      </c>
      <c r="BF125" s="625" t="s">
        <v>231</v>
      </c>
      <c r="BG125" s="625" t="s">
        <v>231</v>
      </c>
      <c r="BH125" s="625" t="s">
        <v>231</v>
      </c>
      <c r="BI125" s="626" t="s">
        <v>231</v>
      </c>
      <c r="BJ125" s="628"/>
      <c r="BK125" s="625" t="s">
        <v>231</v>
      </c>
      <c r="BL125" s="625" t="s">
        <v>231</v>
      </c>
      <c r="BM125" s="625" t="s">
        <v>231</v>
      </c>
      <c r="BN125" s="625" t="s">
        <v>231</v>
      </c>
      <c r="BO125" s="625" t="s">
        <v>231</v>
      </c>
      <c r="BP125" s="626" t="s">
        <v>231</v>
      </c>
      <c r="BR125" s="628" t="s">
        <v>844</v>
      </c>
      <c r="BS125" s="669" t="s">
        <v>231</v>
      </c>
      <c r="BT125" s="669" t="s">
        <v>231</v>
      </c>
      <c r="BU125" s="669" t="s">
        <v>231</v>
      </c>
      <c r="BV125" s="669" t="s">
        <v>231</v>
      </c>
      <c r="BW125" s="669" t="s">
        <v>231</v>
      </c>
      <c r="BX125" s="670" t="s">
        <v>231</v>
      </c>
    </row>
    <row r="126" spans="2:76" x14ac:dyDescent="0.25">
      <c r="B126" s="616" t="s">
        <v>847</v>
      </c>
      <c r="C126" s="614">
        <f t="shared" ref="C126:H130" si="38">K126+Z126+AO126</f>
        <v>0</v>
      </c>
      <c r="D126" s="614">
        <f t="shared" si="38"/>
        <v>0</v>
      </c>
      <c r="E126" s="614">
        <f t="shared" si="38"/>
        <v>0</v>
      </c>
      <c r="F126" s="614">
        <f t="shared" si="38"/>
        <v>0</v>
      </c>
      <c r="G126" s="614">
        <f t="shared" si="38"/>
        <v>0</v>
      </c>
      <c r="H126" s="614">
        <f t="shared" si="38"/>
        <v>0</v>
      </c>
      <c r="J126" s="616" t="s">
        <v>847</v>
      </c>
      <c r="K126" s="614">
        <f>Ielas!T787</f>
        <v>0</v>
      </c>
      <c r="L126" s="614">
        <f>Ielas!U787</f>
        <v>0</v>
      </c>
      <c r="M126" s="614">
        <f>Ielas!V787</f>
        <v>0</v>
      </c>
      <c r="N126" s="614">
        <f>Ielas!W787</f>
        <v>0</v>
      </c>
      <c r="O126" s="614">
        <f>Ielas!X787</f>
        <v>0</v>
      </c>
      <c r="P126" s="614">
        <f>Ielas!Y787</f>
        <v>0</v>
      </c>
      <c r="Q126" s="616" t="s">
        <v>847</v>
      </c>
      <c r="R126" s="614">
        <f>Ielas!AA787</f>
        <v>0</v>
      </c>
      <c r="S126" s="614">
        <f>Ielas!AB787</f>
        <v>0</v>
      </c>
      <c r="T126" s="614">
        <f>Ielas!AC787</f>
        <v>0</v>
      </c>
      <c r="U126" s="614">
        <f>Ielas!AD787</f>
        <v>0</v>
      </c>
      <c r="V126" s="614">
        <f>Ielas!AE787</f>
        <v>0</v>
      </c>
      <c r="W126" s="614">
        <f>Ielas!AF787</f>
        <v>0</v>
      </c>
      <c r="Y126" s="616" t="s">
        <v>847</v>
      </c>
      <c r="Z126" s="614"/>
      <c r="AA126" s="614"/>
      <c r="AB126" s="614"/>
      <c r="AC126" s="614"/>
      <c r="AD126" s="614"/>
      <c r="AE126" s="614"/>
      <c r="AF126" s="616" t="s">
        <v>847</v>
      </c>
      <c r="AG126" s="614"/>
      <c r="AH126" s="614"/>
      <c r="AI126" s="614"/>
      <c r="AJ126" s="614"/>
      <c r="AK126" s="614"/>
      <c r="AL126" s="614"/>
      <c r="AN126" s="616" t="s">
        <v>847</v>
      </c>
      <c r="AO126" s="614"/>
      <c r="AP126" s="614"/>
      <c r="AQ126" s="614"/>
      <c r="AR126" s="614"/>
      <c r="AS126" s="614"/>
      <c r="AT126" s="614"/>
      <c r="AU126" s="616" t="s">
        <v>847</v>
      </c>
      <c r="AV126" s="614"/>
      <c r="AW126" s="614"/>
      <c r="AX126" s="614"/>
      <c r="AY126" s="614"/>
      <c r="AZ126" s="614"/>
      <c r="BA126" s="614"/>
      <c r="BC126" s="616" t="s">
        <v>847</v>
      </c>
      <c r="BD126" s="614"/>
      <c r="BE126" s="614"/>
      <c r="BF126" s="614"/>
      <c r="BG126" s="614"/>
      <c r="BH126" s="614"/>
      <c r="BI126" s="614"/>
      <c r="BJ126" s="616" t="s">
        <v>847</v>
      </c>
      <c r="BK126" s="614"/>
      <c r="BL126" s="614"/>
      <c r="BM126" s="614"/>
      <c r="BN126" s="614"/>
      <c r="BO126" s="614"/>
      <c r="BP126" s="614"/>
      <c r="BR126" s="616" t="s">
        <v>847</v>
      </c>
      <c r="BS126" s="614">
        <f t="shared" ref="BS126:BX130" si="39">C126-R126-AG126-AV126</f>
        <v>0</v>
      </c>
      <c r="BT126" s="614">
        <f t="shared" si="39"/>
        <v>0</v>
      </c>
      <c r="BU126" s="614">
        <f t="shared" si="39"/>
        <v>0</v>
      </c>
      <c r="BV126" s="614">
        <f t="shared" si="39"/>
        <v>0</v>
      </c>
      <c r="BW126" s="614">
        <f t="shared" si="39"/>
        <v>0</v>
      </c>
      <c r="BX126" s="614">
        <f t="shared" si="39"/>
        <v>0</v>
      </c>
    </row>
    <row r="127" spans="2:76" x14ac:dyDescent="0.25">
      <c r="B127" s="617" t="s">
        <v>848</v>
      </c>
      <c r="C127" s="614">
        <f t="shared" si="38"/>
        <v>0</v>
      </c>
      <c r="D127" s="614">
        <f t="shared" si="38"/>
        <v>0</v>
      </c>
      <c r="E127" s="614">
        <f t="shared" si="38"/>
        <v>0</v>
      </c>
      <c r="F127" s="614">
        <f t="shared" si="38"/>
        <v>0</v>
      </c>
      <c r="G127" s="614">
        <f t="shared" si="38"/>
        <v>0</v>
      </c>
      <c r="H127" s="614">
        <f t="shared" si="38"/>
        <v>0</v>
      </c>
      <c r="J127" s="617" t="s">
        <v>848</v>
      </c>
      <c r="K127" s="614">
        <f>Ielas!T788</f>
        <v>0</v>
      </c>
      <c r="L127" s="614">
        <f>Ielas!U788</f>
        <v>0</v>
      </c>
      <c r="M127" s="614">
        <f>Ielas!V788</f>
        <v>0</v>
      </c>
      <c r="N127" s="614">
        <f>Ielas!W788</f>
        <v>0</v>
      </c>
      <c r="O127" s="614">
        <f>Ielas!X788</f>
        <v>0</v>
      </c>
      <c r="P127" s="614">
        <f>Ielas!Y788</f>
        <v>0</v>
      </c>
      <c r="Q127" s="617" t="s">
        <v>848</v>
      </c>
      <c r="R127" s="614">
        <f>Ielas!AA788</f>
        <v>0</v>
      </c>
      <c r="S127" s="614">
        <f>Ielas!AB788</f>
        <v>0</v>
      </c>
      <c r="T127" s="614">
        <f>Ielas!AC788</f>
        <v>0</v>
      </c>
      <c r="U127" s="614">
        <f>Ielas!AD788</f>
        <v>0</v>
      </c>
      <c r="V127" s="614">
        <f>Ielas!AE788</f>
        <v>0</v>
      </c>
      <c r="W127" s="614">
        <f>Ielas!AF788</f>
        <v>0</v>
      </c>
      <c r="Y127" s="617" t="s">
        <v>848</v>
      </c>
      <c r="Z127" s="614"/>
      <c r="AA127" s="614"/>
      <c r="AB127" s="614"/>
      <c r="AC127" s="614"/>
      <c r="AD127" s="614"/>
      <c r="AE127" s="614"/>
      <c r="AF127" s="617" t="s">
        <v>848</v>
      </c>
      <c r="AG127" s="614"/>
      <c r="AH127" s="614"/>
      <c r="AI127" s="614"/>
      <c r="AJ127" s="614"/>
      <c r="AK127" s="614"/>
      <c r="AL127" s="614"/>
      <c r="AN127" s="617" t="s">
        <v>848</v>
      </c>
      <c r="AO127" s="614"/>
      <c r="AP127" s="614"/>
      <c r="AQ127" s="614"/>
      <c r="AR127" s="614"/>
      <c r="AS127" s="614"/>
      <c r="AT127" s="614"/>
      <c r="AU127" s="617" t="s">
        <v>848</v>
      </c>
      <c r="AV127" s="614"/>
      <c r="AW127" s="614"/>
      <c r="AX127" s="614"/>
      <c r="AY127" s="614"/>
      <c r="AZ127" s="614"/>
      <c r="BA127" s="614"/>
      <c r="BC127" s="617" t="s">
        <v>848</v>
      </c>
      <c r="BD127" s="614"/>
      <c r="BE127" s="614"/>
      <c r="BF127" s="614"/>
      <c r="BG127" s="614"/>
      <c r="BH127" s="614"/>
      <c r="BI127" s="614"/>
      <c r="BJ127" s="617" t="s">
        <v>848</v>
      </c>
      <c r="BK127" s="614"/>
      <c r="BL127" s="614"/>
      <c r="BM127" s="614"/>
      <c r="BN127" s="614"/>
      <c r="BO127" s="614"/>
      <c r="BP127" s="614"/>
      <c r="BR127" s="617" t="s">
        <v>848</v>
      </c>
      <c r="BS127" s="614">
        <f t="shared" si="39"/>
        <v>0</v>
      </c>
      <c r="BT127" s="614">
        <f t="shared" si="39"/>
        <v>0</v>
      </c>
      <c r="BU127" s="614">
        <f t="shared" si="39"/>
        <v>0</v>
      </c>
      <c r="BV127" s="614">
        <f t="shared" si="39"/>
        <v>0</v>
      </c>
      <c r="BW127" s="614">
        <f t="shared" si="39"/>
        <v>0</v>
      </c>
      <c r="BX127" s="614">
        <f t="shared" si="39"/>
        <v>0</v>
      </c>
    </row>
    <row r="128" spans="2:76" x14ac:dyDescent="0.25">
      <c r="B128" s="615" t="s">
        <v>845</v>
      </c>
      <c r="C128" s="614">
        <f t="shared" si="38"/>
        <v>0</v>
      </c>
      <c r="D128" s="614">
        <f t="shared" si="38"/>
        <v>0</v>
      </c>
      <c r="E128" s="614">
        <f t="shared" si="38"/>
        <v>0</v>
      </c>
      <c r="F128" s="614">
        <f t="shared" si="38"/>
        <v>0</v>
      </c>
      <c r="G128" s="614">
        <f t="shared" si="38"/>
        <v>0</v>
      </c>
      <c r="H128" s="614">
        <f t="shared" si="38"/>
        <v>0</v>
      </c>
      <c r="J128" s="615" t="s">
        <v>845</v>
      </c>
      <c r="K128" s="614">
        <f>Ielas!T789</f>
        <v>0</v>
      </c>
      <c r="L128" s="614">
        <f>Ielas!U789</f>
        <v>0</v>
      </c>
      <c r="M128" s="614">
        <f>Ielas!V789</f>
        <v>0</v>
      </c>
      <c r="N128" s="614">
        <f>Ielas!W789</f>
        <v>0</v>
      </c>
      <c r="O128" s="614">
        <f>Ielas!X789</f>
        <v>0</v>
      </c>
      <c r="P128" s="614">
        <f>Ielas!Y789</f>
        <v>0</v>
      </c>
      <c r="Q128" s="615" t="s">
        <v>845</v>
      </c>
      <c r="R128" s="614">
        <f>Ielas!AA789</f>
        <v>0</v>
      </c>
      <c r="S128" s="614">
        <f>Ielas!AB789</f>
        <v>0</v>
      </c>
      <c r="T128" s="614">
        <f>Ielas!AC789</f>
        <v>0</v>
      </c>
      <c r="U128" s="614">
        <f>Ielas!AD789</f>
        <v>0</v>
      </c>
      <c r="V128" s="614">
        <f>Ielas!AE789</f>
        <v>0</v>
      </c>
      <c r="W128" s="614">
        <f>Ielas!AF789</f>
        <v>0</v>
      </c>
      <c r="Y128" s="615" t="s">
        <v>845</v>
      </c>
      <c r="Z128" s="614"/>
      <c r="AA128" s="614"/>
      <c r="AB128" s="614"/>
      <c r="AC128" s="614"/>
      <c r="AD128" s="614"/>
      <c r="AE128" s="614"/>
      <c r="AF128" s="615" t="s">
        <v>845</v>
      </c>
      <c r="AG128" s="614"/>
      <c r="AH128" s="614"/>
      <c r="AI128" s="614"/>
      <c r="AJ128" s="614"/>
      <c r="AK128" s="614"/>
      <c r="AL128" s="614"/>
      <c r="AN128" s="615" t="s">
        <v>845</v>
      </c>
      <c r="AO128" s="614"/>
      <c r="AP128" s="614"/>
      <c r="AQ128" s="614"/>
      <c r="AR128" s="614"/>
      <c r="AS128" s="614"/>
      <c r="AT128" s="614"/>
      <c r="AU128" s="615" t="s">
        <v>845</v>
      </c>
      <c r="AV128" s="614"/>
      <c r="AW128" s="614"/>
      <c r="AX128" s="614"/>
      <c r="AY128" s="614"/>
      <c r="AZ128" s="614"/>
      <c r="BA128" s="614"/>
      <c r="BC128" s="615" t="s">
        <v>845</v>
      </c>
      <c r="BD128" s="614"/>
      <c r="BE128" s="614"/>
      <c r="BF128" s="614"/>
      <c r="BG128" s="614"/>
      <c r="BH128" s="614"/>
      <c r="BI128" s="614"/>
      <c r="BJ128" s="615" t="s">
        <v>845</v>
      </c>
      <c r="BK128" s="614"/>
      <c r="BL128" s="614"/>
      <c r="BM128" s="614"/>
      <c r="BN128" s="614"/>
      <c r="BO128" s="614"/>
      <c r="BP128" s="614"/>
      <c r="BR128" s="615" t="s">
        <v>845</v>
      </c>
      <c r="BS128" s="614">
        <f t="shared" si="39"/>
        <v>0</v>
      </c>
      <c r="BT128" s="614">
        <f t="shared" si="39"/>
        <v>0</v>
      </c>
      <c r="BU128" s="614">
        <f t="shared" si="39"/>
        <v>0</v>
      </c>
      <c r="BV128" s="614">
        <f t="shared" si="39"/>
        <v>0</v>
      </c>
      <c r="BW128" s="614">
        <f t="shared" si="39"/>
        <v>0</v>
      </c>
      <c r="BX128" s="614">
        <f t="shared" si="39"/>
        <v>0</v>
      </c>
    </row>
    <row r="129" spans="2:76" x14ac:dyDescent="0.25">
      <c r="B129" s="616" t="s">
        <v>846</v>
      </c>
      <c r="C129" s="614">
        <f t="shared" si="38"/>
        <v>1.2090000000000001</v>
      </c>
      <c r="D129" s="614">
        <f t="shared" si="38"/>
        <v>0</v>
      </c>
      <c r="E129" s="614">
        <f t="shared" si="38"/>
        <v>0</v>
      </c>
      <c r="F129" s="614">
        <f t="shared" si="38"/>
        <v>1.5149999999999999</v>
      </c>
      <c r="G129" s="614">
        <f t="shared" si="38"/>
        <v>0.42700000000000005</v>
      </c>
      <c r="H129" s="614">
        <f t="shared" si="38"/>
        <v>3.1510000000000002</v>
      </c>
      <c r="J129" s="616" t="s">
        <v>846</v>
      </c>
      <c r="K129" s="614">
        <f>Ielas!T790</f>
        <v>1.2090000000000001</v>
      </c>
      <c r="L129" s="614">
        <f>Ielas!U790</f>
        <v>0</v>
      </c>
      <c r="M129" s="614">
        <f>Ielas!V790</f>
        <v>0</v>
      </c>
      <c r="N129" s="614">
        <f>Ielas!W790</f>
        <v>1.5149999999999999</v>
      </c>
      <c r="O129" s="614">
        <f>Ielas!X790</f>
        <v>0.42700000000000005</v>
      </c>
      <c r="P129" s="614">
        <f>Ielas!Y790</f>
        <v>3.1510000000000002</v>
      </c>
      <c r="Q129" s="616" t="s">
        <v>846</v>
      </c>
      <c r="R129" s="614">
        <f>Ielas!AA790</f>
        <v>0</v>
      </c>
      <c r="S129" s="614">
        <f>Ielas!AB790</f>
        <v>0</v>
      </c>
      <c r="T129" s="614">
        <f>Ielas!AC790</f>
        <v>0</v>
      </c>
      <c r="U129" s="614">
        <f>Ielas!AD790</f>
        <v>0.58600000000000008</v>
      </c>
      <c r="V129" s="614">
        <f>Ielas!AE790</f>
        <v>0</v>
      </c>
      <c r="W129" s="614">
        <f>Ielas!AF790</f>
        <v>0.58600000000000008</v>
      </c>
      <c r="Y129" s="616" t="s">
        <v>846</v>
      </c>
      <c r="Z129" s="614"/>
      <c r="AA129" s="614"/>
      <c r="AB129" s="614"/>
      <c r="AC129" s="614"/>
      <c r="AD129" s="614"/>
      <c r="AE129" s="614"/>
      <c r="AF129" s="616" t="s">
        <v>846</v>
      </c>
      <c r="AG129" s="614"/>
      <c r="AH129" s="614"/>
      <c r="AI129" s="614"/>
      <c r="AJ129" s="614"/>
      <c r="AK129" s="614"/>
      <c r="AL129" s="614"/>
      <c r="AN129" s="616" t="s">
        <v>846</v>
      </c>
      <c r="AO129" s="614"/>
      <c r="AP129" s="614"/>
      <c r="AQ129" s="614"/>
      <c r="AR129" s="614"/>
      <c r="AS129" s="614"/>
      <c r="AT129" s="614"/>
      <c r="AU129" s="616" t="s">
        <v>846</v>
      </c>
      <c r="AV129" s="614"/>
      <c r="AW129" s="614"/>
      <c r="AX129" s="614"/>
      <c r="AY129" s="614"/>
      <c r="AZ129" s="614"/>
      <c r="BA129" s="614"/>
      <c r="BC129" s="616" t="s">
        <v>846</v>
      </c>
      <c r="BD129" s="614"/>
      <c r="BE129" s="614"/>
      <c r="BF129" s="614"/>
      <c r="BG129" s="614"/>
      <c r="BH129" s="614"/>
      <c r="BI129" s="614"/>
      <c r="BJ129" s="616" t="s">
        <v>846</v>
      </c>
      <c r="BK129" s="614"/>
      <c r="BL129" s="614"/>
      <c r="BM129" s="614"/>
      <c r="BN129" s="614"/>
      <c r="BO129" s="614"/>
      <c r="BP129" s="614"/>
      <c r="BR129" s="616" t="s">
        <v>846</v>
      </c>
      <c r="BS129" s="614">
        <f t="shared" si="39"/>
        <v>1.2090000000000001</v>
      </c>
      <c r="BT129" s="614">
        <f t="shared" si="39"/>
        <v>0</v>
      </c>
      <c r="BU129" s="614">
        <f t="shared" si="39"/>
        <v>0</v>
      </c>
      <c r="BV129" s="614">
        <f t="shared" si="39"/>
        <v>0.92899999999999983</v>
      </c>
      <c r="BW129" s="614">
        <f t="shared" si="39"/>
        <v>0.42700000000000005</v>
      </c>
      <c r="BX129" s="614">
        <f t="shared" si="39"/>
        <v>2.5650000000000004</v>
      </c>
    </row>
    <row r="130" spans="2:76" x14ac:dyDescent="0.25">
      <c r="C130" s="614">
        <f t="shared" si="38"/>
        <v>1.2090000000000001</v>
      </c>
      <c r="D130" s="614">
        <f t="shared" si="38"/>
        <v>0</v>
      </c>
      <c r="E130" s="614">
        <f t="shared" si="38"/>
        <v>0</v>
      </c>
      <c r="F130" s="614">
        <f t="shared" si="38"/>
        <v>1.5149999999999999</v>
      </c>
      <c r="G130" s="614">
        <f t="shared" si="38"/>
        <v>0.42700000000000005</v>
      </c>
      <c r="H130" s="614">
        <f t="shared" si="38"/>
        <v>3.1510000000000002</v>
      </c>
      <c r="K130" s="614">
        <f>Ielas!T791</f>
        <v>1.2090000000000001</v>
      </c>
      <c r="L130" s="614">
        <f>Ielas!U791</f>
        <v>0</v>
      </c>
      <c r="M130" s="614">
        <f>Ielas!V791</f>
        <v>0</v>
      </c>
      <c r="N130" s="614">
        <f>Ielas!W791</f>
        <v>1.5149999999999999</v>
      </c>
      <c r="O130" s="614">
        <f>Ielas!X791</f>
        <v>0.42700000000000005</v>
      </c>
      <c r="P130" s="614">
        <f>Ielas!Y791</f>
        <v>3.1510000000000002</v>
      </c>
      <c r="R130" s="614">
        <f>Ielas!AA791</f>
        <v>0</v>
      </c>
      <c r="S130" s="614">
        <f>Ielas!AB791</f>
        <v>0</v>
      </c>
      <c r="T130" s="614">
        <f>Ielas!AC791</f>
        <v>0</v>
      </c>
      <c r="U130" s="614">
        <f>Ielas!AD791</f>
        <v>0.58600000000000008</v>
      </c>
      <c r="V130" s="614">
        <f>Ielas!AE791</f>
        <v>0</v>
      </c>
      <c r="W130" s="614">
        <f>Ielas!AF791</f>
        <v>0.58600000000000008</v>
      </c>
      <c r="Z130" s="614"/>
      <c r="AA130" s="614"/>
      <c r="AB130" s="614"/>
      <c r="AC130" s="614"/>
      <c r="AD130" s="614"/>
      <c r="AE130" s="614"/>
      <c r="AG130" s="614"/>
      <c r="AH130" s="614"/>
      <c r="AI130" s="614"/>
      <c r="AJ130" s="614"/>
      <c r="AK130" s="614"/>
      <c r="AL130" s="614"/>
      <c r="AO130" s="614"/>
      <c r="AP130" s="614"/>
      <c r="AQ130" s="614"/>
      <c r="AR130" s="614"/>
      <c r="AS130" s="614"/>
      <c r="AT130" s="614"/>
      <c r="AV130" s="614"/>
      <c r="AW130" s="614"/>
      <c r="AX130" s="614"/>
      <c r="AY130" s="614"/>
      <c r="AZ130" s="614"/>
      <c r="BA130" s="614"/>
      <c r="BD130" s="614"/>
      <c r="BE130" s="614"/>
      <c r="BF130" s="614"/>
      <c r="BG130" s="614"/>
      <c r="BH130" s="614"/>
      <c r="BI130" s="614"/>
      <c r="BK130" s="614"/>
      <c r="BL130" s="614"/>
      <c r="BM130" s="614"/>
      <c r="BN130" s="614"/>
      <c r="BO130" s="614"/>
      <c r="BP130" s="614"/>
      <c r="BS130" s="614">
        <f t="shared" si="39"/>
        <v>1.2090000000000001</v>
      </c>
      <c r="BT130" s="614">
        <f t="shared" si="39"/>
        <v>0</v>
      </c>
      <c r="BU130" s="614">
        <f t="shared" si="39"/>
        <v>0</v>
      </c>
      <c r="BV130" s="614">
        <f t="shared" si="39"/>
        <v>0.92899999999999983</v>
      </c>
      <c r="BW130" s="614">
        <f t="shared" si="39"/>
        <v>0.42700000000000005</v>
      </c>
      <c r="BX130" s="614">
        <f t="shared" si="39"/>
        <v>2.5650000000000004</v>
      </c>
    </row>
    <row r="131" spans="2:76" x14ac:dyDescent="0.25">
      <c r="C131" s="667"/>
      <c r="D131" s="667"/>
      <c r="E131" s="667"/>
      <c r="F131" s="667"/>
      <c r="G131" s="667"/>
      <c r="H131" s="667"/>
      <c r="BS131" s="667"/>
      <c r="BT131" s="667"/>
      <c r="BU131" s="667"/>
      <c r="BV131" s="667"/>
      <c r="BW131" s="667"/>
      <c r="BX131" s="667"/>
    </row>
    <row r="132" spans="2:76" x14ac:dyDescent="0.25">
      <c r="B132" t="s">
        <v>1185</v>
      </c>
      <c r="C132" s="667"/>
      <c r="D132" s="667"/>
      <c r="E132" s="667"/>
      <c r="F132" s="667"/>
      <c r="G132" s="667"/>
      <c r="H132" s="667"/>
      <c r="K132" t="s">
        <v>1186</v>
      </c>
      <c r="R132" t="s">
        <v>1141</v>
      </c>
      <c r="AG132" t="s">
        <v>1141</v>
      </c>
      <c r="AV132" t="s">
        <v>1141</v>
      </c>
      <c r="BK132" t="s">
        <v>1141</v>
      </c>
      <c r="BR132" t="s">
        <v>1187</v>
      </c>
      <c r="BS132" s="667"/>
      <c r="BT132" s="667"/>
      <c r="BU132" s="667"/>
      <c r="BV132" s="667"/>
      <c r="BW132" s="667"/>
      <c r="BX132" s="667"/>
    </row>
    <row r="133" spans="2:76" ht="23.25" x14ac:dyDescent="0.25">
      <c r="B133" s="102"/>
      <c r="C133" s="669" t="s">
        <v>1092</v>
      </c>
      <c r="D133" s="669" t="s">
        <v>1093</v>
      </c>
      <c r="E133" s="669" t="s">
        <v>1094</v>
      </c>
      <c r="F133" s="669" t="s">
        <v>1095</v>
      </c>
      <c r="G133" s="669" t="s">
        <v>1096</v>
      </c>
      <c r="H133" s="141" t="s">
        <v>269</v>
      </c>
      <c r="J133" s="102"/>
      <c r="K133" s="625" t="s">
        <v>1092</v>
      </c>
      <c r="L133" s="625" t="s">
        <v>1093</v>
      </c>
      <c r="M133" s="625" t="s">
        <v>1094</v>
      </c>
      <c r="N133" s="625" t="s">
        <v>1095</v>
      </c>
      <c r="O133" s="625" t="s">
        <v>1096</v>
      </c>
      <c r="P133" s="627" t="s">
        <v>269</v>
      </c>
      <c r="Q133" s="102"/>
      <c r="R133" s="625" t="s">
        <v>1092</v>
      </c>
      <c r="S133" s="625" t="s">
        <v>1093</v>
      </c>
      <c r="T133" s="625" t="s">
        <v>1094</v>
      </c>
      <c r="U133" s="625" t="s">
        <v>1095</v>
      </c>
      <c r="V133" s="625" t="s">
        <v>1096</v>
      </c>
      <c r="W133" s="627" t="s">
        <v>269</v>
      </c>
      <c r="Y133" s="102"/>
      <c r="Z133" s="625" t="s">
        <v>1092</v>
      </c>
      <c r="AA133" s="625" t="s">
        <v>1093</v>
      </c>
      <c r="AB133" s="625" t="s">
        <v>1094</v>
      </c>
      <c r="AC133" s="625" t="s">
        <v>1095</v>
      </c>
      <c r="AD133" s="625" t="s">
        <v>1096</v>
      </c>
      <c r="AE133" s="627" t="s">
        <v>269</v>
      </c>
      <c r="AF133" s="102"/>
      <c r="AG133" s="625" t="s">
        <v>1092</v>
      </c>
      <c r="AH133" s="625" t="s">
        <v>1093</v>
      </c>
      <c r="AI133" s="625" t="s">
        <v>1094</v>
      </c>
      <c r="AJ133" s="625" t="s">
        <v>1095</v>
      </c>
      <c r="AK133" s="625" t="s">
        <v>1096</v>
      </c>
      <c r="AL133" s="627" t="s">
        <v>269</v>
      </c>
      <c r="AN133" s="102"/>
      <c r="AO133" s="625" t="s">
        <v>1092</v>
      </c>
      <c r="AP133" s="625" t="s">
        <v>1093</v>
      </c>
      <c r="AQ133" s="625" t="s">
        <v>1094</v>
      </c>
      <c r="AR133" s="625" t="s">
        <v>1095</v>
      </c>
      <c r="AS133" s="625" t="s">
        <v>1096</v>
      </c>
      <c r="AT133" s="627" t="s">
        <v>269</v>
      </c>
      <c r="AU133" s="102"/>
      <c r="AV133" s="625" t="s">
        <v>1092</v>
      </c>
      <c r="AW133" s="625" t="s">
        <v>1093</v>
      </c>
      <c r="AX133" s="625" t="s">
        <v>1094</v>
      </c>
      <c r="AY133" s="625" t="s">
        <v>1095</v>
      </c>
      <c r="AZ133" s="625" t="s">
        <v>1096</v>
      </c>
      <c r="BA133" s="627" t="s">
        <v>269</v>
      </c>
      <c r="BC133" s="102"/>
      <c r="BD133" s="625" t="s">
        <v>1092</v>
      </c>
      <c r="BE133" s="625" t="s">
        <v>1093</v>
      </c>
      <c r="BF133" s="625" t="s">
        <v>1094</v>
      </c>
      <c r="BG133" s="625" t="s">
        <v>1095</v>
      </c>
      <c r="BH133" s="625" t="s">
        <v>1096</v>
      </c>
      <c r="BI133" s="627" t="s">
        <v>269</v>
      </c>
      <c r="BJ133" s="102"/>
      <c r="BK133" s="625" t="s">
        <v>1092</v>
      </c>
      <c r="BL133" s="625" t="s">
        <v>1093</v>
      </c>
      <c r="BM133" s="625" t="s">
        <v>1094</v>
      </c>
      <c r="BN133" s="625" t="s">
        <v>1095</v>
      </c>
      <c r="BO133" s="625" t="s">
        <v>1096</v>
      </c>
      <c r="BP133" s="627" t="s">
        <v>269</v>
      </c>
      <c r="BR133" s="102"/>
      <c r="BS133" s="669" t="s">
        <v>1092</v>
      </c>
      <c r="BT133" s="669" t="s">
        <v>1093</v>
      </c>
      <c r="BU133" s="669" t="s">
        <v>1094</v>
      </c>
      <c r="BV133" s="669" t="s">
        <v>1095</v>
      </c>
      <c r="BW133" s="669" t="s">
        <v>1096</v>
      </c>
      <c r="BX133" s="141" t="s">
        <v>269</v>
      </c>
    </row>
    <row r="134" spans="2:76" x14ac:dyDescent="0.25">
      <c r="B134" s="628" t="s">
        <v>844</v>
      </c>
      <c r="C134" s="669" t="s">
        <v>231</v>
      </c>
      <c r="D134" s="669" t="s">
        <v>231</v>
      </c>
      <c r="E134" s="669" t="s">
        <v>231</v>
      </c>
      <c r="F134" s="669" t="s">
        <v>231</v>
      </c>
      <c r="G134" s="669" t="s">
        <v>231</v>
      </c>
      <c r="H134" s="670" t="s">
        <v>231</v>
      </c>
      <c r="J134" s="628" t="s">
        <v>844</v>
      </c>
      <c r="K134" s="625" t="s">
        <v>231</v>
      </c>
      <c r="L134" s="625" t="s">
        <v>231</v>
      </c>
      <c r="M134" s="625" t="s">
        <v>231</v>
      </c>
      <c r="N134" s="625" t="s">
        <v>231</v>
      </c>
      <c r="O134" s="625" t="s">
        <v>231</v>
      </c>
      <c r="P134" s="626" t="s">
        <v>231</v>
      </c>
      <c r="Q134" s="628"/>
      <c r="R134" s="625" t="s">
        <v>231</v>
      </c>
      <c r="S134" s="625" t="s">
        <v>231</v>
      </c>
      <c r="T134" s="625" t="s">
        <v>231</v>
      </c>
      <c r="U134" s="625" t="s">
        <v>231</v>
      </c>
      <c r="V134" s="625" t="s">
        <v>231</v>
      </c>
      <c r="W134" s="626" t="s">
        <v>231</v>
      </c>
      <c r="Y134" s="628" t="s">
        <v>844</v>
      </c>
      <c r="Z134" s="625" t="s">
        <v>231</v>
      </c>
      <c r="AA134" s="625" t="s">
        <v>231</v>
      </c>
      <c r="AB134" s="625" t="s">
        <v>231</v>
      </c>
      <c r="AC134" s="625" t="s">
        <v>231</v>
      </c>
      <c r="AD134" s="625" t="s">
        <v>231</v>
      </c>
      <c r="AE134" s="626" t="s">
        <v>231</v>
      </c>
      <c r="AF134" s="628"/>
      <c r="AG134" s="625" t="s">
        <v>231</v>
      </c>
      <c r="AH134" s="625" t="s">
        <v>231</v>
      </c>
      <c r="AI134" s="625" t="s">
        <v>231</v>
      </c>
      <c r="AJ134" s="625" t="s">
        <v>231</v>
      </c>
      <c r="AK134" s="625" t="s">
        <v>231</v>
      </c>
      <c r="AL134" s="626" t="s">
        <v>231</v>
      </c>
      <c r="AN134" s="628" t="s">
        <v>844</v>
      </c>
      <c r="AO134" s="625" t="s">
        <v>231</v>
      </c>
      <c r="AP134" s="625" t="s">
        <v>231</v>
      </c>
      <c r="AQ134" s="625" t="s">
        <v>231</v>
      </c>
      <c r="AR134" s="625" t="s">
        <v>231</v>
      </c>
      <c r="AS134" s="625" t="s">
        <v>231</v>
      </c>
      <c r="AT134" s="626" t="s">
        <v>231</v>
      </c>
      <c r="AU134" s="628"/>
      <c r="AV134" s="625" t="s">
        <v>231</v>
      </c>
      <c r="AW134" s="625" t="s">
        <v>231</v>
      </c>
      <c r="AX134" s="625" t="s">
        <v>231</v>
      </c>
      <c r="AY134" s="625" t="s">
        <v>231</v>
      </c>
      <c r="AZ134" s="625" t="s">
        <v>231</v>
      </c>
      <c r="BA134" s="626" t="s">
        <v>231</v>
      </c>
      <c r="BC134" s="628" t="s">
        <v>844</v>
      </c>
      <c r="BD134" s="625" t="s">
        <v>231</v>
      </c>
      <c r="BE134" s="625" t="s">
        <v>231</v>
      </c>
      <c r="BF134" s="625" t="s">
        <v>231</v>
      </c>
      <c r="BG134" s="625" t="s">
        <v>231</v>
      </c>
      <c r="BH134" s="625" t="s">
        <v>231</v>
      </c>
      <c r="BI134" s="626" t="s">
        <v>231</v>
      </c>
      <c r="BJ134" s="628"/>
      <c r="BK134" s="625" t="s">
        <v>231</v>
      </c>
      <c r="BL134" s="625" t="s">
        <v>231</v>
      </c>
      <c r="BM134" s="625" t="s">
        <v>231</v>
      </c>
      <c r="BN134" s="625" t="s">
        <v>231</v>
      </c>
      <c r="BO134" s="625" t="s">
        <v>231</v>
      </c>
      <c r="BP134" s="626" t="s">
        <v>231</v>
      </c>
      <c r="BR134" s="628" t="s">
        <v>844</v>
      </c>
      <c r="BS134" s="669" t="s">
        <v>231</v>
      </c>
      <c r="BT134" s="669" t="s">
        <v>231</v>
      </c>
      <c r="BU134" s="669" t="s">
        <v>231</v>
      </c>
      <c r="BV134" s="669" t="s">
        <v>231</v>
      </c>
      <c r="BW134" s="669" t="s">
        <v>231</v>
      </c>
      <c r="BX134" s="670" t="s">
        <v>231</v>
      </c>
    </row>
    <row r="135" spans="2:76" x14ac:dyDescent="0.25">
      <c r="B135" s="616" t="s">
        <v>847</v>
      </c>
      <c r="C135" s="614">
        <f t="shared" ref="C135:H139" si="40">K135+Z135+AO135</f>
        <v>0</v>
      </c>
      <c r="D135" s="614">
        <f t="shared" si="40"/>
        <v>0</v>
      </c>
      <c r="E135" s="614">
        <f t="shared" si="40"/>
        <v>0</v>
      </c>
      <c r="F135" s="614">
        <f t="shared" si="40"/>
        <v>0</v>
      </c>
      <c r="G135" s="614">
        <f t="shared" si="40"/>
        <v>0</v>
      </c>
      <c r="H135" s="614">
        <f t="shared" si="40"/>
        <v>0</v>
      </c>
      <c r="J135" s="616" t="s">
        <v>847</v>
      </c>
      <c r="K135" s="614">
        <f>Ielas!T822</f>
        <v>0</v>
      </c>
      <c r="L135" s="614">
        <f>Ielas!U822</f>
        <v>0</v>
      </c>
      <c r="M135" s="614">
        <f>Ielas!V822</f>
        <v>0</v>
      </c>
      <c r="N135" s="614">
        <f>Ielas!W822</f>
        <v>0</v>
      </c>
      <c r="O135" s="614">
        <f>Ielas!X822</f>
        <v>0</v>
      </c>
      <c r="P135" s="614">
        <f>Ielas!Y822</f>
        <v>0</v>
      </c>
      <c r="Q135" s="616" t="s">
        <v>847</v>
      </c>
      <c r="R135" s="614">
        <f>Ielas!AA822</f>
        <v>0</v>
      </c>
      <c r="S135" s="614">
        <f>Ielas!AB822</f>
        <v>0</v>
      </c>
      <c r="T135" s="614">
        <f>Ielas!AC822</f>
        <v>0</v>
      </c>
      <c r="U135" s="614">
        <f>Ielas!AD822</f>
        <v>0</v>
      </c>
      <c r="V135" s="614">
        <f>Ielas!AE822</f>
        <v>0</v>
      </c>
      <c r="W135" s="614">
        <f>Ielas!AF822</f>
        <v>0</v>
      </c>
      <c r="Y135" s="616" t="s">
        <v>847</v>
      </c>
      <c r="Z135" s="614"/>
      <c r="AA135" s="614"/>
      <c r="AB135" s="614"/>
      <c r="AC135" s="614"/>
      <c r="AD135" s="614"/>
      <c r="AE135" s="614"/>
      <c r="AF135" s="616" t="s">
        <v>847</v>
      </c>
      <c r="AG135" s="614"/>
      <c r="AH135" s="614"/>
      <c r="AI135" s="614"/>
      <c r="AJ135" s="614"/>
      <c r="AK135" s="614"/>
      <c r="AL135" s="614"/>
      <c r="AN135" s="616" t="s">
        <v>847</v>
      </c>
      <c r="AO135" s="614"/>
      <c r="AP135" s="614"/>
      <c r="AQ135" s="614"/>
      <c r="AR135" s="614"/>
      <c r="AS135" s="614"/>
      <c r="AT135" s="614"/>
      <c r="AU135" s="616" t="s">
        <v>847</v>
      </c>
      <c r="AV135" s="614"/>
      <c r="AW135" s="614"/>
      <c r="AX135" s="614"/>
      <c r="AY135" s="614"/>
      <c r="AZ135" s="614"/>
      <c r="BA135" s="614"/>
      <c r="BC135" s="616" t="s">
        <v>847</v>
      </c>
      <c r="BD135" s="614"/>
      <c r="BE135" s="614"/>
      <c r="BF135" s="614"/>
      <c r="BG135" s="614"/>
      <c r="BH135" s="614"/>
      <c r="BI135" s="614"/>
      <c r="BJ135" s="616" t="s">
        <v>847</v>
      </c>
      <c r="BK135" s="614"/>
      <c r="BL135" s="614"/>
      <c r="BM135" s="614"/>
      <c r="BN135" s="614"/>
      <c r="BO135" s="614"/>
      <c r="BP135" s="614"/>
      <c r="BR135" s="616" t="s">
        <v>847</v>
      </c>
      <c r="BS135" s="614">
        <f t="shared" ref="BS135:BX139" si="41">C135-R135-AG135-AV135</f>
        <v>0</v>
      </c>
      <c r="BT135" s="614">
        <f t="shared" si="41"/>
        <v>0</v>
      </c>
      <c r="BU135" s="614">
        <f t="shared" si="41"/>
        <v>0</v>
      </c>
      <c r="BV135" s="614">
        <f t="shared" si="41"/>
        <v>0</v>
      </c>
      <c r="BW135" s="614">
        <f t="shared" si="41"/>
        <v>0</v>
      </c>
      <c r="BX135" s="614">
        <f t="shared" si="41"/>
        <v>0</v>
      </c>
    </row>
    <row r="136" spans="2:76" x14ac:dyDescent="0.25">
      <c r="B136" s="617" t="s">
        <v>848</v>
      </c>
      <c r="C136" s="614">
        <f t="shared" si="40"/>
        <v>0</v>
      </c>
      <c r="D136" s="614">
        <f t="shared" si="40"/>
        <v>0</v>
      </c>
      <c r="E136" s="614">
        <f t="shared" si="40"/>
        <v>0</v>
      </c>
      <c r="F136" s="614">
        <f t="shared" si="40"/>
        <v>0</v>
      </c>
      <c r="G136" s="614">
        <f t="shared" si="40"/>
        <v>0</v>
      </c>
      <c r="H136" s="614">
        <f t="shared" si="40"/>
        <v>0</v>
      </c>
      <c r="J136" s="617" t="s">
        <v>848</v>
      </c>
      <c r="K136" s="614">
        <f>Ielas!T823</f>
        <v>0</v>
      </c>
      <c r="L136" s="614">
        <f>Ielas!U823</f>
        <v>0</v>
      </c>
      <c r="M136" s="614">
        <f>Ielas!V823</f>
        <v>0</v>
      </c>
      <c r="N136" s="614">
        <f>Ielas!W823</f>
        <v>0</v>
      </c>
      <c r="O136" s="614">
        <f>Ielas!X823</f>
        <v>0</v>
      </c>
      <c r="P136" s="614">
        <f>Ielas!Y823</f>
        <v>0</v>
      </c>
      <c r="Q136" s="617" t="s">
        <v>848</v>
      </c>
      <c r="R136" s="614">
        <f>Ielas!AA823</f>
        <v>0</v>
      </c>
      <c r="S136" s="614">
        <f>Ielas!AB823</f>
        <v>0</v>
      </c>
      <c r="T136" s="614">
        <f>Ielas!AC823</f>
        <v>0</v>
      </c>
      <c r="U136" s="614">
        <f>Ielas!AD823</f>
        <v>0</v>
      </c>
      <c r="V136" s="614">
        <f>Ielas!AE823</f>
        <v>0</v>
      </c>
      <c r="W136" s="614">
        <f>Ielas!AF823</f>
        <v>0</v>
      </c>
      <c r="Y136" s="617" t="s">
        <v>848</v>
      </c>
      <c r="Z136" s="614"/>
      <c r="AA136" s="614"/>
      <c r="AB136" s="614"/>
      <c r="AC136" s="614"/>
      <c r="AD136" s="614"/>
      <c r="AE136" s="614"/>
      <c r="AF136" s="617" t="s">
        <v>848</v>
      </c>
      <c r="AG136" s="614"/>
      <c r="AH136" s="614"/>
      <c r="AI136" s="614"/>
      <c r="AJ136" s="614"/>
      <c r="AK136" s="614"/>
      <c r="AL136" s="614"/>
      <c r="AN136" s="617" t="s">
        <v>848</v>
      </c>
      <c r="AO136" s="614"/>
      <c r="AP136" s="614"/>
      <c r="AQ136" s="614"/>
      <c r="AR136" s="614"/>
      <c r="AS136" s="614"/>
      <c r="AT136" s="614"/>
      <c r="AU136" s="617" t="s">
        <v>848</v>
      </c>
      <c r="AV136" s="614"/>
      <c r="AW136" s="614"/>
      <c r="AX136" s="614"/>
      <c r="AY136" s="614"/>
      <c r="AZ136" s="614"/>
      <c r="BA136" s="614"/>
      <c r="BC136" s="617" t="s">
        <v>848</v>
      </c>
      <c r="BD136" s="614"/>
      <c r="BE136" s="614"/>
      <c r="BF136" s="614"/>
      <c r="BG136" s="614"/>
      <c r="BH136" s="614"/>
      <c r="BI136" s="614"/>
      <c r="BJ136" s="617" t="s">
        <v>848</v>
      </c>
      <c r="BK136" s="614"/>
      <c r="BL136" s="614"/>
      <c r="BM136" s="614"/>
      <c r="BN136" s="614"/>
      <c r="BO136" s="614"/>
      <c r="BP136" s="614"/>
      <c r="BR136" s="617" t="s">
        <v>848</v>
      </c>
      <c r="BS136" s="614">
        <f t="shared" si="41"/>
        <v>0</v>
      </c>
      <c r="BT136" s="614">
        <f t="shared" si="41"/>
        <v>0</v>
      </c>
      <c r="BU136" s="614">
        <f t="shared" si="41"/>
        <v>0</v>
      </c>
      <c r="BV136" s="614">
        <f t="shared" si="41"/>
        <v>0</v>
      </c>
      <c r="BW136" s="614">
        <f t="shared" si="41"/>
        <v>0</v>
      </c>
      <c r="BX136" s="614">
        <f t="shared" si="41"/>
        <v>0</v>
      </c>
    </row>
    <row r="137" spans="2:76" x14ac:dyDescent="0.25">
      <c r="B137" s="615" t="s">
        <v>845</v>
      </c>
      <c r="C137" s="614">
        <f t="shared" si="40"/>
        <v>0</v>
      </c>
      <c r="D137" s="614">
        <f t="shared" si="40"/>
        <v>0</v>
      </c>
      <c r="E137" s="614">
        <f t="shared" si="40"/>
        <v>0</v>
      </c>
      <c r="F137" s="614">
        <f t="shared" si="40"/>
        <v>0</v>
      </c>
      <c r="G137" s="614">
        <f t="shared" si="40"/>
        <v>0</v>
      </c>
      <c r="H137" s="614">
        <f t="shared" si="40"/>
        <v>0</v>
      </c>
      <c r="J137" s="615" t="s">
        <v>845</v>
      </c>
      <c r="K137" s="614">
        <f>Ielas!T824</f>
        <v>0</v>
      </c>
      <c r="L137" s="614">
        <f>Ielas!U824</f>
        <v>0</v>
      </c>
      <c r="M137" s="614">
        <f>Ielas!V824</f>
        <v>0</v>
      </c>
      <c r="N137" s="614">
        <f>Ielas!W824</f>
        <v>0</v>
      </c>
      <c r="O137" s="614">
        <f>Ielas!X824</f>
        <v>0</v>
      </c>
      <c r="P137" s="614">
        <f>Ielas!Y824</f>
        <v>0</v>
      </c>
      <c r="Q137" s="615" t="s">
        <v>845</v>
      </c>
      <c r="R137" s="614">
        <f>Ielas!AA824</f>
        <v>0</v>
      </c>
      <c r="S137" s="614">
        <f>Ielas!AB824</f>
        <v>0</v>
      </c>
      <c r="T137" s="614">
        <f>Ielas!AC824</f>
        <v>0</v>
      </c>
      <c r="U137" s="614">
        <f>Ielas!AD824</f>
        <v>0</v>
      </c>
      <c r="V137" s="614">
        <f>Ielas!AE824</f>
        <v>0</v>
      </c>
      <c r="W137" s="614">
        <f>Ielas!AF824</f>
        <v>0</v>
      </c>
      <c r="Y137" s="615" t="s">
        <v>845</v>
      </c>
      <c r="Z137" s="614"/>
      <c r="AA137" s="614"/>
      <c r="AB137" s="614"/>
      <c r="AC137" s="614"/>
      <c r="AD137" s="614"/>
      <c r="AE137" s="614"/>
      <c r="AF137" s="615" t="s">
        <v>845</v>
      </c>
      <c r="AG137" s="614"/>
      <c r="AH137" s="614"/>
      <c r="AI137" s="614"/>
      <c r="AJ137" s="614"/>
      <c r="AK137" s="614"/>
      <c r="AL137" s="614"/>
      <c r="AN137" s="615" t="s">
        <v>845</v>
      </c>
      <c r="AO137" s="614"/>
      <c r="AP137" s="614"/>
      <c r="AQ137" s="614"/>
      <c r="AR137" s="614"/>
      <c r="AS137" s="614"/>
      <c r="AT137" s="614"/>
      <c r="AU137" s="615" t="s">
        <v>845</v>
      </c>
      <c r="AV137" s="614"/>
      <c r="AW137" s="614"/>
      <c r="AX137" s="614"/>
      <c r="AY137" s="614"/>
      <c r="AZ137" s="614"/>
      <c r="BA137" s="614"/>
      <c r="BC137" s="615" t="s">
        <v>845</v>
      </c>
      <c r="BD137" s="614"/>
      <c r="BE137" s="614"/>
      <c r="BF137" s="614"/>
      <c r="BG137" s="614"/>
      <c r="BH137" s="614"/>
      <c r="BI137" s="614"/>
      <c r="BJ137" s="615" t="s">
        <v>845</v>
      </c>
      <c r="BK137" s="614"/>
      <c r="BL137" s="614"/>
      <c r="BM137" s="614"/>
      <c r="BN137" s="614"/>
      <c r="BO137" s="614"/>
      <c r="BP137" s="614"/>
      <c r="BR137" s="615" t="s">
        <v>845</v>
      </c>
      <c r="BS137" s="614">
        <f t="shared" si="41"/>
        <v>0</v>
      </c>
      <c r="BT137" s="614">
        <f t="shared" si="41"/>
        <v>0</v>
      </c>
      <c r="BU137" s="614">
        <f t="shared" si="41"/>
        <v>0</v>
      </c>
      <c r="BV137" s="614">
        <f t="shared" si="41"/>
        <v>0</v>
      </c>
      <c r="BW137" s="614">
        <f t="shared" si="41"/>
        <v>0</v>
      </c>
      <c r="BX137" s="614">
        <f t="shared" si="41"/>
        <v>0</v>
      </c>
    </row>
    <row r="138" spans="2:76" x14ac:dyDescent="0.25">
      <c r="B138" s="616" t="s">
        <v>846</v>
      </c>
      <c r="C138" s="614">
        <f t="shared" si="40"/>
        <v>0</v>
      </c>
      <c r="D138" s="614">
        <f t="shared" si="40"/>
        <v>0</v>
      </c>
      <c r="E138" s="614">
        <f t="shared" si="40"/>
        <v>0</v>
      </c>
      <c r="F138" s="614">
        <f t="shared" si="40"/>
        <v>6.4300000000000006</v>
      </c>
      <c r="G138" s="614">
        <f t="shared" si="40"/>
        <v>9.7000000000000003E-2</v>
      </c>
      <c r="H138" s="614">
        <f t="shared" si="40"/>
        <v>6.527000000000001</v>
      </c>
      <c r="J138" s="616" t="s">
        <v>846</v>
      </c>
      <c r="K138" s="614">
        <f>Ielas!T825</f>
        <v>0</v>
      </c>
      <c r="L138" s="614">
        <f>Ielas!U825</f>
        <v>0</v>
      </c>
      <c r="M138" s="614">
        <f>Ielas!V825</f>
        <v>0</v>
      </c>
      <c r="N138" s="614">
        <f>Ielas!W825</f>
        <v>6.4300000000000006</v>
      </c>
      <c r="O138" s="614">
        <f>Ielas!X825</f>
        <v>9.7000000000000003E-2</v>
      </c>
      <c r="P138" s="614">
        <f>Ielas!Y825</f>
        <v>6.527000000000001</v>
      </c>
      <c r="Q138" s="616" t="s">
        <v>846</v>
      </c>
      <c r="R138" s="614">
        <f>Ielas!AA825</f>
        <v>0</v>
      </c>
      <c r="S138" s="614">
        <f>Ielas!AB825</f>
        <v>0</v>
      </c>
      <c r="T138" s="614">
        <f>Ielas!AC825</f>
        <v>0</v>
      </c>
      <c r="U138" s="614">
        <f>Ielas!AD825</f>
        <v>0</v>
      </c>
      <c r="V138" s="614">
        <f>Ielas!AE825</f>
        <v>0</v>
      </c>
      <c r="W138" s="614">
        <f>Ielas!AF825</f>
        <v>0</v>
      </c>
      <c r="Y138" s="616" t="s">
        <v>846</v>
      </c>
      <c r="Z138" s="614"/>
      <c r="AA138" s="614"/>
      <c r="AB138" s="614"/>
      <c r="AC138" s="614"/>
      <c r="AD138" s="614"/>
      <c r="AE138" s="614"/>
      <c r="AF138" s="616" t="s">
        <v>846</v>
      </c>
      <c r="AG138" s="614"/>
      <c r="AH138" s="614"/>
      <c r="AI138" s="614"/>
      <c r="AJ138" s="614"/>
      <c r="AK138" s="614"/>
      <c r="AL138" s="614"/>
      <c r="AN138" s="616" t="s">
        <v>846</v>
      </c>
      <c r="AO138" s="614"/>
      <c r="AP138" s="614"/>
      <c r="AQ138" s="614"/>
      <c r="AR138" s="614"/>
      <c r="AS138" s="614"/>
      <c r="AT138" s="614"/>
      <c r="AU138" s="616" t="s">
        <v>846</v>
      </c>
      <c r="AV138" s="614"/>
      <c r="AW138" s="614"/>
      <c r="AX138" s="614"/>
      <c r="AY138" s="614"/>
      <c r="AZ138" s="614"/>
      <c r="BA138" s="614"/>
      <c r="BC138" s="616" t="s">
        <v>846</v>
      </c>
      <c r="BD138" s="614"/>
      <c r="BE138" s="614"/>
      <c r="BF138" s="614"/>
      <c r="BG138" s="614"/>
      <c r="BH138" s="614"/>
      <c r="BI138" s="614"/>
      <c r="BJ138" s="616" t="s">
        <v>846</v>
      </c>
      <c r="BK138" s="614"/>
      <c r="BL138" s="614"/>
      <c r="BM138" s="614"/>
      <c r="BN138" s="614"/>
      <c r="BO138" s="614"/>
      <c r="BP138" s="614"/>
      <c r="BR138" s="616" t="s">
        <v>846</v>
      </c>
      <c r="BS138" s="614">
        <f t="shared" si="41"/>
        <v>0</v>
      </c>
      <c r="BT138" s="614">
        <f t="shared" si="41"/>
        <v>0</v>
      </c>
      <c r="BU138" s="614">
        <f t="shared" si="41"/>
        <v>0</v>
      </c>
      <c r="BV138" s="614">
        <f t="shared" si="41"/>
        <v>6.4300000000000006</v>
      </c>
      <c r="BW138" s="614">
        <f t="shared" si="41"/>
        <v>9.7000000000000003E-2</v>
      </c>
      <c r="BX138" s="614">
        <f t="shared" si="41"/>
        <v>6.527000000000001</v>
      </c>
    </row>
    <row r="139" spans="2:76" x14ac:dyDescent="0.25">
      <c r="C139" s="614">
        <f t="shared" si="40"/>
        <v>0</v>
      </c>
      <c r="D139" s="614">
        <f t="shared" si="40"/>
        <v>0</v>
      </c>
      <c r="E139" s="614">
        <f t="shared" si="40"/>
        <v>0</v>
      </c>
      <c r="F139" s="614">
        <f t="shared" si="40"/>
        <v>6.4300000000000006</v>
      </c>
      <c r="G139" s="614">
        <f t="shared" si="40"/>
        <v>9.7000000000000003E-2</v>
      </c>
      <c r="H139" s="614">
        <f t="shared" si="40"/>
        <v>6.527000000000001</v>
      </c>
      <c r="K139" s="614">
        <f>Ielas!T826</f>
        <v>0</v>
      </c>
      <c r="L139" s="614">
        <f>Ielas!U826</f>
        <v>0</v>
      </c>
      <c r="M139" s="614">
        <f>Ielas!V826</f>
        <v>0</v>
      </c>
      <c r="N139" s="614">
        <f>Ielas!W826</f>
        <v>6.4300000000000006</v>
      </c>
      <c r="O139" s="614">
        <f>Ielas!X826</f>
        <v>9.7000000000000003E-2</v>
      </c>
      <c r="P139" s="614">
        <f>Ielas!Y826</f>
        <v>6.527000000000001</v>
      </c>
      <c r="R139" s="614">
        <f>Ielas!AA826</f>
        <v>0</v>
      </c>
      <c r="S139" s="614">
        <f>Ielas!AB826</f>
        <v>0</v>
      </c>
      <c r="T139" s="614">
        <f>Ielas!AC826</f>
        <v>0</v>
      </c>
      <c r="U139" s="614">
        <f>Ielas!AD826</f>
        <v>0</v>
      </c>
      <c r="V139" s="614">
        <f>Ielas!AE826</f>
        <v>0</v>
      </c>
      <c r="W139" s="614">
        <f>Ielas!AF826</f>
        <v>0</v>
      </c>
      <c r="Z139" s="614"/>
      <c r="AA139" s="614"/>
      <c r="AB139" s="614"/>
      <c r="AC139" s="614"/>
      <c r="AD139" s="614"/>
      <c r="AE139" s="614"/>
      <c r="AG139" s="614"/>
      <c r="AH139" s="614"/>
      <c r="AI139" s="614"/>
      <c r="AJ139" s="614"/>
      <c r="AK139" s="614"/>
      <c r="AL139" s="614"/>
      <c r="AO139" s="614"/>
      <c r="AP139" s="614"/>
      <c r="AQ139" s="614"/>
      <c r="AR139" s="614"/>
      <c r="AS139" s="614"/>
      <c r="AT139" s="614"/>
      <c r="AV139" s="614"/>
      <c r="AW139" s="614"/>
      <c r="AX139" s="614"/>
      <c r="AY139" s="614"/>
      <c r="AZ139" s="614"/>
      <c r="BA139" s="614"/>
      <c r="BD139" s="614"/>
      <c r="BE139" s="614"/>
      <c r="BF139" s="614"/>
      <c r="BG139" s="614"/>
      <c r="BH139" s="614"/>
      <c r="BI139" s="614"/>
      <c r="BK139" s="614"/>
      <c r="BL139" s="614"/>
      <c r="BM139" s="614"/>
      <c r="BN139" s="614"/>
      <c r="BO139" s="614"/>
      <c r="BP139" s="614"/>
      <c r="BS139" s="614">
        <f t="shared" si="41"/>
        <v>0</v>
      </c>
      <c r="BT139" s="614">
        <f t="shared" si="41"/>
        <v>0</v>
      </c>
      <c r="BU139" s="614">
        <f t="shared" si="41"/>
        <v>0</v>
      </c>
      <c r="BV139" s="614">
        <f t="shared" si="41"/>
        <v>6.4300000000000006</v>
      </c>
      <c r="BW139" s="614">
        <f t="shared" si="41"/>
        <v>9.7000000000000003E-2</v>
      </c>
      <c r="BX139" s="614">
        <f t="shared" si="41"/>
        <v>6.527000000000001</v>
      </c>
    </row>
    <row r="140" spans="2:76" x14ac:dyDescent="0.25">
      <c r="C140" s="667"/>
      <c r="D140" s="667"/>
      <c r="E140" s="667"/>
      <c r="F140" s="667"/>
      <c r="G140" s="667"/>
      <c r="H140" s="667"/>
      <c r="BS140" s="667"/>
      <c r="BT140" s="667"/>
      <c r="BU140" s="667"/>
      <c r="BV140" s="667"/>
      <c r="BW140" s="667"/>
      <c r="BX140" s="667"/>
    </row>
    <row r="141" spans="2:76" x14ac:dyDescent="0.25">
      <c r="B141" t="s">
        <v>1188</v>
      </c>
      <c r="C141" s="667"/>
      <c r="D141" s="667"/>
      <c r="E141" s="667"/>
      <c r="F141" s="667"/>
      <c r="G141" s="667"/>
      <c r="H141" s="667"/>
      <c r="K141" t="s">
        <v>1189</v>
      </c>
      <c r="R141" t="s">
        <v>1141</v>
      </c>
      <c r="AG141" t="s">
        <v>1141</v>
      </c>
      <c r="AV141" t="s">
        <v>1141</v>
      </c>
      <c r="BK141" t="s">
        <v>1141</v>
      </c>
      <c r="BR141" t="s">
        <v>1190</v>
      </c>
      <c r="BS141" s="667"/>
      <c r="BT141" s="667"/>
      <c r="BU141" s="667"/>
      <c r="BV141" s="667"/>
      <c r="BW141" s="667"/>
      <c r="BX141" s="667"/>
    </row>
    <row r="142" spans="2:76" ht="23.25" x14ac:dyDescent="0.25">
      <c r="B142" s="102"/>
      <c r="C142" s="669" t="s">
        <v>1092</v>
      </c>
      <c r="D142" s="669" t="s">
        <v>1093</v>
      </c>
      <c r="E142" s="669" t="s">
        <v>1094</v>
      </c>
      <c r="F142" s="669" t="s">
        <v>1095</v>
      </c>
      <c r="G142" s="669" t="s">
        <v>1096</v>
      </c>
      <c r="H142" s="141" t="s">
        <v>269</v>
      </c>
      <c r="J142" s="102"/>
      <c r="K142" s="625" t="s">
        <v>1092</v>
      </c>
      <c r="L142" s="625" t="s">
        <v>1093</v>
      </c>
      <c r="M142" s="625" t="s">
        <v>1094</v>
      </c>
      <c r="N142" s="625" t="s">
        <v>1095</v>
      </c>
      <c r="O142" s="625" t="s">
        <v>1096</v>
      </c>
      <c r="P142" s="627" t="s">
        <v>269</v>
      </c>
      <c r="Q142" s="102"/>
      <c r="R142" s="625" t="s">
        <v>1092</v>
      </c>
      <c r="S142" s="625" t="s">
        <v>1093</v>
      </c>
      <c r="T142" s="625" t="s">
        <v>1094</v>
      </c>
      <c r="U142" s="625" t="s">
        <v>1095</v>
      </c>
      <c r="V142" s="625" t="s">
        <v>1096</v>
      </c>
      <c r="W142" s="627" t="s">
        <v>269</v>
      </c>
      <c r="Y142" s="102"/>
      <c r="Z142" s="625" t="s">
        <v>1092</v>
      </c>
      <c r="AA142" s="625" t="s">
        <v>1093</v>
      </c>
      <c r="AB142" s="625" t="s">
        <v>1094</v>
      </c>
      <c r="AC142" s="625" t="s">
        <v>1095</v>
      </c>
      <c r="AD142" s="625" t="s">
        <v>1096</v>
      </c>
      <c r="AE142" s="627" t="s">
        <v>269</v>
      </c>
      <c r="AF142" s="102"/>
      <c r="AG142" s="625" t="s">
        <v>1092</v>
      </c>
      <c r="AH142" s="625" t="s">
        <v>1093</v>
      </c>
      <c r="AI142" s="625" t="s">
        <v>1094</v>
      </c>
      <c r="AJ142" s="625" t="s">
        <v>1095</v>
      </c>
      <c r="AK142" s="625" t="s">
        <v>1096</v>
      </c>
      <c r="AL142" s="627" t="s">
        <v>269</v>
      </c>
      <c r="AN142" s="102"/>
      <c r="AO142" s="625" t="s">
        <v>1092</v>
      </c>
      <c r="AP142" s="625" t="s">
        <v>1093</v>
      </c>
      <c r="AQ142" s="625" t="s">
        <v>1094</v>
      </c>
      <c r="AR142" s="625" t="s">
        <v>1095</v>
      </c>
      <c r="AS142" s="625" t="s">
        <v>1096</v>
      </c>
      <c r="AT142" s="627" t="s">
        <v>269</v>
      </c>
      <c r="AU142" s="102"/>
      <c r="AV142" s="625" t="s">
        <v>1092</v>
      </c>
      <c r="AW142" s="625" t="s">
        <v>1093</v>
      </c>
      <c r="AX142" s="625" t="s">
        <v>1094</v>
      </c>
      <c r="AY142" s="625" t="s">
        <v>1095</v>
      </c>
      <c r="AZ142" s="625" t="s">
        <v>1096</v>
      </c>
      <c r="BA142" s="627" t="s">
        <v>269</v>
      </c>
      <c r="BC142" s="102"/>
      <c r="BD142" s="625" t="s">
        <v>1092</v>
      </c>
      <c r="BE142" s="625" t="s">
        <v>1093</v>
      </c>
      <c r="BF142" s="625" t="s">
        <v>1094</v>
      </c>
      <c r="BG142" s="625" t="s">
        <v>1095</v>
      </c>
      <c r="BH142" s="625" t="s">
        <v>1096</v>
      </c>
      <c r="BI142" s="627" t="s">
        <v>269</v>
      </c>
      <c r="BJ142" s="102"/>
      <c r="BK142" s="625" t="s">
        <v>1092</v>
      </c>
      <c r="BL142" s="625" t="s">
        <v>1093</v>
      </c>
      <c r="BM142" s="625" t="s">
        <v>1094</v>
      </c>
      <c r="BN142" s="625" t="s">
        <v>1095</v>
      </c>
      <c r="BO142" s="625" t="s">
        <v>1096</v>
      </c>
      <c r="BP142" s="627" t="s">
        <v>269</v>
      </c>
      <c r="BR142" s="102"/>
      <c r="BS142" s="669" t="s">
        <v>1092</v>
      </c>
      <c r="BT142" s="669" t="s">
        <v>1093</v>
      </c>
      <c r="BU142" s="669" t="s">
        <v>1094</v>
      </c>
      <c r="BV142" s="669" t="s">
        <v>1095</v>
      </c>
      <c r="BW142" s="669" t="s">
        <v>1096</v>
      </c>
      <c r="BX142" s="141" t="s">
        <v>269</v>
      </c>
    </row>
    <row r="143" spans="2:76" x14ac:dyDescent="0.25">
      <c r="B143" s="628" t="s">
        <v>844</v>
      </c>
      <c r="C143" s="669" t="s">
        <v>231</v>
      </c>
      <c r="D143" s="669" t="s">
        <v>231</v>
      </c>
      <c r="E143" s="669" t="s">
        <v>231</v>
      </c>
      <c r="F143" s="669" t="s">
        <v>231</v>
      </c>
      <c r="G143" s="669" t="s">
        <v>231</v>
      </c>
      <c r="H143" s="670" t="s">
        <v>231</v>
      </c>
      <c r="J143" s="628" t="s">
        <v>844</v>
      </c>
      <c r="K143" s="625" t="s">
        <v>231</v>
      </c>
      <c r="L143" s="625" t="s">
        <v>231</v>
      </c>
      <c r="M143" s="625" t="s">
        <v>231</v>
      </c>
      <c r="N143" s="625" t="s">
        <v>231</v>
      </c>
      <c r="O143" s="625" t="s">
        <v>231</v>
      </c>
      <c r="P143" s="626" t="s">
        <v>231</v>
      </c>
      <c r="Q143" s="628"/>
      <c r="R143" s="625" t="s">
        <v>231</v>
      </c>
      <c r="S143" s="625" t="s">
        <v>231</v>
      </c>
      <c r="T143" s="625" t="s">
        <v>231</v>
      </c>
      <c r="U143" s="625" t="s">
        <v>231</v>
      </c>
      <c r="V143" s="625" t="s">
        <v>231</v>
      </c>
      <c r="W143" s="626" t="s">
        <v>231</v>
      </c>
      <c r="Y143" s="628" t="s">
        <v>844</v>
      </c>
      <c r="Z143" s="625" t="s">
        <v>231</v>
      </c>
      <c r="AA143" s="625" t="s">
        <v>231</v>
      </c>
      <c r="AB143" s="625" t="s">
        <v>231</v>
      </c>
      <c r="AC143" s="625" t="s">
        <v>231</v>
      </c>
      <c r="AD143" s="625" t="s">
        <v>231</v>
      </c>
      <c r="AE143" s="626" t="s">
        <v>231</v>
      </c>
      <c r="AF143" s="628"/>
      <c r="AG143" s="625" t="s">
        <v>231</v>
      </c>
      <c r="AH143" s="625" t="s">
        <v>231</v>
      </c>
      <c r="AI143" s="625" t="s">
        <v>231</v>
      </c>
      <c r="AJ143" s="625" t="s">
        <v>231</v>
      </c>
      <c r="AK143" s="625" t="s">
        <v>231</v>
      </c>
      <c r="AL143" s="626" t="s">
        <v>231</v>
      </c>
      <c r="AN143" s="628" t="s">
        <v>844</v>
      </c>
      <c r="AO143" s="625" t="s">
        <v>231</v>
      </c>
      <c r="AP143" s="625" t="s">
        <v>231</v>
      </c>
      <c r="AQ143" s="625" t="s">
        <v>231</v>
      </c>
      <c r="AR143" s="625" t="s">
        <v>231</v>
      </c>
      <c r="AS143" s="625" t="s">
        <v>231</v>
      </c>
      <c r="AT143" s="626" t="s">
        <v>231</v>
      </c>
      <c r="AU143" s="628"/>
      <c r="AV143" s="625" t="s">
        <v>231</v>
      </c>
      <c r="AW143" s="625" t="s">
        <v>231</v>
      </c>
      <c r="AX143" s="625" t="s">
        <v>231</v>
      </c>
      <c r="AY143" s="625" t="s">
        <v>231</v>
      </c>
      <c r="AZ143" s="625" t="s">
        <v>231</v>
      </c>
      <c r="BA143" s="626" t="s">
        <v>231</v>
      </c>
      <c r="BC143" s="628" t="s">
        <v>844</v>
      </c>
      <c r="BD143" s="625" t="s">
        <v>231</v>
      </c>
      <c r="BE143" s="625" t="s">
        <v>231</v>
      </c>
      <c r="BF143" s="625" t="s">
        <v>231</v>
      </c>
      <c r="BG143" s="625" t="s">
        <v>231</v>
      </c>
      <c r="BH143" s="625" t="s">
        <v>231</v>
      </c>
      <c r="BI143" s="626" t="s">
        <v>231</v>
      </c>
      <c r="BJ143" s="628"/>
      <c r="BK143" s="625" t="s">
        <v>231</v>
      </c>
      <c r="BL143" s="625" t="s">
        <v>231</v>
      </c>
      <c r="BM143" s="625" t="s">
        <v>231</v>
      </c>
      <c r="BN143" s="625" t="s">
        <v>231</v>
      </c>
      <c r="BO143" s="625" t="s">
        <v>231</v>
      </c>
      <c r="BP143" s="626" t="s">
        <v>231</v>
      </c>
      <c r="BR143" s="628" t="s">
        <v>844</v>
      </c>
      <c r="BS143" s="669" t="s">
        <v>231</v>
      </c>
      <c r="BT143" s="669" t="s">
        <v>231</v>
      </c>
      <c r="BU143" s="669" t="s">
        <v>231</v>
      </c>
      <c r="BV143" s="669" t="s">
        <v>231</v>
      </c>
      <c r="BW143" s="669" t="s">
        <v>231</v>
      </c>
      <c r="BX143" s="670" t="s">
        <v>231</v>
      </c>
    </row>
    <row r="144" spans="2:76" x14ac:dyDescent="0.25">
      <c r="B144" s="616" t="s">
        <v>847</v>
      </c>
      <c r="C144" s="614">
        <f t="shared" ref="C144:H148" si="42">K144+Z144+AO144</f>
        <v>0</v>
      </c>
      <c r="D144" s="614">
        <f t="shared" si="42"/>
        <v>0</v>
      </c>
      <c r="E144" s="614">
        <f t="shared" si="42"/>
        <v>0</v>
      </c>
      <c r="F144" s="614">
        <f t="shared" si="42"/>
        <v>0</v>
      </c>
      <c r="G144" s="614">
        <f t="shared" si="42"/>
        <v>0</v>
      </c>
      <c r="H144" s="614">
        <f t="shared" si="42"/>
        <v>0</v>
      </c>
      <c r="J144" s="616" t="s">
        <v>847</v>
      </c>
      <c r="K144" s="614">
        <f>Ielas!T865</f>
        <v>0</v>
      </c>
      <c r="L144" s="614">
        <f>Ielas!U865</f>
        <v>0</v>
      </c>
      <c r="M144" s="614">
        <f>Ielas!V865</f>
        <v>0</v>
      </c>
      <c r="N144" s="614">
        <f>Ielas!W865</f>
        <v>0</v>
      </c>
      <c r="O144" s="614">
        <f>Ielas!X865</f>
        <v>0</v>
      </c>
      <c r="P144" s="614">
        <f>Ielas!Y865</f>
        <v>0</v>
      </c>
      <c r="Q144" s="616" t="s">
        <v>847</v>
      </c>
      <c r="R144" s="614">
        <f>Ielas!AA865</f>
        <v>0</v>
      </c>
      <c r="S144" s="614">
        <f>Ielas!AB865</f>
        <v>0</v>
      </c>
      <c r="T144" s="614">
        <f>Ielas!AC865</f>
        <v>0</v>
      </c>
      <c r="U144" s="614">
        <f>Ielas!AD865</f>
        <v>0</v>
      </c>
      <c r="V144" s="614">
        <f>Ielas!AE865</f>
        <v>0</v>
      </c>
      <c r="W144" s="614">
        <f>Ielas!AF865</f>
        <v>0</v>
      </c>
      <c r="Y144" s="616" t="s">
        <v>847</v>
      </c>
      <c r="Z144" s="614"/>
      <c r="AA144" s="614"/>
      <c r="AB144" s="614"/>
      <c r="AC144" s="614"/>
      <c r="AD144" s="614"/>
      <c r="AE144" s="614"/>
      <c r="AF144" s="616" t="s">
        <v>847</v>
      </c>
      <c r="AG144" s="614"/>
      <c r="AH144" s="614"/>
      <c r="AI144" s="614"/>
      <c r="AJ144" s="614"/>
      <c r="AK144" s="614"/>
      <c r="AL144" s="614"/>
      <c r="AN144" s="616" t="s">
        <v>847</v>
      </c>
      <c r="AO144" s="614"/>
      <c r="AP144" s="614"/>
      <c r="AQ144" s="614"/>
      <c r="AR144" s="614"/>
      <c r="AS144" s="614"/>
      <c r="AT144" s="614"/>
      <c r="AU144" s="616" t="s">
        <v>847</v>
      </c>
      <c r="AV144" s="614"/>
      <c r="AW144" s="614"/>
      <c r="AX144" s="614"/>
      <c r="AY144" s="614"/>
      <c r="AZ144" s="614"/>
      <c r="BA144" s="614"/>
      <c r="BC144" s="616" t="s">
        <v>847</v>
      </c>
      <c r="BD144" s="614"/>
      <c r="BE144" s="614"/>
      <c r="BF144" s="614"/>
      <c r="BG144" s="614"/>
      <c r="BH144" s="614"/>
      <c r="BI144" s="614"/>
      <c r="BJ144" s="616" t="s">
        <v>847</v>
      </c>
      <c r="BK144" s="614"/>
      <c r="BL144" s="614"/>
      <c r="BM144" s="614"/>
      <c r="BN144" s="614"/>
      <c r="BO144" s="614"/>
      <c r="BP144" s="614"/>
      <c r="BR144" s="616" t="s">
        <v>847</v>
      </c>
      <c r="BS144" s="614">
        <f t="shared" ref="BS144:BX148" si="43">C144-R144-AG144-AV144</f>
        <v>0</v>
      </c>
      <c r="BT144" s="614">
        <f t="shared" si="43"/>
        <v>0</v>
      </c>
      <c r="BU144" s="614">
        <f t="shared" si="43"/>
        <v>0</v>
      </c>
      <c r="BV144" s="614">
        <f t="shared" si="43"/>
        <v>0</v>
      </c>
      <c r="BW144" s="614">
        <f t="shared" si="43"/>
        <v>0</v>
      </c>
      <c r="BX144" s="614">
        <f t="shared" si="43"/>
        <v>0</v>
      </c>
    </row>
    <row r="145" spans="2:76" x14ac:dyDescent="0.25">
      <c r="B145" s="617" t="s">
        <v>848</v>
      </c>
      <c r="C145" s="614">
        <f t="shared" si="42"/>
        <v>0</v>
      </c>
      <c r="D145" s="614">
        <f t="shared" si="42"/>
        <v>0</v>
      </c>
      <c r="E145" s="614">
        <f t="shared" si="42"/>
        <v>0</v>
      </c>
      <c r="F145" s="614">
        <f t="shared" si="42"/>
        <v>0</v>
      </c>
      <c r="G145" s="614">
        <f t="shared" si="42"/>
        <v>0</v>
      </c>
      <c r="H145" s="614">
        <f t="shared" si="42"/>
        <v>0</v>
      </c>
      <c r="J145" s="617" t="s">
        <v>848</v>
      </c>
      <c r="K145" s="614">
        <f>Ielas!T866</f>
        <v>0</v>
      </c>
      <c r="L145" s="614">
        <f>Ielas!U866</f>
        <v>0</v>
      </c>
      <c r="M145" s="614">
        <f>Ielas!V866</f>
        <v>0</v>
      </c>
      <c r="N145" s="614">
        <f>Ielas!W866</f>
        <v>0</v>
      </c>
      <c r="O145" s="614">
        <f>Ielas!X866</f>
        <v>0</v>
      </c>
      <c r="P145" s="614">
        <f>Ielas!Y866</f>
        <v>0</v>
      </c>
      <c r="Q145" s="617" t="s">
        <v>848</v>
      </c>
      <c r="R145" s="614">
        <f>Ielas!AA866</f>
        <v>0</v>
      </c>
      <c r="S145" s="614">
        <f>Ielas!AB866</f>
        <v>0</v>
      </c>
      <c r="T145" s="614">
        <f>Ielas!AC866</f>
        <v>0</v>
      </c>
      <c r="U145" s="614">
        <f>Ielas!AD866</f>
        <v>0</v>
      </c>
      <c r="V145" s="614">
        <f>Ielas!AE866</f>
        <v>0</v>
      </c>
      <c r="W145" s="614">
        <f>Ielas!AF866</f>
        <v>0</v>
      </c>
      <c r="Y145" s="617" t="s">
        <v>848</v>
      </c>
      <c r="Z145" s="614"/>
      <c r="AA145" s="614"/>
      <c r="AB145" s="614"/>
      <c r="AC145" s="614"/>
      <c r="AD145" s="614"/>
      <c r="AE145" s="614"/>
      <c r="AF145" s="617" t="s">
        <v>848</v>
      </c>
      <c r="AG145" s="614"/>
      <c r="AH145" s="614"/>
      <c r="AI145" s="614"/>
      <c r="AJ145" s="614"/>
      <c r="AK145" s="614"/>
      <c r="AL145" s="614"/>
      <c r="AN145" s="617" t="s">
        <v>848</v>
      </c>
      <c r="AO145" s="614"/>
      <c r="AP145" s="614"/>
      <c r="AQ145" s="614"/>
      <c r="AR145" s="614"/>
      <c r="AS145" s="614"/>
      <c r="AT145" s="614"/>
      <c r="AU145" s="617" t="s">
        <v>848</v>
      </c>
      <c r="AV145" s="614"/>
      <c r="AW145" s="614"/>
      <c r="AX145" s="614"/>
      <c r="AY145" s="614"/>
      <c r="AZ145" s="614"/>
      <c r="BA145" s="614"/>
      <c r="BC145" s="617" t="s">
        <v>848</v>
      </c>
      <c r="BD145" s="614"/>
      <c r="BE145" s="614"/>
      <c r="BF145" s="614"/>
      <c r="BG145" s="614"/>
      <c r="BH145" s="614"/>
      <c r="BI145" s="614"/>
      <c r="BJ145" s="617" t="s">
        <v>848</v>
      </c>
      <c r="BK145" s="614"/>
      <c r="BL145" s="614"/>
      <c r="BM145" s="614"/>
      <c r="BN145" s="614"/>
      <c r="BO145" s="614"/>
      <c r="BP145" s="614"/>
      <c r="BR145" s="617" t="s">
        <v>848</v>
      </c>
      <c r="BS145" s="614">
        <f t="shared" si="43"/>
        <v>0</v>
      </c>
      <c r="BT145" s="614">
        <f t="shared" si="43"/>
        <v>0</v>
      </c>
      <c r="BU145" s="614">
        <f t="shared" si="43"/>
        <v>0</v>
      </c>
      <c r="BV145" s="614">
        <f t="shared" si="43"/>
        <v>0</v>
      </c>
      <c r="BW145" s="614">
        <f t="shared" si="43"/>
        <v>0</v>
      </c>
      <c r="BX145" s="614">
        <f t="shared" si="43"/>
        <v>0</v>
      </c>
    </row>
    <row r="146" spans="2:76" x14ac:dyDescent="0.25">
      <c r="B146" s="615" t="s">
        <v>845</v>
      </c>
      <c r="C146" s="614">
        <f t="shared" si="42"/>
        <v>4.585</v>
      </c>
      <c r="D146" s="614">
        <f t="shared" si="42"/>
        <v>0</v>
      </c>
      <c r="E146" s="614">
        <f t="shared" si="42"/>
        <v>0</v>
      </c>
      <c r="F146" s="614">
        <f t="shared" si="42"/>
        <v>0.65</v>
      </c>
      <c r="G146" s="614">
        <f t="shared" si="42"/>
        <v>0</v>
      </c>
      <c r="H146" s="614">
        <f t="shared" si="42"/>
        <v>5.2350000000000003</v>
      </c>
      <c r="J146" s="615" t="s">
        <v>845</v>
      </c>
      <c r="K146" s="614">
        <f>Ielas!T867</f>
        <v>4.585</v>
      </c>
      <c r="L146" s="614">
        <f>Ielas!U867</f>
        <v>0</v>
      </c>
      <c r="M146" s="614">
        <f>Ielas!V867</f>
        <v>0</v>
      </c>
      <c r="N146" s="614">
        <f>Ielas!W867</f>
        <v>0.65</v>
      </c>
      <c r="O146" s="614">
        <f>Ielas!X867</f>
        <v>0</v>
      </c>
      <c r="P146" s="614">
        <f>Ielas!Y867</f>
        <v>5.2350000000000003</v>
      </c>
      <c r="Q146" s="615" t="s">
        <v>845</v>
      </c>
      <c r="R146" s="614">
        <f>Ielas!AA867</f>
        <v>0</v>
      </c>
      <c r="S146" s="614">
        <f>Ielas!AB867</f>
        <v>0</v>
      </c>
      <c r="T146" s="614">
        <f>Ielas!AC867</f>
        <v>0</v>
      </c>
      <c r="U146" s="614">
        <f>Ielas!AD867</f>
        <v>0</v>
      </c>
      <c r="V146" s="614">
        <f>Ielas!AE867</f>
        <v>0</v>
      </c>
      <c r="W146" s="614">
        <f>Ielas!AF867</f>
        <v>0</v>
      </c>
      <c r="Y146" s="615" t="s">
        <v>845</v>
      </c>
      <c r="Z146" s="614"/>
      <c r="AA146" s="614"/>
      <c r="AB146" s="614"/>
      <c r="AC146" s="614"/>
      <c r="AD146" s="614"/>
      <c r="AE146" s="614"/>
      <c r="AF146" s="615" t="s">
        <v>845</v>
      </c>
      <c r="AG146" s="614"/>
      <c r="AH146" s="614"/>
      <c r="AI146" s="614"/>
      <c r="AJ146" s="614"/>
      <c r="AK146" s="614"/>
      <c r="AL146" s="614"/>
      <c r="AN146" s="615" t="s">
        <v>845</v>
      </c>
      <c r="AO146" s="614"/>
      <c r="AP146" s="614"/>
      <c r="AQ146" s="614"/>
      <c r="AR146" s="614"/>
      <c r="AS146" s="614"/>
      <c r="AT146" s="614"/>
      <c r="AU146" s="615" t="s">
        <v>845</v>
      </c>
      <c r="AV146" s="614"/>
      <c r="AW146" s="614"/>
      <c r="AX146" s="614"/>
      <c r="AY146" s="614"/>
      <c r="AZ146" s="614"/>
      <c r="BA146" s="614"/>
      <c r="BC146" s="615" t="s">
        <v>845</v>
      </c>
      <c r="BD146" s="614"/>
      <c r="BE146" s="614"/>
      <c r="BF146" s="614"/>
      <c r="BG146" s="614"/>
      <c r="BH146" s="614"/>
      <c r="BI146" s="614"/>
      <c r="BJ146" s="615" t="s">
        <v>845</v>
      </c>
      <c r="BK146" s="614"/>
      <c r="BL146" s="614"/>
      <c r="BM146" s="614"/>
      <c r="BN146" s="614"/>
      <c r="BO146" s="614"/>
      <c r="BP146" s="614"/>
      <c r="BR146" s="615" t="s">
        <v>845</v>
      </c>
      <c r="BS146" s="614">
        <f t="shared" si="43"/>
        <v>4.585</v>
      </c>
      <c r="BT146" s="614">
        <f t="shared" si="43"/>
        <v>0</v>
      </c>
      <c r="BU146" s="614">
        <f t="shared" si="43"/>
        <v>0</v>
      </c>
      <c r="BV146" s="614">
        <f t="shared" si="43"/>
        <v>0.65</v>
      </c>
      <c r="BW146" s="614">
        <f t="shared" si="43"/>
        <v>0</v>
      </c>
      <c r="BX146" s="614">
        <f t="shared" si="43"/>
        <v>5.2350000000000003</v>
      </c>
    </row>
    <row r="147" spans="2:76" x14ac:dyDescent="0.25">
      <c r="B147" s="616" t="s">
        <v>846</v>
      </c>
      <c r="C147" s="614">
        <f t="shared" si="42"/>
        <v>3.0979999999999999</v>
      </c>
      <c r="D147" s="614">
        <f t="shared" si="42"/>
        <v>0</v>
      </c>
      <c r="E147" s="614">
        <f t="shared" si="42"/>
        <v>0</v>
      </c>
      <c r="F147" s="614">
        <f t="shared" si="42"/>
        <v>1.83</v>
      </c>
      <c r="G147" s="614">
        <f t="shared" si="42"/>
        <v>0.13</v>
      </c>
      <c r="H147" s="614">
        <f t="shared" si="42"/>
        <v>5.0579999999999998</v>
      </c>
      <c r="J147" s="616" t="s">
        <v>846</v>
      </c>
      <c r="K147" s="614">
        <f>Ielas!T868</f>
        <v>3.0979999999999999</v>
      </c>
      <c r="L147" s="614">
        <f>Ielas!U868</f>
        <v>0</v>
      </c>
      <c r="M147" s="614">
        <f>Ielas!V868</f>
        <v>0</v>
      </c>
      <c r="N147" s="614">
        <f>Ielas!W868</f>
        <v>1.83</v>
      </c>
      <c r="O147" s="614">
        <f>Ielas!X868</f>
        <v>0.13</v>
      </c>
      <c r="P147" s="614">
        <f>Ielas!Y868</f>
        <v>5.0579999999999998</v>
      </c>
      <c r="Q147" s="616" t="s">
        <v>846</v>
      </c>
      <c r="R147" s="614">
        <f>Ielas!AA868</f>
        <v>0</v>
      </c>
      <c r="S147" s="614">
        <f>Ielas!AB868</f>
        <v>0</v>
      </c>
      <c r="T147" s="614">
        <f>Ielas!AC868</f>
        <v>0</v>
      </c>
      <c r="U147" s="614">
        <f>Ielas!AD868</f>
        <v>0</v>
      </c>
      <c r="V147" s="614">
        <f>Ielas!AE868</f>
        <v>0</v>
      </c>
      <c r="W147" s="614">
        <f>Ielas!AF868</f>
        <v>0</v>
      </c>
      <c r="Y147" s="616" t="s">
        <v>846</v>
      </c>
      <c r="Z147" s="614"/>
      <c r="AA147" s="614"/>
      <c r="AB147" s="614"/>
      <c r="AC147" s="614"/>
      <c r="AD147" s="614"/>
      <c r="AE147" s="614"/>
      <c r="AF147" s="616" t="s">
        <v>846</v>
      </c>
      <c r="AG147" s="614"/>
      <c r="AH147" s="614"/>
      <c r="AI147" s="614"/>
      <c r="AJ147" s="614"/>
      <c r="AK147" s="614"/>
      <c r="AL147" s="614"/>
      <c r="AN147" s="616" t="s">
        <v>846</v>
      </c>
      <c r="AO147" s="614"/>
      <c r="AP147" s="614"/>
      <c r="AQ147" s="614"/>
      <c r="AR147" s="614"/>
      <c r="AS147" s="614"/>
      <c r="AT147" s="614"/>
      <c r="AU147" s="616" t="s">
        <v>846</v>
      </c>
      <c r="AV147" s="614"/>
      <c r="AW147" s="614"/>
      <c r="AX147" s="614"/>
      <c r="AY147" s="614"/>
      <c r="AZ147" s="614"/>
      <c r="BA147" s="614"/>
      <c r="BC147" s="616" t="s">
        <v>846</v>
      </c>
      <c r="BD147" s="614"/>
      <c r="BE147" s="614"/>
      <c r="BF147" s="614"/>
      <c r="BG147" s="614"/>
      <c r="BH147" s="614"/>
      <c r="BI147" s="614"/>
      <c r="BJ147" s="616" t="s">
        <v>846</v>
      </c>
      <c r="BK147" s="614"/>
      <c r="BL147" s="614"/>
      <c r="BM147" s="614"/>
      <c r="BN147" s="614"/>
      <c r="BO147" s="614"/>
      <c r="BP147" s="614"/>
      <c r="BR147" s="616" t="s">
        <v>846</v>
      </c>
      <c r="BS147" s="614">
        <f t="shared" si="43"/>
        <v>3.0979999999999999</v>
      </c>
      <c r="BT147" s="614">
        <f t="shared" si="43"/>
        <v>0</v>
      </c>
      <c r="BU147" s="614">
        <f t="shared" si="43"/>
        <v>0</v>
      </c>
      <c r="BV147" s="614">
        <f t="shared" si="43"/>
        <v>1.83</v>
      </c>
      <c r="BW147" s="614">
        <f t="shared" si="43"/>
        <v>0.13</v>
      </c>
      <c r="BX147" s="614">
        <f t="shared" si="43"/>
        <v>5.0579999999999998</v>
      </c>
    </row>
    <row r="148" spans="2:76" x14ac:dyDescent="0.25">
      <c r="C148" s="614">
        <f t="shared" si="42"/>
        <v>7.6829999999999998</v>
      </c>
      <c r="D148" s="614">
        <f t="shared" si="42"/>
        <v>0</v>
      </c>
      <c r="E148" s="614">
        <f t="shared" si="42"/>
        <v>0</v>
      </c>
      <c r="F148" s="614">
        <f t="shared" si="42"/>
        <v>2.48</v>
      </c>
      <c r="G148" s="614">
        <f t="shared" si="42"/>
        <v>0.13</v>
      </c>
      <c r="H148" s="614">
        <f t="shared" si="42"/>
        <v>10.292999999999999</v>
      </c>
      <c r="K148" s="614">
        <f>Ielas!T869</f>
        <v>7.6829999999999998</v>
      </c>
      <c r="L148" s="614">
        <f>Ielas!U869</f>
        <v>0</v>
      </c>
      <c r="M148" s="614">
        <f>Ielas!V869</f>
        <v>0</v>
      </c>
      <c r="N148" s="614">
        <f>Ielas!W869</f>
        <v>2.48</v>
      </c>
      <c r="O148" s="614">
        <f>Ielas!X869</f>
        <v>0.13</v>
      </c>
      <c r="P148" s="614">
        <f>Ielas!Y869</f>
        <v>10.292999999999999</v>
      </c>
      <c r="R148" s="614">
        <f>Ielas!AA869</f>
        <v>0</v>
      </c>
      <c r="S148" s="614">
        <f>Ielas!AB869</f>
        <v>0</v>
      </c>
      <c r="T148" s="614">
        <f>Ielas!AC869</f>
        <v>0</v>
      </c>
      <c r="U148" s="614">
        <f>Ielas!AD869</f>
        <v>0</v>
      </c>
      <c r="V148" s="614">
        <f>Ielas!AE869</f>
        <v>0</v>
      </c>
      <c r="W148" s="614">
        <f>Ielas!AF869</f>
        <v>0</v>
      </c>
      <c r="Z148" s="614"/>
      <c r="AA148" s="614"/>
      <c r="AB148" s="614"/>
      <c r="AC148" s="614"/>
      <c r="AD148" s="614"/>
      <c r="AE148" s="614"/>
      <c r="AG148" s="614"/>
      <c r="AH148" s="614"/>
      <c r="AI148" s="614"/>
      <c r="AJ148" s="614"/>
      <c r="AK148" s="614"/>
      <c r="AL148" s="614"/>
      <c r="AO148" s="614"/>
      <c r="AP148" s="614"/>
      <c r="AQ148" s="614"/>
      <c r="AR148" s="614"/>
      <c r="AS148" s="614"/>
      <c r="AT148" s="614"/>
      <c r="AV148" s="614"/>
      <c r="AW148" s="614"/>
      <c r="AX148" s="614"/>
      <c r="AY148" s="614"/>
      <c r="AZ148" s="614"/>
      <c r="BA148" s="614"/>
      <c r="BD148" s="614"/>
      <c r="BE148" s="614"/>
      <c r="BF148" s="614"/>
      <c r="BG148" s="614"/>
      <c r="BH148" s="614"/>
      <c r="BI148" s="614"/>
      <c r="BK148" s="614"/>
      <c r="BL148" s="614"/>
      <c r="BM148" s="614"/>
      <c r="BN148" s="614"/>
      <c r="BO148" s="614"/>
      <c r="BP148" s="614"/>
      <c r="BS148" s="614">
        <f t="shared" si="43"/>
        <v>7.6829999999999998</v>
      </c>
      <c r="BT148" s="614">
        <f t="shared" si="43"/>
        <v>0</v>
      </c>
      <c r="BU148" s="614">
        <f t="shared" si="43"/>
        <v>0</v>
      </c>
      <c r="BV148" s="614">
        <f t="shared" si="43"/>
        <v>2.48</v>
      </c>
      <c r="BW148" s="614">
        <f t="shared" si="43"/>
        <v>0.13</v>
      </c>
      <c r="BX148" s="614">
        <f t="shared" si="43"/>
        <v>10.292999999999999</v>
      </c>
    </row>
    <row r="149" spans="2:76" x14ac:dyDescent="0.25">
      <c r="C149" s="667"/>
      <c r="D149" s="667"/>
      <c r="E149" s="667"/>
      <c r="F149" s="667"/>
      <c r="G149" s="667"/>
      <c r="H149" s="667"/>
      <c r="BS149" s="667"/>
      <c r="BT149" s="667"/>
      <c r="BU149" s="667"/>
      <c r="BV149" s="667"/>
      <c r="BW149" s="667"/>
      <c r="BX149" s="667"/>
    </row>
    <row r="150" spans="2:76" x14ac:dyDescent="0.25">
      <c r="B150" t="s">
        <v>1191</v>
      </c>
      <c r="C150" s="667"/>
      <c r="D150" s="667"/>
      <c r="E150" s="667"/>
      <c r="F150" s="667"/>
      <c r="G150" s="667"/>
      <c r="H150" s="667"/>
      <c r="K150" t="s">
        <v>1192</v>
      </c>
      <c r="R150" t="s">
        <v>1141</v>
      </c>
      <c r="AG150" t="s">
        <v>1141</v>
      </c>
      <c r="AV150" t="s">
        <v>1141</v>
      </c>
      <c r="BK150" t="s">
        <v>1141</v>
      </c>
      <c r="BR150" t="s">
        <v>1193</v>
      </c>
      <c r="BS150" s="667"/>
      <c r="BT150" s="667"/>
      <c r="BU150" s="667"/>
      <c r="BV150" s="667"/>
      <c r="BW150" s="667"/>
      <c r="BX150" s="667"/>
    </row>
    <row r="151" spans="2:76" ht="23.25" x14ac:dyDescent="0.25">
      <c r="B151" s="102"/>
      <c r="C151" s="669" t="s">
        <v>1092</v>
      </c>
      <c r="D151" s="669" t="s">
        <v>1093</v>
      </c>
      <c r="E151" s="669" t="s">
        <v>1094</v>
      </c>
      <c r="F151" s="669" t="s">
        <v>1095</v>
      </c>
      <c r="G151" s="669" t="s">
        <v>1096</v>
      </c>
      <c r="H151" s="141" t="s">
        <v>269</v>
      </c>
      <c r="J151" s="102"/>
      <c r="K151" s="625" t="s">
        <v>1092</v>
      </c>
      <c r="L151" s="625" t="s">
        <v>1093</v>
      </c>
      <c r="M151" s="625" t="s">
        <v>1094</v>
      </c>
      <c r="N151" s="625" t="s">
        <v>1095</v>
      </c>
      <c r="O151" s="625" t="s">
        <v>1096</v>
      </c>
      <c r="P151" s="627" t="s">
        <v>269</v>
      </c>
      <c r="Q151" s="102"/>
      <c r="R151" s="625" t="s">
        <v>1092</v>
      </c>
      <c r="S151" s="625" t="s">
        <v>1093</v>
      </c>
      <c r="T151" s="625" t="s">
        <v>1094</v>
      </c>
      <c r="U151" s="625" t="s">
        <v>1095</v>
      </c>
      <c r="V151" s="625" t="s">
        <v>1096</v>
      </c>
      <c r="W151" s="627" t="s">
        <v>269</v>
      </c>
      <c r="Y151" s="102"/>
      <c r="Z151" s="625" t="s">
        <v>1092</v>
      </c>
      <c r="AA151" s="625" t="s">
        <v>1093</v>
      </c>
      <c r="AB151" s="625" t="s">
        <v>1094</v>
      </c>
      <c r="AC151" s="625" t="s">
        <v>1095</v>
      </c>
      <c r="AD151" s="625" t="s">
        <v>1096</v>
      </c>
      <c r="AE151" s="627" t="s">
        <v>269</v>
      </c>
      <c r="AF151" s="102"/>
      <c r="AG151" s="625" t="s">
        <v>1092</v>
      </c>
      <c r="AH151" s="625" t="s">
        <v>1093</v>
      </c>
      <c r="AI151" s="625" t="s">
        <v>1094</v>
      </c>
      <c r="AJ151" s="625" t="s">
        <v>1095</v>
      </c>
      <c r="AK151" s="625" t="s">
        <v>1096</v>
      </c>
      <c r="AL151" s="627" t="s">
        <v>269</v>
      </c>
      <c r="AN151" s="102"/>
      <c r="AO151" s="625" t="s">
        <v>1092</v>
      </c>
      <c r="AP151" s="625" t="s">
        <v>1093</v>
      </c>
      <c r="AQ151" s="625" t="s">
        <v>1094</v>
      </c>
      <c r="AR151" s="625" t="s">
        <v>1095</v>
      </c>
      <c r="AS151" s="625" t="s">
        <v>1096</v>
      </c>
      <c r="AT151" s="627" t="s">
        <v>269</v>
      </c>
      <c r="AU151" s="102"/>
      <c r="AV151" s="625" t="s">
        <v>1092</v>
      </c>
      <c r="AW151" s="625" t="s">
        <v>1093</v>
      </c>
      <c r="AX151" s="625" t="s">
        <v>1094</v>
      </c>
      <c r="AY151" s="625" t="s">
        <v>1095</v>
      </c>
      <c r="AZ151" s="625" t="s">
        <v>1096</v>
      </c>
      <c r="BA151" s="627" t="s">
        <v>269</v>
      </c>
      <c r="BC151" s="102"/>
      <c r="BD151" s="625" t="s">
        <v>1092</v>
      </c>
      <c r="BE151" s="625" t="s">
        <v>1093</v>
      </c>
      <c r="BF151" s="625" t="s">
        <v>1094</v>
      </c>
      <c r="BG151" s="625" t="s">
        <v>1095</v>
      </c>
      <c r="BH151" s="625" t="s">
        <v>1096</v>
      </c>
      <c r="BI151" s="627" t="s">
        <v>269</v>
      </c>
      <c r="BJ151" s="102"/>
      <c r="BK151" s="625" t="s">
        <v>1092</v>
      </c>
      <c r="BL151" s="625" t="s">
        <v>1093</v>
      </c>
      <c r="BM151" s="625" t="s">
        <v>1094</v>
      </c>
      <c r="BN151" s="625" t="s">
        <v>1095</v>
      </c>
      <c r="BO151" s="625" t="s">
        <v>1096</v>
      </c>
      <c r="BP151" s="627" t="s">
        <v>269</v>
      </c>
      <c r="BR151" s="102"/>
      <c r="BS151" s="669" t="s">
        <v>1092</v>
      </c>
      <c r="BT151" s="669" t="s">
        <v>1093</v>
      </c>
      <c r="BU151" s="669" t="s">
        <v>1094</v>
      </c>
      <c r="BV151" s="669" t="s">
        <v>1095</v>
      </c>
      <c r="BW151" s="669" t="s">
        <v>1096</v>
      </c>
      <c r="BX151" s="141" t="s">
        <v>269</v>
      </c>
    </row>
    <row r="152" spans="2:76" x14ac:dyDescent="0.25">
      <c r="B152" s="628" t="s">
        <v>844</v>
      </c>
      <c r="C152" s="669" t="s">
        <v>231</v>
      </c>
      <c r="D152" s="669" t="s">
        <v>231</v>
      </c>
      <c r="E152" s="669" t="s">
        <v>231</v>
      </c>
      <c r="F152" s="669" t="s">
        <v>231</v>
      </c>
      <c r="G152" s="669" t="s">
        <v>231</v>
      </c>
      <c r="H152" s="670" t="s">
        <v>231</v>
      </c>
      <c r="J152" s="628" t="s">
        <v>844</v>
      </c>
      <c r="K152" s="625" t="s">
        <v>231</v>
      </c>
      <c r="L152" s="625" t="s">
        <v>231</v>
      </c>
      <c r="M152" s="625" t="s">
        <v>231</v>
      </c>
      <c r="N152" s="625" t="s">
        <v>231</v>
      </c>
      <c r="O152" s="625" t="s">
        <v>231</v>
      </c>
      <c r="P152" s="626" t="s">
        <v>231</v>
      </c>
      <c r="Q152" s="628"/>
      <c r="R152" s="625" t="s">
        <v>231</v>
      </c>
      <c r="S152" s="625" t="s">
        <v>231</v>
      </c>
      <c r="T152" s="625" t="s">
        <v>231</v>
      </c>
      <c r="U152" s="625" t="s">
        <v>231</v>
      </c>
      <c r="V152" s="625" t="s">
        <v>231</v>
      </c>
      <c r="W152" s="626" t="s">
        <v>231</v>
      </c>
      <c r="Y152" s="628" t="s">
        <v>844</v>
      </c>
      <c r="Z152" s="625" t="s">
        <v>231</v>
      </c>
      <c r="AA152" s="625" t="s">
        <v>231</v>
      </c>
      <c r="AB152" s="625" t="s">
        <v>231</v>
      </c>
      <c r="AC152" s="625" t="s">
        <v>231</v>
      </c>
      <c r="AD152" s="625" t="s">
        <v>231</v>
      </c>
      <c r="AE152" s="626" t="s">
        <v>231</v>
      </c>
      <c r="AF152" s="628"/>
      <c r="AG152" s="625" t="s">
        <v>231</v>
      </c>
      <c r="AH152" s="625" t="s">
        <v>231</v>
      </c>
      <c r="AI152" s="625" t="s">
        <v>231</v>
      </c>
      <c r="AJ152" s="625" t="s">
        <v>231</v>
      </c>
      <c r="AK152" s="625" t="s">
        <v>231</v>
      </c>
      <c r="AL152" s="626" t="s">
        <v>231</v>
      </c>
      <c r="AN152" s="628" t="s">
        <v>844</v>
      </c>
      <c r="AO152" s="625" t="s">
        <v>231</v>
      </c>
      <c r="AP152" s="625" t="s">
        <v>231</v>
      </c>
      <c r="AQ152" s="625" t="s">
        <v>231</v>
      </c>
      <c r="AR152" s="625" t="s">
        <v>231</v>
      </c>
      <c r="AS152" s="625" t="s">
        <v>231</v>
      </c>
      <c r="AT152" s="626" t="s">
        <v>231</v>
      </c>
      <c r="AU152" s="628"/>
      <c r="AV152" s="625" t="s">
        <v>231</v>
      </c>
      <c r="AW152" s="625" t="s">
        <v>231</v>
      </c>
      <c r="AX152" s="625" t="s">
        <v>231</v>
      </c>
      <c r="AY152" s="625" t="s">
        <v>231</v>
      </c>
      <c r="AZ152" s="625" t="s">
        <v>231</v>
      </c>
      <c r="BA152" s="626" t="s">
        <v>231</v>
      </c>
      <c r="BC152" s="628" t="s">
        <v>844</v>
      </c>
      <c r="BD152" s="625" t="s">
        <v>231</v>
      </c>
      <c r="BE152" s="625" t="s">
        <v>231</v>
      </c>
      <c r="BF152" s="625" t="s">
        <v>231</v>
      </c>
      <c r="BG152" s="625" t="s">
        <v>231</v>
      </c>
      <c r="BH152" s="625" t="s">
        <v>231</v>
      </c>
      <c r="BI152" s="626" t="s">
        <v>231</v>
      </c>
      <c r="BJ152" s="628"/>
      <c r="BK152" s="625" t="s">
        <v>231</v>
      </c>
      <c r="BL152" s="625" t="s">
        <v>231</v>
      </c>
      <c r="BM152" s="625" t="s">
        <v>231</v>
      </c>
      <c r="BN152" s="625" t="s">
        <v>231</v>
      </c>
      <c r="BO152" s="625" t="s">
        <v>231</v>
      </c>
      <c r="BP152" s="626" t="s">
        <v>231</v>
      </c>
      <c r="BR152" s="628" t="s">
        <v>844</v>
      </c>
      <c r="BS152" s="669" t="s">
        <v>231</v>
      </c>
      <c r="BT152" s="669" t="s">
        <v>231</v>
      </c>
      <c r="BU152" s="669" t="s">
        <v>231</v>
      </c>
      <c r="BV152" s="669" t="s">
        <v>231</v>
      </c>
      <c r="BW152" s="669" t="s">
        <v>231</v>
      </c>
      <c r="BX152" s="670" t="s">
        <v>231</v>
      </c>
    </row>
    <row r="153" spans="2:76" x14ac:dyDescent="0.25">
      <c r="B153" s="616" t="s">
        <v>847</v>
      </c>
      <c r="C153" s="614">
        <f t="shared" ref="C153:H157" si="44">K153+Z153+AO153</f>
        <v>0</v>
      </c>
      <c r="D153" s="614">
        <f t="shared" si="44"/>
        <v>0</v>
      </c>
      <c r="E153" s="614">
        <f t="shared" si="44"/>
        <v>0</v>
      </c>
      <c r="F153" s="614">
        <f t="shared" si="44"/>
        <v>0</v>
      </c>
      <c r="G153" s="614">
        <f t="shared" si="44"/>
        <v>0</v>
      </c>
      <c r="H153" s="614">
        <f t="shared" si="44"/>
        <v>0</v>
      </c>
      <c r="J153" s="616" t="s">
        <v>847</v>
      </c>
      <c r="K153" s="614">
        <f>Ielas!T897</f>
        <v>0</v>
      </c>
      <c r="L153" s="614">
        <f>Ielas!U897</f>
        <v>0</v>
      </c>
      <c r="M153" s="614">
        <f>Ielas!V897</f>
        <v>0</v>
      </c>
      <c r="N153" s="614">
        <f>Ielas!W897</f>
        <v>0</v>
      </c>
      <c r="O153" s="614">
        <f>Ielas!X897</f>
        <v>0</v>
      </c>
      <c r="P153" s="614">
        <f>Ielas!Y897</f>
        <v>0</v>
      </c>
      <c r="Q153" s="616" t="s">
        <v>847</v>
      </c>
      <c r="R153" s="614">
        <f>Ielas!AA897</f>
        <v>0</v>
      </c>
      <c r="S153" s="614">
        <f>Ielas!AB897</f>
        <v>0</v>
      </c>
      <c r="T153" s="614">
        <f>Ielas!AC897</f>
        <v>0</v>
      </c>
      <c r="U153" s="614">
        <f>Ielas!AD897</f>
        <v>0</v>
      </c>
      <c r="V153" s="614">
        <f>Ielas!AE897</f>
        <v>0</v>
      </c>
      <c r="W153" s="614">
        <f>Ielas!AF897</f>
        <v>0</v>
      </c>
      <c r="Y153" s="616" t="s">
        <v>847</v>
      </c>
      <c r="Z153" s="614"/>
      <c r="AA153" s="614"/>
      <c r="AB153" s="614"/>
      <c r="AC153" s="614"/>
      <c r="AD153" s="614"/>
      <c r="AE153" s="614"/>
      <c r="AF153" s="616" t="s">
        <v>847</v>
      </c>
      <c r="AG153" s="614"/>
      <c r="AH153" s="614"/>
      <c r="AI153" s="614"/>
      <c r="AJ153" s="614"/>
      <c r="AK153" s="614"/>
      <c r="AL153" s="614"/>
      <c r="AN153" s="616" t="s">
        <v>847</v>
      </c>
      <c r="AO153" s="614"/>
      <c r="AP153" s="614"/>
      <c r="AQ153" s="614"/>
      <c r="AR153" s="614"/>
      <c r="AS153" s="614"/>
      <c r="AT153" s="614"/>
      <c r="AU153" s="616" t="s">
        <v>847</v>
      </c>
      <c r="AV153" s="614"/>
      <c r="AW153" s="614"/>
      <c r="AX153" s="614"/>
      <c r="AY153" s="614"/>
      <c r="AZ153" s="614"/>
      <c r="BA153" s="614"/>
      <c r="BC153" s="616" t="s">
        <v>847</v>
      </c>
      <c r="BD153" s="614"/>
      <c r="BE153" s="614"/>
      <c r="BF153" s="614"/>
      <c r="BG153" s="614"/>
      <c r="BH153" s="614"/>
      <c r="BI153" s="614"/>
      <c r="BJ153" s="616" t="s">
        <v>847</v>
      </c>
      <c r="BK153" s="614"/>
      <c r="BL153" s="614"/>
      <c r="BM153" s="614"/>
      <c r="BN153" s="614"/>
      <c r="BO153" s="614"/>
      <c r="BP153" s="614"/>
      <c r="BR153" s="616" t="s">
        <v>847</v>
      </c>
      <c r="BS153" s="614">
        <f t="shared" ref="BS153:BX157" si="45">C153-R153-AG153-AV153</f>
        <v>0</v>
      </c>
      <c r="BT153" s="614">
        <f t="shared" si="45"/>
        <v>0</v>
      </c>
      <c r="BU153" s="614">
        <f t="shared" si="45"/>
        <v>0</v>
      </c>
      <c r="BV153" s="614">
        <f t="shared" si="45"/>
        <v>0</v>
      </c>
      <c r="BW153" s="614">
        <f t="shared" si="45"/>
        <v>0</v>
      </c>
      <c r="BX153" s="614">
        <f t="shared" si="45"/>
        <v>0</v>
      </c>
    </row>
    <row r="154" spans="2:76" x14ac:dyDescent="0.25">
      <c r="B154" s="617" t="s">
        <v>848</v>
      </c>
      <c r="C154" s="614">
        <f t="shared" si="44"/>
        <v>0</v>
      </c>
      <c r="D154" s="614">
        <f t="shared" si="44"/>
        <v>0</v>
      </c>
      <c r="E154" s="614">
        <f t="shared" si="44"/>
        <v>0</v>
      </c>
      <c r="F154" s="614">
        <f t="shared" si="44"/>
        <v>0</v>
      </c>
      <c r="G154" s="614">
        <f t="shared" si="44"/>
        <v>0</v>
      </c>
      <c r="H154" s="614">
        <f t="shared" si="44"/>
        <v>0</v>
      </c>
      <c r="J154" s="617" t="s">
        <v>848</v>
      </c>
      <c r="K154" s="614">
        <f>Ielas!T898</f>
        <v>0</v>
      </c>
      <c r="L154" s="614">
        <f>Ielas!U898</f>
        <v>0</v>
      </c>
      <c r="M154" s="614">
        <f>Ielas!V898</f>
        <v>0</v>
      </c>
      <c r="N154" s="614">
        <f>Ielas!W898</f>
        <v>0</v>
      </c>
      <c r="O154" s="614">
        <f>Ielas!X898</f>
        <v>0</v>
      </c>
      <c r="P154" s="614">
        <f>Ielas!Y898</f>
        <v>0</v>
      </c>
      <c r="Q154" s="617" t="s">
        <v>848</v>
      </c>
      <c r="R154" s="614">
        <f>Ielas!AA898</f>
        <v>0</v>
      </c>
      <c r="S154" s="614">
        <f>Ielas!AB898</f>
        <v>0</v>
      </c>
      <c r="T154" s="614">
        <f>Ielas!AC898</f>
        <v>0</v>
      </c>
      <c r="U154" s="614">
        <f>Ielas!AD898</f>
        <v>0</v>
      </c>
      <c r="V154" s="614">
        <f>Ielas!AE898</f>
        <v>0</v>
      </c>
      <c r="W154" s="614">
        <f>Ielas!AF898</f>
        <v>0</v>
      </c>
      <c r="Y154" s="617" t="s">
        <v>848</v>
      </c>
      <c r="Z154" s="614"/>
      <c r="AA154" s="614"/>
      <c r="AB154" s="614"/>
      <c r="AC154" s="614"/>
      <c r="AD154" s="614"/>
      <c r="AE154" s="614"/>
      <c r="AF154" s="617" t="s">
        <v>848</v>
      </c>
      <c r="AG154" s="614"/>
      <c r="AH154" s="614"/>
      <c r="AI154" s="614"/>
      <c r="AJ154" s="614"/>
      <c r="AK154" s="614"/>
      <c r="AL154" s="614"/>
      <c r="AN154" s="617" t="s">
        <v>848</v>
      </c>
      <c r="AO154" s="614"/>
      <c r="AP154" s="614"/>
      <c r="AQ154" s="614"/>
      <c r="AR154" s="614"/>
      <c r="AS154" s="614"/>
      <c r="AT154" s="614"/>
      <c r="AU154" s="617" t="s">
        <v>848</v>
      </c>
      <c r="AV154" s="614"/>
      <c r="AW154" s="614"/>
      <c r="AX154" s="614"/>
      <c r="AY154" s="614"/>
      <c r="AZ154" s="614"/>
      <c r="BA154" s="614"/>
      <c r="BC154" s="617" t="s">
        <v>848</v>
      </c>
      <c r="BD154" s="614"/>
      <c r="BE154" s="614"/>
      <c r="BF154" s="614"/>
      <c r="BG154" s="614"/>
      <c r="BH154" s="614"/>
      <c r="BI154" s="614"/>
      <c r="BJ154" s="617" t="s">
        <v>848</v>
      </c>
      <c r="BK154" s="614"/>
      <c r="BL154" s="614"/>
      <c r="BM154" s="614"/>
      <c r="BN154" s="614"/>
      <c r="BO154" s="614"/>
      <c r="BP154" s="614"/>
      <c r="BR154" s="617" t="s">
        <v>848</v>
      </c>
      <c r="BS154" s="614">
        <f t="shared" si="45"/>
        <v>0</v>
      </c>
      <c r="BT154" s="614">
        <f t="shared" si="45"/>
        <v>0</v>
      </c>
      <c r="BU154" s="614">
        <f t="shared" si="45"/>
        <v>0</v>
      </c>
      <c r="BV154" s="614">
        <f t="shared" si="45"/>
        <v>0</v>
      </c>
      <c r="BW154" s="614">
        <f t="shared" si="45"/>
        <v>0</v>
      </c>
      <c r="BX154" s="614">
        <f t="shared" si="45"/>
        <v>0</v>
      </c>
    </row>
    <row r="155" spans="2:76" x14ac:dyDescent="0.25">
      <c r="B155" s="615" t="s">
        <v>845</v>
      </c>
      <c r="C155" s="614">
        <f t="shared" si="44"/>
        <v>0</v>
      </c>
      <c r="D155" s="614">
        <f t="shared" si="44"/>
        <v>0</v>
      </c>
      <c r="E155" s="614">
        <f t="shared" si="44"/>
        <v>0</v>
      </c>
      <c r="F155" s="614">
        <f t="shared" si="44"/>
        <v>0</v>
      </c>
      <c r="G155" s="614">
        <f t="shared" si="44"/>
        <v>0</v>
      </c>
      <c r="H155" s="614">
        <f t="shared" si="44"/>
        <v>0</v>
      </c>
      <c r="J155" s="615" t="s">
        <v>845</v>
      </c>
      <c r="K155" s="614">
        <f>Ielas!T899</f>
        <v>0</v>
      </c>
      <c r="L155" s="614">
        <f>Ielas!U899</f>
        <v>0</v>
      </c>
      <c r="M155" s="614">
        <f>Ielas!V899</f>
        <v>0</v>
      </c>
      <c r="N155" s="614">
        <f>Ielas!W899</f>
        <v>0</v>
      </c>
      <c r="O155" s="614">
        <f>Ielas!X899</f>
        <v>0</v>
      </c>
      <c r="P155" s="614">
        <f>Ielas!Y899</f>
        <v>0</v>
      </c>
      <c r="Q155" s="615" t="s">
        <v>845</v>
      </c>
      <c r="R155" s="614">
        <f>Ielas!AA899</f>
        <v>0</v>
      </c>
      <c r="S155" s="614">
        <f>Ielas!AB899</f>
        <v>0</v>
      </c>
      <c r="T155" s="614">
        <f>Ielas!AC899</f>
        <v>0</v>
      </c>
      <c r="U155" s="614">
        <f>Ielas!AD899</f>
        <v>0</v>
      </c>
      <c r="V155" s="614">
        <f>Ielas!AE899</f>
        <v>0</v>
      </c>
      <c r="W155" s="614">
        <f>Ielas!AF899</f>
        <v>0</v>
      </c>
      <c r="Y155" s="615" t="s">
        <v>845</v>
      </c>
      <c r="Z155" s="614"/>
      <c r="AA155" s="614"/>
      <c r="AB155" s="614"/>
      <c r="AC155" s="614"/>
      <c r="AD155" s="614"/>
      <c r="AE155" s="614"/>
      <c r="AF155" s="615" t="s">
        <v>845</v>
      </c>
      <c r="AG155" s="614"/>
      <c r="AH155" s="614"/>
      <c r="AI155" s="614"/>
      <c r="AJ155" s="614"/>
      <c r="AK155" s="614"/>
      <c r="AL155" s="614"/>
      <c r="AN155" s="615" t="s">
        <v>845</v>
      </c>
      <c r="AO155" s="614"/>
      <c r="AP155" s="614"/>
      <c r="AQ155" s="614"/>
      <c r="AR155" s="614"/>
      <c r="AS155" s="614"/>
      <c r="AT155" s="614"/>
      <c r="AU155" s="615" t="s">
        <v>845</v>
      </c>
      <c r="AV155" s="614"/>
      <c r="AW155" s="614"/>
      <c r="AX155" s="614"/>
      <c r="AY155" s="614"/>
      <c r="AZ155" s="614"/>
      <c r="BA155" s="614"/>
      <c r="BC155" s="615" t="s">
        <v>845</v>
      </c>
      <c r="BD155" s="614"/>
      <c r="BE155" s="614"/>
      <c r="BF155" s="614"/>
      <c r="BG155" s="614"/>
      <c r="BH155" s="614"/>
      <c r="BI155" s="614"/>
      <c r="BJ155" s="615" t="s">
        <v>845</v>
      </c>
      <c r="BK155" s="614"/>
      <c r="BL155" s="614"/>
      <c r="BM155" s="614"/>
      <c r="BN155" s="614"/>
      <c r="BO155" s="614"/>
      <c r="BP155" s="614"/>
      <c r="BR155" s="615" t="s">
        <v>845</v>
      </c>
      <c r="BS155" s="614">
        <f t="shared" si="45"/>
        <v>0</v>
      </c>
      <c r="BT155" s="614">
        <f t="shared" si="45"/>
        <v>0</v>
      </c>
      <c r="BU155" s="614">
        <f t="shared" si="45"/>
        <v>0</v>
      </c>
      <c r="BV155" s="614">
        <f t="shared" si="45"/>
        <v>0</v>
      </c>
      <c r="BW155" s="614">
        <f t="shared" si="45"/>
        <v>0</v>
      </c>
      <c r="BX155" s="614">
        <f t="shared" si="45"/>
        <v>0</v>
      </c>
    </row>
    <row r="156" spans="2:76" x14ac:dyDescent="0.25">
      <c r="B156" s="616" t="s">
        <v>846</v>
      </c>
      <c r="C156" s="614">
        <f t="shared" si="44"/>
        <v>2.94</v>
      </c>
      <c r="D156" s="614">
        <f t="shared" si="44"/>
        <v>0</v>
      </c>
      <c r="E156" s="614">
        <f t="shared" si="44"/>
        <v>0</v>
      </c>
      <c r="F156" s="614">
        <f t="shared" si="44"/>
        <v>2.3200000000000003</v>
      </c>
      <c r="G156" s="614">
        <f t="shared" si="44"/>
        <v>0</v>
      </c>
      <c r="H156" s="614">
        <f t="shared" si="44"/>
        <v>5.26</v>
      </c>
      <c r="J156" s="616" t="s">
        <v>846</v>
      </c>
      <c r="K156" s="614">
        <f>Ielas!T900</f>
        <v>2.94</v>
      </c>
      <c r="L156" s="614">
        <f>Ielas!U900</f>
        <v>0</v>
      </c>
      <c r="M156" s="614">
        <f>Ielas!V900</f>
        <v>0</v>
      </c>
      <c r="N156" s="614">
        <f>Ielas!W900</f>
        <v>2.3200000000000003</v>
      </c>
      <c r="O156" s="614">
        <f>Ielas!X900</f>
        <v>0</v>
      </c>
      <c r="P156" s="614">
        <f>Ielas!Y900</f>
        <v>5.26</v>
      </c>
      <c r="Q156" s="616" t="s">
        <v>846</v>
      </c>
      <c r="R156" s="614">
        <f>Ielas!AA900</f>
        <v>0</v>
      </c>
      <c r="S156" s="614">
        <f>Ielas!AB900</f>
        <v>0</v>
      </c>
      <c r="T156" s="614">
        <f>Ielas!AC900</f>
        <v>0</v>
      </c>
      <c r="U156" s="614">
        <f>Ielas!AD900</f>
        <v>0</v>
      </c>
      <c r="V156" s="614">
        <f>Ielas!AE900</f>
        <v>0</v>
      </c>
      <c r="W156" s="614">
        <f>Ielas!AF900</f>
        <v>0</v>
      </c>
      <c r="Y156" s="616" t="s">
        <v>846</v>
      </c>
      <c r="Z156" s="614"/>
      <c r="AA156" s="614"/>
      <c r="AB156" s="614"/>
      <c r="AC156" s="614"/>
      <c r="AD156" s="614"/>
      <c r="AE156" s="614"/>
      <c r="AF156" s="616" t="s">
        <v>846</v>
      </c>
      <c r="AG156" s="614"/>
      <c r="AH156" s="614"/>
      <c r="AI156" s="614"/>
      <c r="AJ156" s="614"/>
      <c r="AK156" s="614"/>
      <c r="AL156" s="614"/>
      <c r="AN156" s="616" t="s">
        <v>846</v>
      </c>
      <c r="AO156" s="614"/>
      <c r="AP156" s="614"/>
      <c r="AQ156" s="614"/>
      <c r="AR156" s="614"/>
      <c r="AS156" s="614"/>
      <c r="AT156" s="614"/>
      <c r="AU156" s="616" t="s">
        <v>846</v>
      </c>
      <c r="AV156" s="614"/>
      <c r="AW156" s="614"/>
      <c r="AX156" s="614"/>
      <c r="AY156" s="614"/>
      <c r="AZ156" s="614"/>
      <c r="BA156" s="614"/>
      <c r="BC156" s="616" t="s">
        <v>846</v>
      </c>
      <c r="BD156" s="614"/>
      <c r="BE156" s="614"/>
      <c r="BF156" s="614"/>
      <c r="BG156" s="614"/>
      <c r="BH156" s="614"/>
      <c r="BI156" s="614"/>
      <c r="BJ156" s="616" t="s">
        <v>846</v>
      </c>
      <c r="BK156" s="614"/>
      <c r="BL156" s="614"/>
      <c r="BM156" s="614"/>
      <c r="BN156" s="614"/>
      <c r="BO156" s="614"/>
      <c r="BP156" s="614"/>
      <c r="BR156" s="616" t="s">
        <v>846</v>
      </c>
      <c r="BS156" s="614">
        <f t="shared" si="45"/>
        <v>2.94</v>
      </c>
      <c r="BT156" s="614">
        <f t="shared" si="45"/>
        <v>0</v>
      </c>
      <c r="BU156" s="614">
        <f t="shared" si="45"/>
        <v>0</v>
      </c>
      <c r="BV156" s="614">
        <f t="shared" si="45"/>
        <v>2.3200000000000003</v>
      </c>
      <c r="BW156" s="614">
        <f t="shared" si="45"/>
        <v>0</v>
      </c>
      <c r="BX156" s="614">
        <f t="shared" si="45"/>
        <v>5.26</v>
      </c>
    </row>
    <row r="157" spans="2:76" x14ac:dyDescent="0.25">
      <c r="C157" s="614">
        <f t="shared" si="44"/>
        <v>2.94</v>
      </c>
      <c r="D157" s="614">
        <f t="shared" si="44"/>
        <v>0</v>
      </c>
      <c r="E157" s="614">
        <f t="shared" si="44"/>
        <v>0</v>
      </c>
      <c r="F157" s="614">
        <f t="shared" si="44"/>
        <v>2.3200000000000003</v>
      </c>
      <c r="G157" s="614">
        <f t="shared" si="44"/>
        <v>0</v>
      </c>
      <c r="H157" s="614">
        <f t="shared" si="44"/>
        <v>5.26</v>
      </c>
      <c r="K157" s="614">
        <f>Ielas!T901</f>
        <v>2.94</v>
      </c>
      <c r="L157" s="614">
        <f>Ielas!U901</f>
        <v>0</v>
      </c>
      <c r="M157" s="614">
        <f>Ielas!V901</f>
        <v>0</v>
      </c>
      <c r="N157" s="614">
        <f>Ielas!W901</f>
        <v>2.3200000000000003</v>
      </c>
      <c r="O157" s="614">
        <f>Ielas!X901</f>
        <v>0</v>
      </c>
      <c r="P157" s="614">
        <f>Ielas!Y901</f>
        <v>5.26</v>
      </c>
      <c r="R157" s="614">
        <f>Ielas!AA901</f>
        <v>0</v>
      </c>
      <c r="S157" s="614">
        <f>Ielas!AB901</f>
        <v>0</v>
      </c>
      <c r="T157" s="614">
        <f>Ielas!AC901</f>
        <v>0</v>
      </c>
      <c r="U157" s="614">
        <f>Ielas!AD901</f>
        <v>0</v>
      </c>
      <c r="V157" s="614">
        <f>Ielas!AE901</f>
        <v>0</v>
      </c>
      <c r="W157" s="614">
        <f>Ielas!AF901</f>
        <v>0</v>
      </c>
      <c r="Z157" s="614"/>
      <c r="AA157" s="614"/>
      <c r="AB157" s="614"/>
      <c r="AC157" s="614"/>
      <c r="AD157" s="614"/>
      <c r="AE157" s="614"/>
      <c r="AG157" s="614"/>
      <c r="AH157" s="614"/>
      <c r="AI157" s="614"/>
      <c r="AJ157" s="614"/>
      <c r="AK157" s="614"/>
      <c r="AL157" s="614"/>
      <c r="AO157" s="614"/>
      <c r="AP157" s="614"/>
      <c r="AQ157" s="614"/>
      <c r="AR157" s="614"/>
      <c r="AS157" s="614"/>
      <c r="AT157" s="614"/>
      <c r="AV157" s="614"/>
      <c r="AW157" s="614"/>
      <c r="AX157" s="614"/>
      <c r="AY157" s="614"/>
      <c r="AZ157" s="614"/>
      <c r="BA157" s="614"/>
      <c r="BD157" s="614"/>
      <c r="BE157" s="614"/>
      <c r="BF157" s="614"/>
      <c r="BG157" s="614"/>
      <c r="BH157" s="614"/>
      <c r="BI157" s="614"/>
      <c r="BK157" s="614"/>
      <c r="BL157" s="614"/>
      <c r="BM157" s="614"/>
      <c r="BN157" s="614"/>
      <c r="BO157" s="614"/>
      <c r="BP157" s="614"/>
      <c r="BS157" s="614">
        <f t="shared" si="45"/>
        <v>2.94</v>
      </c>
      <c r="BT157" s="614">
        <f t="shared" si="45"/>
        <v>0</v>
      </c>
      <c r="BU157" s="614">
        <f t="shared" si="45"/>
        <v>0</v>
      </c>
      <c r="BV157" s="614">
        <f t="shared" si="45"/>
        <v>2.3200000000000003</v>
      </c>
      <c r="BW157" s="614">
        <f t="shared" si="45"/>
        <v>0</v>
      </c>
      <c r="BX157" s="614">
        <f t="shared" si="45"/>
        <v>5.26</v>
      </c>
    </row>
    <row r="158" spans="2:76" x14ac:dyDescent="0.25">
      <c r="C158" s="667"/>
      <c r="D158" s="667"/>
      <c r="E158" s="667"/>
      <c r="F158" s="667"/>
      <c r="G158" s="667"/>
      <c r="H158" s="667"/>
      <c r="BS158" s="667"/>
      <c r="BT158" s="667"/>
      <c r="BU158" s="667"/>
      <c r="BV158" s="667"/>
      <c r="BW158" s="667"/>
      <c r="BX158" s="667"/>
    </row>
    <row r="159" spans="2:76" x14ac:dyDescent="0.25">
      <c r="B159" t="s">
        <v>1194</v>
      </c>
      <c r="C159" s="667"/>
      <c r="D159" s="667"/>
      <c r="E159" s="667"/>
      <c r="F159" s="667"/>
      <c r="G159" s="667"/>
      <c r="H159" s="667"/>
      <c r="K159" t="s">
        <v>1195</v>
      </c>
      <c r="R159" t="s">
        <v>1141</v>
      </c>
      <c r="AG159" t="s">
        <v>1141</v>
      </c>
      <c r="AV159" t="s">
        <v>1141</v>
      </c>
      <c r="BK159" t="s">
        <v>1141</v>
      </c>
      <c r="BR159" t="s">
        <v>1196</v>
      </c>
      <c r="BS159" s="667"/>
      <c r="BT159" s="667"/>
      <c r="BU159" s="667"/>
      <c r="BV159" s="667"/>
      <c r="BW159" s="667"/>
      <c r="BX159" s="667"/>
    </row>
    <row r="160" spans="2:76" ht="23.25" x14ac:dyDescent="0.25">
      <c r="B160" s="102"/>
      <c r="C160" s="669" t="s">
        <v>1092</v>
      </c>
      <c r="D160" s="669" t="s">
        <v>1093</v>
      </c>
      <c r="E160" s="669" t="s">
        <v>1094</v>
      </c>
      <c r="F160" s="669" t="s">
        <v>1095</v>
      </c>
      <c r="G160" s="669" t="s">
        <v>1096</v>
      </c>
      <c r="H160" s="141" t="s">
        <v>269</v>
      </c>
      <c r="J160" s="102"/>
      <c r="K160" s="625" t="s">
        <v>1092</v>
      </c>
      <c r="L160" s="625" t="s">
        <v>1093</v>
      </c>
      <c r="M160" s="625" t="s">
        <v>1094</v>
      </c>
      <c r="N160" s="625" t="s">
        <v>1095</v>
      </c>
      <c r="O160" s="625" t="s">
        <v>1096</v>
      </c>
      <c r="P160" s="627" t="s">
        <v>269</v>
      </c>
      <c r="Q160" s="102"/>
      <c r="R160" s="625" t="s">
        <v>1092</v>
      </c>
      <c r="S160" s="625" t="s">
        <v>1093</v>
      </c>
      <c r="T160" s="625" t="s">
        <v>1094</v>
      </c>
      <c r="U160" s="625" t="s">
        <v>1095</v>
      </c>
      <c r="V160" s="625" t="s">
        <v>1096</v>
      </c>
      <c r="W160" s="627" t="s">
        <v>269</v>
      </c>
      <c r="Y160" s="102"/>
      <c r="Z160" s="625" t="s">
        <v>1092</v>
      </c>
      <c r="AA160" s="625" t="s">
        <v>1093</v>
      </c>
      <c r="AB160" s="625" t="s">
        <v>1094</v>
      </c>
      <c r="AC160" s="625" t="s">
        <v>1095</v>
      </c>
      <c r="AD160" s="625" t="s">
        <v>1096</v>
      </c>
      <c r="AE160" s="627" t="s">
        <v>269</v>
      </c>
      <c r="AF160" s="102"/>
      <c r="AG160" s="625" t="s">
        <v>1092</v>
      </c>
      <c r="AH160" s="625" t="s">
        <v>1093</v>
      </c>
      <c r="AI160" s="625" t="s">
        <v>1094</v>
      </c>
      <c r="AJ160" s="625" t="s">
        <v>1095</v>
      </c>
      <c r="AK160" s="625" t="s">
        <v>1096</v>
      </c>
      <c r="AL160" s="627" t="s">
        <v>269</v>
      </c>
      <c r="AN160" s="102"/>
      <c r="AO160" s="625" t="s">
        <v>1092</v>
      </c>
      <c r="AP160" s="625" t="s">
        <v>1093</v>
      </c>
      <c r="AQ160" s="625" t="s">
        <v>1094</v>
      </c>
      <c r="AR160" s="625" t="s">
        <v>1095</v>
      </c>
      <c r="AS160" s="625" t="s">
        <v>1096</v>
      </c>
      <c r="AT160" s="627" t="s">
        <v>269</v>
      </c>
      <c r="AU160" s="102"/>
      <c r="AV160" s="625" t="s">
        <v>1092</v>
      </c>
      <c r="AW160" s="625" t="s">
        <v>1093</v>
      </c>
      <c r="AX160" s="625" t="s">
        <v>1094</v>
      </c>
      <c r="AY160" s="625" t="s">
        <v>1095</v>
      </c>
      <c r="AZ160" s="625" t="s">
        <v>1096</v>
      </c>
      <c r="BA160" s="627" t="s">
        <v>269</v>
      </c>
      <c r="BC160" s="102"/>
      <c r="BD160" s="625" t="s">
        <v>1092</v>
      </c>
      <c r="BE160" s="625" t="s">
        <v>1093</v>
      </c>
      <c r="BF160" s="625" t="s">
        <v>1094</v>
      </c>
      <c r="BG160" s="625" t="s">
        <v>1095</v>
      </c>
      <c r="BH160" s="625" t="s">
        <v>1096</v>
      </c>
      <c r="BI160" s="627" t="s">
        <v>269</v>
      </c>
      <c r="BJ160" s="102"/>
      <c r="BK160" s="625" t="s">
        <v>1092</v>
      </c>
      <c r="BL160" s="625" t="s">
        <v>1093</v>
      </c>
      <c r="BM160" s="625" t="s">
        <v>1094</v>
      </c>
      <c r="BN160" s="625" t="s">
        <v>1095</v>
      </c>
      <c r="BO160" s="625" t="s">
        <v>1096</v>
      </c>
      <c r="BP160" s="627" t="s">
        <v>269</v>
      </c>
      <c r="BR160" s="102"/>
      <c r="BS160" s="669" t="s">
        <v>1092</v>
      </c>
      <c r="BT160" s="669" t="s">
        <v>1093</v>
      </c>
      <c r="BU160" s="669" t="s">
        <v>1094</v>
      </c>
      <c r="BV160" s="669" t="s">
        <v>1095</v>
      </c>
      <c r="BW160" s="669" t="s">
        <v>1096</v>
      </c>
      <c r="BX160" s="141" t="s">
        <v>269</v>
      </c>
    </row>
    <row r="161" spans="2:76" x14ac:dyDescent="0.25">
      <c r="B161" s="628" t="s">
        <v>844</v>
      </c>
      <c r="C161" s="669" t="s">
        <v>231</v>
      </c>
      <c r="D161" s="669" t="s">
        <v>231</v>
      </c>
      <c r="E161" s="669" t="s">
        <v>231</v>
      </c>
      <c r="F161" s="669" t="s">
        <v>231</v>
      </c>
      <c r="G161" s="669" t="s">
        <v>231</v>
      </c>
      <c r="H161" s="670" t="s">
        <v>231</v>
      </c>
      <c r="J161" s="628" t="s">
        <v>844</v>
      </c>
      <c r="K161" s="625" t="s">
        <v>231</v>
      </c>
      <c r="L161" s="625" t="s">
        <v>231</v>
      </c>
      <c r="M161" s="625" t="s">
        <v>231</v>
      </c>
      <c r="N161" s="625" t="s">
        <v>231</v>
      </c>
      <c r="O161" s="625" t="s">
        <v>231</v>
      </c>
      <c r="P161" s="626" t="s">
        <v>231</v>
      </c>
      <c r="Q161" s="628"/>
      <c r="R161" s="625" t="s">
        <v>231</v>
      </c>
      <c r="S161" s="625" t="s">
        <v>231</v>
      </c>
      <c r="T161" s="625" t="s">
        <v>231</v>
      </c>
      <c r="U161" s="625" t="s">
        <v>231</v>
      </c>
      <c r="V161" s="625" t="s">
        <v>231</v>
      </c>
      <c r="W161" s="626" t="s">
        <v>231</v>
      </c>
      <c r="Y161" s="628" t="s">
        <v>844</v>
      </c>
      <c r="Z161" s="625" t="s">
        <v>231</v>
      </c>
      <c r="AA161" s="625" t="s">
        <v>231</v>
      </c>
      <c r="AB161" s="625" t="s">
        <v>231</v>
      </c>
      <c r="AC161" s="625" t="s">
        <v>231</v>
      </c>
      <c r="AD161" s="625" t="s">
        <v>231</v>
      </c>
      <c r="AE161" s="626" t="s">
        <v>231</v>
      </c>
      <c r="AF161" s="628"/>
      <c r="AG161" s="625" t="s">
        <v>231</v>
      </c>
      <c r="AH161" s="625" t="s">
        <v>231</v>
      </c>
      <c r="AI161" s="625" t="s">
        <v>231</v>
      </c>
      <c r="AJ161" s="625" t="s">
        <v>231</v>
      </c>
      <c r="AK161" s="625" t="s">
        <v>231</v>
      </c>
      <c r="AL161" s="626" t="s">
        <v>231</v>
      </c>
      <c r="AN161" s="628" t="s">
        <v>844</v>
      </c>
      <c r="AO161" s="625" t="s">
        <v>231</v>
      </c>
      <c r="AP161" s="625" t="s">
        <v>231</v>
      </c>
      <c r="AQ161" s="625" t="s">
        <v>231</v>
      </c>
      <c r="AR161" s="625" t="s">
        <v>231</v>
      </c>
      <c r="AS161" s="625" t="s">
        <v>231</v>
      </c>
      <c r="AT161" s="626" t="s">
        <v>231</v>
      </c>
      <c r="AU161" s="628"/>
      <c r="AV161" s="625" t="s">
        <v>231</v>
      </c>
      <c r="AW161" s="625" t="s">
        <v>231</v>
      </c>
      <c r="AX161" s="625" t="s">
        <v>231</v>
      </c>
      <c r="AY161" s="625" t="s">
        <v>231</v>
      </c>
      <c r="AZ161" s="625" t="s">
        <v>231</v>
      </c>
      <c r="BA161" s="626" t="s">
        <v>231</v>
      </c>
      <c r="BC161" s="628" t="s">
        <v>844</v>
      </c>
      <c r="BD161" s="625" t="s">
        <v>231</v>
      </c>
      <c r="BE161" s="625" t="s">
        <v>231</v>
      </c>
      <c r="BF161" s="625" t="s">
        <v>231</v>
      </c>
      <c r="BG161" s="625" t="s">
        <v>231</v>
      </c>
      <c r="BH161" s="625" t="s">
        <v>231</v>
      </c>
      <c r="BI161" s="626" t="s">
        <v>231</v>
      </c>
      <c r="BJ161" s="628"/>
      <c r="BK161" s="625" t="s">
        <v>231</v>
      </c>
      <c r="BL161" s="625" t="s">
        <v>231</v>
      </c>
      <c r="BM161" s="625" t="s">
        <v>231</v>
      </c>
      <c r="BN161" s="625" t="s">
        <v>231</v>
      </c>
      <c r="BO161" s="625" t="s">
        <v>231</v>
      </c>
      <c r="BP161" s="626" t="s">
        <v>231</v>
      </c>
      <c r="BR161" s="628" t="s">
        <v>844</v>
      </c>
      <c r="BS161" s="669" t="s">
        <v>231</v>
      </c>
      <c r="BT161" s="669" t="s">
        <v>231</v>
      </c>
      <c r="BU161" s="669" t="s">
        <v>231</v>
      </c>
      <c r="BV161" s="669" t="s">
        <v>231</v>
      </c>
      <c r="BW161" s="669" t="s">
        <v>231</v>
      </c>
      <c r="BX161" s="670" t="s">
        <v>231</v>
      </c>
    </row>
    <row r="162" spans="2:76" x14ac:dyDescent="0.25">
      <c r="B162" s="616" t="s">
        <v>847</v>
      </c>
      <c r="C162" s="614">
        <f t="shared" ref="C162:H166" si="46">K162+Z162+AO162</f>
        <v>0</v>
      </c>
      <c r="D162" s="614">
        <f t="shared" si="46"/>
        <v>0</v>
      </c>
      <c r="E162" s="614">
        <f t="shared" si="46"/>
        <v>0</v>
      </c>
      <c r="F162" s="614">
        <f t="shared" si="46"/>
        <v>0</v>
      </c>
      <c r="G162" s="614">
        <f t="shared" si="46"/>
        <v>0</v>
      </c>
      <c r="H162" s="614">
        <f t="shared" si="46"/>
        <v>0</v>
      </c>
      <c r="J162" s="616" t="s">
        <v>847</v>
      </c>
      <c r="K162" s="614">
        <f>Ielas!T918</f>
        <v>0</v>
      </c>
      <c r="L162" s="614">
        <f>Ielas!U918</f>
        <v>0</v>
      </c>
      <c r="M162" s="614">
        <f>Ielas!V918</f>
        <v>0</v>
      </c>
      <c r="N162" s="614">
        <f>Ielas!W918</f>
        <v>0</v>
      </c>
      <c r="O162" s="614">
        <f>Ielas!X918</f>
        <v>0</v>
      </c>
      <c r="P162" s="614">
        <f>Ielas!Y918</f>
        <v>0</v>
      </c>
      <c r="Q162" s="616" t="s">
        <v>847</v>
      </c>
      <c r="R162" s="614">
        <f>Ielas!AA918</f>
        <v>0</v>
      </c>
      <c r="S162" s="614">
        <f>Ielas!AB918</f>
        <v>0</v>
      </c>
      <c r="T162" s="614">
        <f>Ielas!AC918</f>
        <v>0</v>
      </c>
      <c r="U162" s="614">
        <f>Ielas!AD918</f>
        <v>0</v>
      </c>
      <c r="V162" s="614">
        <f>Ielas!AE918</f>
        <v>0</v>
      </c>
      <c r="W162" s="614">
        <f>Ielas!AF918</f>
        <v>0</v>
      </c>
      <c r="Y162" s="616" t="s">
        <v>847</v>
      </c>
      <c r="Z162" s="614"/>
      <c r="AA162" s="614"/>
      <c r="AB162" s="614"/>
      <c r="AC162" s="614"/>
      <c r="AD162" s="614"/>
      <c r="AE162" s="614"/>
      <c r="AF162" s="616" t="s">
        <v>847</v>
      </c>
      <c r="AG162" s="614"/>
      <c r="AH162" s="614"/>
      <c r="AI162" s="614"/>
      <c r="AJ162" s="614"/>
      <c r="AK162" s="614"/>
      <c r="AL162" s="614"/>
      <c r="AN162" s="616" t="s">
        <v>847</v>
      </c>
      <c r="AO162" s="614"/>
      <c r="AP162" s="614"/>
      <c r="AQ162" s="614"/>
      <c r="AR162" s="614"/>
      <c r="AS162" s="614"/>
      <c r="AT162" s="614"/>
      <c r="AU162" s="616" t="s">
        <v>847</v>
      </c>
      <c r="AV162" s="614"/>
      <c r="AW162" s="614"/>
      <c r="AX162" s="614"/>
      <c r="AY162" s="614"/>
      <c r="AZ162" s="614"/>
      <c r="BA162" s="614"/>
      <c r="BC162" s="616" t="s">
        <v>847</v>
      </c>
      <c r="BD162" s="614"/>
      <c r="BE162" s="614"/>
      <c r="BF162" s="614"/>
      <c r="BG162" s="614"/>
      <c r="BH162" s="614"/>
      <c r="BI162" s="614"/>
      <c r="BJ162" s="616" t="s">
        <v>847</v>
      </c>
      <c r="BK162" s="614"/>
      <c r="BL162" s="614"/>
      <c r="BM162" s="614"/>
      <c r="BN162" s="614"/>
      <c r="BO162" s="614"/>
      <c r="BP162" s="614"/>
      <c r="BR162" s="616" t="s">
        <v>847</v>
      </c>
      <c r="BS162" s="614">
        <f t="shared" ref="BS162:BX166" si="47">C162-R162-AG162-AV162</f>
        <v>0</v>
      </c>
      <c r="BT162" s="614">
        <f t="shared" si="47"/>
        <v>0</v>
      </c>
      <c r="BU162" s="614">
        <f t="shared" si="47"/>
        <v>0</v>
      </c>
      <c r="BV162" s="614">
        <f t="shared" si="47"/>
        <v>0</v>
      </c>
      <c r="BW162" s="614">
        <f t="shared" si="47"/>
        <v>0</v>
      </c>
      <c r="BX162" s="614">
        <f t="shared" si="47"/>
        <v>0</v>
      </c>
    </row>
    <row r="163" spans="2:76" x14ac:dyDescent="0.25">
      <c r="B163" s="617" t="s">
        <v>848</v>
      </c>
      <c r="C163" s="614">
        <f t="shared" si="46"/>
        <v>0</v>
      </c>
      <c r="D163" s="614">
        <f t="shared" si="46"/>
        <v>0</v>
      </c>
      <c r="E163" s="614">
        <f t="shared" si="46"/>
        <v>0</v>
      </c>
      <c r="F163" s="614">
        <f t="shared" si="46"/>
        <v>0</v>
      </c>
      <c r="G163" s="614">
        <f t="shared" si="46"/>
        <v>0</v>
      </c>
      <c r="H163" s="614">
        <f t="shared" si="46"/>
        <v>0</v>
      </c>
      <c r="J163" s="617" t="s">
        <v>848</v>
      </c>
      <c r="K163" s="614">
        <f>Ielas!T919</f>
        <v>0</v>
      </c>
      <c r="L163" s="614">
        <f>Ielas!U919</f>
        <v>0</v>
      </c>
      <c r="M163" s="614">
        <f>Ielas!V919</f>
        <v>0</v>
      </c>
      <c r="N163" s="614">
        <f>Ielas!W919</f>
        <v>0</v>
      </c>
      <c r="O163" s="614">
        <f>Ielas!X919</f>
        <v>0</v>
      </c>
      <c r="P163" s="614">
        <f>Ielas!Y919</f>
        <v>0</v>
      </c>
      <c r="Q163" s="617" t="s">
        <v>848</v>
      </c>
      <c r="R163" s="614">
        <f>Ielas!AA919</f>
        <v>0</v>
      </c>
      <c r="S163" s="614">
        <f>Ielas!AB919</f>
        <v>0</v>
      </c>
      <c r="T163" s="614">
        <f>Ielas!AC919</f>
        <v>0</v>
      </c>
      <c r="U163" s="614">
        <f>Ielas!AD919</f>
        <v>0</v>
      </c>
      <c r="V163" s="614">
        <f>Ielas!AE919</f>
        <v>0</v>
      </c>
      <c r="W163" s="614">
        <f>Ielas!AF919</f>
        <v>0</v>
      </c>
      <c r="Y163" s="617" t="s">
        <v>848</v>
      </c>
      <c r="Z163" s="614"/>
      <c r="AA163" s="614"/>
      <c r="AB163" s="614"/>
      <c r="AC163" s="614"/>
      <c r="AD163" s="614"/>
      <c r="AE163" s="614"/>
      <c r="AF163" s="617" t="s">
        <v>848</v>
      </c>
      <c r="AG163" s="614"/>
      <c r="AH163" s="614"/>
      <c r="AI163" s="614"/>
      <c r="AJ163" s="614"/>
      <c r="AK163" s="614"/>
      <c r="AL163" s="614"/>
      <c r="AN163" s="617" t="s">
        <v>848</v>
      </c>
      <c r="AO163" s="614"/>
      <c r="AP163" s="614"/>
      <c r="AQ163" s="614"/>
      <c r="AR163" s="614"/>
      <c r="AS163" s="614"/>
      <c r="AT163" s="614"/>
      <c r="AU163" s="617" t="s">
        <v>848</v>
      </c>
      <c r="AV163" s="614"/>
      <c r="AW163" s="614"/>
      <c r="AX163" s="614"/>
      <c r="AY163" s="614"/>
      <c r="AZ163" s="614"/>
      <c r="BA163" s="614"/>
      <c r="BC163" s="617" t="s">
        <v>848</v>
      </c>
      <c r="BD163" s="614"/>
      <c r="BE163" s="614"/>
      <c r="BF163" s="614"/>
      <c r="BG163" s="614"/>
      <c r="BH163" s="614"/>
      <c r="BI163" s="614"/>
      <c r="BJ163" s="617" t="s">
        <v>848</v>
      </c>
      <c r="BK163" s="614"/>
      <c r="BL163" s="614"/>
      <c r="BM163" s="614"/>
      <c r="BN163" s="614"/>
      <c r="BO163" s="614"/>
      <c r="BP163" s="614"/>
      <c r="BR163" s="617" t="s">
        <v>848</v>
      </c>
      <c r="BS163" s="614">
        <f t="shared" si="47"/>
        <v>0</v>
      </c>
      <c r="BT163" s="614">
        <f t="shared" si="47"/>
        <v>0</v>
      </c>
      <c r="BU163" s="614">
        <f t="shared" si="47"/>
        <v>0</v>
      </c>
      <c r="BV163" s="614">
        <f t="shared" si="47"/>
        <v>0</v>
      </c>
      <c r="BW163" s="614">
        <f t="shared" si="47"/>
        <v>0</v>
      </c>
      <c r="BX163" s="614">
        <f t="shared" si="47"/>
        <v>0</v>
      </c>
    </row>
    <row r="164" spans="2:76" x14ac:dyDescent="0.25">
      <c r="B164" s="615" t="s">
        <v>845</v>
      </c>
      <c r="C164" s="614">
        <f t="shared" si="46"/>
        <v>0</v>
      </c>
      <c r="D164" s="614">
        <f t="shared" si="46"/>
        <v>0</v>
      </c>
      <c r="E164" s="614">
        <f t="shared" si="46"/>
        <v>0</v>
      </c>
      <c r="F164" s="614">
        <f t="shared" si="46"/>
        <v>0</v>
      </c>
      <c r="G164" s="614">
        <f t="shared" si="46"/>
        <v>0</v>
      </c>
      <c r="H164" s="614">
        <f t="shared" si="46"/>
        <v>0</v>
      </c>
      <c r="J164" s="615" t="s">
        <v>845</v>
      </c>
      <c r="K164" s="614">
        <f>Ielas!T920</f>
        <v>0</v>
      </c>
      <c r="L164" s="614">
        <f>Ielas!U920</f>
        <v>0</v>
      </c>
      <c r="M164" s="614">
        <f>Ielas!V920</f>
        <v>0</v>
      </c>
      <c r="N164" s="614">
        <f>Ielas!W920</f>
        <v>0</v>
      </c>
      <c r="O164" s="614">
        <f>Ielas!X920</f>
        <v>0</v>
      </c>
      <c r="P164" s="614">
        <f>Ielas!Y920</f>
        <v>0</v>
      </c>
      <c r="Q164" s="615" t="s">
        <v>845</v>
      </c>
      <c r="R164" s="614">
        <f>Ielas!AA920</f>
        <v>0</v>
      </c>
      <c r="S164" s="614">
        <f>Ielas!AB920</f>
        <v>0</v>
      </c>
      <c r="T164" s="614">
        <f>Ielas!AC920</f>
        <v>0</v>
      </c>
      <c r="U164" s="614">
        <f>Ielas!AD920</f>
        <v>0</v>
      </c>
      <c r="V164" s="614">
        <f>Ielas!AE920</f>
        <v>0</v>
      </c>
      <c r="W164" s="614">
        <f>Ielas!AF920</f>
        <v>0</v>
      </c>
      <c r="Y164" s="615" t="s">
        <v>845</v>
      </c>
      <c r="Z164" s="614"/>
      <c r="AA164" s="614"/>
      <c r="AB164" s="614"/>
      <c r="AC164" s="614"/>
      <c r="AD164" s="614"/>
      <c r="AE164" s="614"/>
      <c r="AF164" s="615" t="s">
        <v>845</v>
      </c>
      <c r="AG164" s="614"/>
      <c r="AH164" s="614"/>
      <c r="AI164" s="614"/>
      <c r="AJ164" s="614"/>
      <c r="AK164" s="614"/>
      <c r="AL164" s="614"/>
      <c r="AN164" s="615" t="s">
        <v>845</v>
      </c>
      <c r="AO164" s="614"/>
      <c r="AP164" s="614"/>
      <c r="AQ164" s="614"/>
      <c r="AR164" s="614"/>
      <c r="AS164" s="614"/>
      <c r="AT164" s="614"/>
      <c r="AU164" s="615" t="s">
        <v>845</v>
      </c>
      <c r="AV164" s="614"/>
      <c r="AW164" s="614"/>
      <c r="AX164" s="614"/>
      <c r="AY164" s="614"/>
      <c r="AZ164" s="614"/>
      <c r="BA164" s="614"/>
      <c r="BC164" s="615" t="s">
        <v>845</v>
      </c>
      <c r="BD164" s="614"/>
      <c r="BE164" s="614"/>
      <c r="BF164" s="614"/>
      <c r="BG164" s="614"/>
      <c r="BH164" s="614"/>
      <c r="BI164" s="614"/>
      <c r="BJ164" s="615" t="s">
        <v>845</v>
      </c>
      <c r="BK164" s="614"/>
      <c r="BL164" s="614"/>
      <c r="BM164" s="614"/>
      <c r="BN164" s="614"/>
      <c r="BO164" s="614"/>
      <c r="BP164" s="614"/>
      <c r="BR164" s="615" t="s">
        <v>845</v>
      </c>
      <c r="BS164" s="614">
        <f t="shared" si="47"/>
        <v>0</v>
      </c>
      <c r="BT164" s="614">
        <f t="shared" si="47"/>
        <v>0</v>
      </c>
      <c r="BU164" s="614">
        <f t="shared" si="47"/>
        <v>0</v>
      </c>
      <c r="BV164" s="614">
        <f t="shared" si="47"/>
        <v>0</v>
      </c>
      <c r="BW164" s="614">
        <f t="shared" si="47"/>
        <v>0</v>
      </c>
      <c r="BX164" s="614">
        <f t="shared" si="47"/>
        <v>0</v>
      </c>
    </row>
    <row r="165" spans="2:76" x14ac:dyDescent="0.25">
      <c r="B165" s="616" t="s">
        <v>846</v>
      </c>
      <c r="C165" s="614">
        <f t="shared" si="46"/>
        <v>0.97199999999999998</v>
      </c>
      <c r="D165" s="614">
        <f t="shared" si="46"/>
        <v>0</v>
      </c>
      <c r="E165" s="614">
        <f t="shared" si="46"/>
        <v>0</v>
      </c>
      <c r="F165" s="614">
        <f t="shared" si="46"/>
        <v>0</v>
      </c>
      <c r="G165" s="614">
        <f t="shared" si="46"/>
        <v>6.4000000000000001E-2</v>
      </c>
      <c r="H165" s="614">
        <f t="shared" si="46"/>
        <v>1.036</v>
      </c>
      <c r="J165" s="616" t="s">
        <v>846</v>
      </c>
      <c r="K165" s="614">
        <f>Ielas!T921</f>
        <v>0.97199999999999998</v>
      </c>
      <c r="L165" s="614">
        <f>Ielas!U921</f>
        <v>0</v>
      </c>
      <c r="M165" s="614">
        <f>Ielas!V921</f>
        <v>0</v>
      </c>
      <c r="N165" s="614">
        <f>Ielas!W921</f>
        <v>0</v>
      </c>
      <c r="O165" s="614">
        <f>Ielas!X921</f>
        <v>6.4000000000000001E-2</v>
      </c>
      <c r="P165" s="614">
        <f>Ielas!Y921</f>
        <v>1.036</v>
      </c>
      <c r="Q165" s="616" t="s">
        <v>846</v>
      </c>
      <c r="R165" s="614">
        <f>Ielas!AA921</f>
        <v>0</v>
      </c>
      <c r="S165" s="614">
        <f>Ielas!AB921</f>
        <v>0</v>
      </c>
      <c r="T165" s="614">
        <f>Ielas!AC921</f>
        <v>0</v>
      </c>
      <c r="U165" s="614">
        <f>Ielas!AD921</f>
        <v>0</v>
      </c>
      <c r="V165" s="614">
        <f>Ielas!AE921</f>
        <v>0</v>
      </c>
      <c r="W165" s="614">
        <f>Ielas!AF921</f>
        <v>0</v>
      </c>
      <c r="Y165" s="616" t="s">
        <v>846</v>
      </c>
      <c r="Z165" s="614"/>
      <c r="AA165" s="614"/>
      <c r="AB165" s="614"/>
      <c r="AC165" s="614"/>
      <c r="AD165" s="614"/>
      <c r="AE165" s="614"/>
      <c r="AF165" s="616" t="s">
        <v>846</v>
      </c>
      <c r="AG165" s="614"/>
      <c r="AH165" s="614"/>
      <c r="AI165" s="614"/>
      <c r="AJ165" s="614"/>
      <c r="AK165" s="614"/>
      <c r="AL165" s="614"/>
      <c r="AN165" s="616" t="s">
        <v>846</v>
      </c>
      <c r="AO165" s="614"/>
      <c r="AP165" s="614"/>
      <c r="AQ165" s="614"/>
      <c r="AR165" s="614"/>
      <c r="AS165" s="614"/>
      <c r="AT165" s="614"/>
      <c r="AU165" s="616" t="s">
        <v>846</v>
      </c>
      <c r="AV165" s="614"/>
      <c r="AW165" s="614"/>
      <c r="AX165" s="614"/>
      <c r="AY165" s="614"/>
      <c r="AZ165" s="614"/>
      <c r="BA165" s="614"/>
      <c r="BC165" s="616" t="s">
        <v>846</v>
      </c>
      <c r="BD165" s="614"/>
      <c r="BE165" s="614"/>
      <c r="BF165" s="614"/>
      <c r="BG165" s="614"/>
      <c r="BH165" s="614"/>
      <c r="BI165" s="614"/>
      <c r="BJ165" s="616" t="s">
        <v>846</v>
      </c>
      <c r="BK165" s="614"/>
      <c r="BL165" s="614"/>
      <c r="BM165" s="614"/>
      <c r="BN165" s="614"/>
      <c r="BO165" s="614"/>
      <c r="BP165" s="614"/>
      <c r="BR165" s="616" t="s">
        <v>846</v>
      </c>
      <c r="BS165" s="614">
        <f t="shared" si="47"/>
        <v>0.97199999999999998</v>
      </c>
      <c r="BT165" s="614">
        <f t="shared" si="47"/>
        <v>0</v>
      </c>
      <c r="BU165" s="614">
        <f t="shared" si="47"/>
        <v>0</v>
      </c>
      <c r="BV165" s="614">
        <f t="shared" si="47"/>
        <v>0</v>
      </c>
      <c r="BW165" s="614">
        <f t="shared" si="47"/>
        <v>6.4000000000000001E-2</v>
      </c>
      <c r="BX165" s="614">
        <f t="shared" si="47"/>
        <v>1.036</v>
      </c>
    </row>
    <row r="166" spans="2:76" x14ac:dyDescent="0.25">
      <c r="C166" s="614">
        <f t="shared" si="46"/>
        <v>0.97199999999999998</v>
      </c>
      <c r="D166" s="614">
        <f t="shared" si="46"/>
        <v>0</v>
      </c>
      <c r="E166" s="614">
        <f t="shared" si="46"/>
        <v>0</v>
      </c>
      <c r="F166" s="614">
        <f t="shared" si="46"/>
        <v>0</v>
      </c>
      <c r="G166" s="614">
        <f t="shared" si="46"/>
        <v>6.4000000000000001E-2</v>
      </c>
      <c r="H166" s="614">
        <f t="shared" si="46"/>
        <v>1.036</v>
      </c>
      <c r="K166" s="614">
        <f>Ielas!T922</f>
        <v>0.97199999999999998</v>
      </c>
      <c r="L166" s="614">
        <f>Ielas!U922</f>
        <v>0</v>
      </c>
      <c r="M166" s="614">
        <f>Ielas!V922</f>
        <v>0</v>
      </c>
      <c r="N166" s="614">
        <f>Ielas!W922</f>
        <v>0</v>
      </c>
      <c r="O166" s="614">
        <f>Ielas!X922</f>
        <v>6.4000000000000001E-2</v>
      </c>
      <c r="P166" s="614">
        <f>Ielas!Y922</f>
        <v>1.036</v>
      </c>
      <c r="R166" s="614">
        <f>Ielas!AA922</f>
        <v>0</v>
      </c>
      <c r="S166" s="614">
        <f>Ielas!AB922</f>
        <v>0</v>
      </c>
      <c r="T166" s="614">
        <f>Ielas!AC922</f>
        <v>0</v>
      </c>
      <c r="U166" s="614">
        <f>Ielas!AD922</f>
        <v>0</v>
      </c>
      <c r="V166" s="614">
        <f>Ielas!AE922</f>
        <v>0</v>
      </c>
      <c r="W166" s="614">
        <f>Ielas!AF922</f>
        <v>0</v>
      </c>
      <c r="Z166" s="614"/>
      <c r="AA166" s="614"/>
      <c r="AB166" s="614"/>
      <c r="AC166" s="614"/>
      <c r="AD166" s="614"/>
      <c r="AE166" s="614"/>
      <c r="AG166" s="614"/>
      <c r="AH166" s="614"/>
      <c r="AI166" s="614"/>
      <c r="AJ166" s="614"/>
      <c r="AK166" s="614"/>
      <c r="AL166" s="614"/>
      <c r="AO166" s="614"/>
      <c r="AP166" s="614"/>
      <c r="AQ166" s="614"/>
      <c r="AR166" s="614"/>
      <c r="AS166" s="614"/>
      <c r="AT166" s="614"/>
      <c r="AV166" s="614"/>
      <c r="AW166" s="614"/>
      <c r="AX166" s="614"/>
      <c r="AY166" s="614"/>
      <c r="AZ166" s="614"/>
      <c r="BA166" s="614"/>
      <c r="BD166" s="614"/>
      <c r="BE166" s="614"/>
      <c r="BF166" s="614"/>
      <c r="BG166" s="614"/>
      <c r="BH166" s="614"/>
      <c r="BI166" s="614"/>
      <c r="BK166" s="614"/>
      <c r="BL166" s="614"/>
      <c r="BM166" s="614"/>
      <c r="BN166" s="614"/>
      <c r="BO166" s="614"/>
      <c r="BP166" s="614"/>
      <c r="BS166" s="614">
        <f t="shared" si="47"/>
        <v>0.97199999999999998</v>
      </c>
      <c r="BT166" s="614">
        <f t="shared" si="47"/>
        <v>0</v>
      </c>
      <c r="BU166" s="614">
        <f t="shared" si="47"/>
        <v>0</v>
      </c>
      <c r="BV166" s="614">
        <f t="shared" si="47"/>
        <v>0</v>
      </c>
      <c r="BW166" s="614">
        <f t="shared" si="47"/>
        <v>6.4000000000000001E-2</v>
      </c>
      <c r="BX166" s="614">
        <f t="shared" si="47"/>
        <v>1.036</v>
      </c>
    </row>
    <row r="167" spans="2:76" x14ac:dyDescent="0.25">
      <c r="C167" s="667"/>
      <c r="D167" s="667"/>
      <c r="E167" s="667"/>
      <c r="F167" s="667"/>
      <c r="G167" s="667"/>
      <c r="H167" s="667"/>
      <c r="BS167" s="667"/>
      <c r="BT167" s="667"/>
      <c r="BU167" s="667"/>
      <c r="BV167" s="667"/>
      <c r="BW167" s="667"/>
      <c r="BX167" s="667"/>
    </row>
    <row r="168" spans="2:76" x14ac:dyDescent="0.25">
      <c r="B168" t="s">
        <v>1197</v>
      </c>
      <c r="C168" s="667"/>
      <c r="D168" s="667"/>
      <c r="E168" s="667"/>
      <c r="F168" s="667"/>
      <c r="G168" s="667"/>
      <c r="H168" s="667"/>
      <c r="K168" t="s">
        <v>1198</v>
      </c>
      <c r="R168" t="s">
        <v>1141</v>
      </c>
      <c r="AG168" t="s">
        <v>1141</v>
      </c>
      <c r="AV168" t="s">
        <v>1141</v>
      </c>
      <c r="BK168" t="s">
        <v>1141</v>
      </c>
      <c r="BR168" t="s">
        <v>1199</v>
      </c>
      <c r="BS168" s="667"/>
      <c r="BT168" s="667"/>
      <c r="BU168" s="667"/>
      <c r="BV168" s="667"/>
      <c r="BW168" s="667"/>
      <c r="BX168" s="667"/>
    </row>
    <row r="169" spans="2:76" ht="23.25" x14ac:dyDescent="0.25">
      <c r="B169" s="102"/>
      <c r="C169" s="669" t="s">
        <v>1092</v>
      </c>
      <c r="D169" s="669" t="s">
        <v>1093</v>
      </c>
      <c r="E169" s="669" t="s">
        <v>1094</v>
      </c>
      <c r="F169" s="669" t="s">
        <v>1095</v>
      </c>
      <c r="G169" s="669" t="s">
        <v>1096</v>
      </c>
      <c r="H169" s="141" t="s">
        <v>269</v>
      </c>
      <c r="J169" s="102"/>
      <c r="K169" s="625" t="s">
        <v>1092</v>
      </c>
      <c r="L169" s="625" t="s">
        <v>1093</v>
      </c>
      <c r="M169" s="625" t="s">
        <v>1094</v>
      </c>
      <c r="N169" s="625" t="s">
        <v>1095</v>
      </c>
      <c r="O169" s="625" t="s">
        <v>1096</v>
      </c>
      <c r="P169" s="627" t="s">
        <v>269</v>
      </c>
      <c r="Q169" s="102"/>
      <c r="R169" s="625" t="s">
        <v>1092</v>
      </c>
      <c r="S169" s="625" t="s">
        <v>1093</v>
      </c>
      <c r="T169" s="625" t="s">
        <v>1094</v>
      </c>
      <c r="U169" s="625" t="s">
        <v>1095</v>
      </c>
      <c r="V169" s="625" t="s">
        <v>1096</v>
      </c>
      <c r="W169" s="627" t="s">
        <v>269</v>
      </c>
      <c r="Y169" s="102"/>
      <c r="Z169" s="625" t="s">
        <v>1092</v>
      </c>
      <c r="AA169" s="625" t="s">
        <v>1093</v>
      </c>
      <c r="AB169" s="625" t="s">
        <v>1094</v>
      </c>
      <c r="AC169" s="625" t="s">
        <v>1095</v>
      </c>
      <c r="AD169" s="625" t="s">
        <v>1096</v>
      </c>
      <c r="AE169" s="627" t="s">
        <v>269</v>
      </c>
      <c r="AF169" s="102"/>
      <c r="AG169" s="625" t="s">
        <v>1092</v>
      </c>
      <c r="AH169" s="625" t="s">
        <v>1093</v>
      </c>
      <c r="AI169" s="625" t="s">
        <v>1094</v>
      </c>
      <c r="AJ169" s="625" t="s">
        <v>1095</v>
      </c>
      <c r="AK169" s="625" t="s">
        <v>1096</v>
      </c>
      <c r="AL169" s="627" t="s">
        <v>269</v>
      </c>
      <c r="AN169" s="102"/>
      <c r="AO169" s="625" t="s">
        <v>1092</v>
      </c>
      <c r="AP169" s="625" t="s">
        <v>1093</v>
      </c>
      <c r="AQ169" s="625" t="s">
        <v>1094</v>
      </c>
      <c r="AR169" s="625" t="s">
        <v>1095</v>
      </c>
      <c r="AS169" s="625" t="s">
        <v>1096</v>
      </c>
      <c r="AT169" s="627" t="s">
        <v>269</v>
      </c>
      <c r="AU169" s="102"/>
      <c r="AV169" s="625" t="s">
        <v>1092</v>
      </c>
      <c r="AW169" s="625" t="s">
        <v>1093</v>
      </c>
      <c r="AX169" s="625" t="s">
        <v>1094</v>
      </c>
      <c r="AY169" s="625" t="s">
        <v>1095</v>
      </c>
      <c r="AZ169" s="625" t="s">
        <v>1096</v>
      </c>
      <c r="BA169" s="627" t="s">
        <v>269</v>
      </c>
      <c r="BC169" s="102"/>
      <c r="BD169" s="625" t="s">
        <v>1092</v>
      </c>
      <c r="BE169" s="625" t="s">
        <v>1093</v>
      </c>
      <c r="BF169" s="625" t="s">
        <v>1094</v>
      </c>
      <c r="BG169" s="625" t="s">
        <v>1095</v>
      </c>
      <c r="BH169" s="625" t="s">
        <v>1096</v>
      </c>
      <c r="BI169" s="627" t="s">
        <v>269</v>
      </c>
      <c r="BJ169" s="102"/>
      <c r="BK169" s="625" t="s">
        <v>1092</v>
      </c>
      <c r="BL169" s="625" t="s">
        <v>1093</v>
      </c>
      <c r="BM169" s="625" t="s">
        <v>1094</v>
      </c>
      <c r="BN169" s="625" t="s">
        <v>1095</v>
      </c>
      <c r="BO169" s="625" t="s">
        <v>1096</v>
      </c>
      <c r="BP169" s="627" t="s">
        <v>269</v>
      </c>
      <c r="BR169" s="102"/>
      <c r="BS169" s="669" t="s">
        <v>1092</v>
      </c>
      <c r="BT169" s="669" t="s">
        <v>1093</v>
      </c>
      <c r="BU169" s="669" t="s">
        <v>1094</v>
      </c>
      <c r="BV169" s="669" t="s">
        <v>1095</v>
      </c>
      <c r="BW169" s="669" t="s">
        <v>1096</v>
      </c>
      <c r="BX169" s="141" t="s">
        <v>269</v>
      </c>
    </row>
    <row r="170" spans="2:76" x14ac:dyDescent="0.25">
      <c r="B170" s="628" t="s">
        <v>844</v>
      </c>
      <c r="C170" s="669" t="s">
        <v>231</v>
      </c>
      <c r="D170" s="669" t="s">
        <v>231</v>
      </c>
      <c r="E170" s="669" t="s">
        <v>231</v>
      </c>
      <c r="F170" s="669" t="s">
        <v>231</v>
      </c>
      <c r="G170" s="669" t="s">
        <v>231</v>
      </c>
      <c r="H170" s="670" t="s">
        <v>231</v>
      </c>
      <c r="J170" s="628" t="s">
        <v>844</v>
      </c>
      <c r="K170" s="625" t="s">
        <v>231</v>
      </c>
      <c r="L170" s="625" t="s">
        <v>231</v>
      </c>
      <c r="M170" s="625" t="s">
        <v>231</v>
      </c>
      <c r="N170" s="625" t="s">
        <v>231</v>
      </c>
      <c r="O170" s="625" t="s">
        <v>231</v>
      </c>
      <c r="P170" s="626" t="s">
        <v>231</v>
      </c>
      <c r="Q170" s="628"/>
      <c r="R170" s="625" t="s">
        <v>231</v>
      </c>
      <c r="S170" s="625" t="s">
        <v>231</v>
      </c>
      <c r="T170" s="625" t="s">
        <v>231</v>
      </c>
      <c r="U170" s="625" t="s">
        <v>231</v>
      </c>
      <c r="V170" s="625" t="s">
        <v>231</v>
      </c>
      <c r="W170" s="626" t="s">
        <v>231</v>
      </c>
      <c r="Y170" s="628" t="s">
        <v>844</v>
      </c>
      <c r="Z170" s="625" t="s">
        <v>231</v>
      </c>
      <c r="AA170" s="625" t="s">
        <v>231</v>
      </c>
      <c r="AB170" s="625" t="s">
        <v>231</v>
      </c>
      <c r="AC170" s="625" t="s">
        <v>231</v>
      </c>
      <c r="AD170" s="625" t="s">
        <v>231</v>
      </c>
      <c r="AE170" s="626" t="s">
        <v>231</v>
      </c>
      <c r="AF170" s="628"/>
      <c r="AG170" s="625" t="s">
        <v>231</v>
      </c>
      <c r="AH170" s="625" t="s">
        <v>231</v>
      </c>
      <c r="AI170" s="625" t="s">
        <v>231</v>
      </c>
      <c r="AJ170" s="625" t="s">
        <v>231</v>
      </c>
      <c r="AK170" s="625" t="s">
        <v>231</v>
      </c>
      <c r="AL170" s="626" t="s">
        <v>231</v>
      </c>
      <c r="AN170" s="628" t="s">
        <v>844</v>
      </c>
      <c r="AO170" s="625" t="s">
        <v>231</v>
      </c>
      <c r="AP170" s="625" t="s">
        <v>231</v>
      </c>
      <c r="AQ170" s="625" t="s">
        <v>231</v>
      </c>
      <c r="AR170" s="625" t="s">
        <v>231</v>
      </c>
      <c r="AS170" s="625" t="s">
        <v>231</v>
      </c>
      <c r="AT170" s="626" t="s">
        <v>231</v>
      </c>
      <c r="AU170" s="628"/>
      <c r="AV170" s="625" t="s">
        <v>231</v>
      </c>
      <c r="AW170" s="625" t="s">
        <v>231</v>
      </c>
      <c r="AX170" s="625" t="s">
        <v>231</v>
      </c>
      <c r="AY170" s="625" t="s">
        <v>231</v>
      </c>
      <c r="AZ170" s="625" t="s">
        <v>231</v>
      </c>
      <c r="BA170" s="626" t="s">
        <v>231</v>
      </c>
      <c r="BC170" s="628" t="s">
        <v>844</v>
      </c>
      <c r="BD170" s="625" t="s">
        <v>231</v>
      </c>
      <c r="BE170" s="625" t="s">
        <v>231</v>
      </c>
      <c r="BF170" s="625" t="s">
        <v>231</v>
      </c>
      <c r="BG170" s="625" t="s">
        <v>231</v>
      </c>
      <c r="BH170" s="625" t="s">
        <v>231</v>
      </c>
      <c r="BI170" s="626" t="s">
        <v>231</v>
      </c>
      <c r="BJ170" s="628"/>
      <c r="BK170" s="625" t="s">
        <v>231</v>
      </c>
      <c r="BL170" s="625" t="s">
        <v>231</v>
      </c>
      <c r="BM170" s="625" t="s">
        <v>231</v>
      </c>
      <c r="BN170" s="625" t="s">
        <v>231</v>
      </c>
      <c r="BO170" s="625" t="s">
        <v>231</v>
      </c>
      <c r="BP170" s="626" t="s">
        <v>231</v>
      </c>
      <c r="BR170" s="628" t="s">
        <v>844</v>
      </c>
      <c r="BS170" s="669" t="s">
        <v>231</v>
      </c>
      <c r="BT170" s="669" t="s">
        <v>231</v>
      </c>
      <c r="BU170" s="669" t="s">
        <v>231</v>
      </c>
      <c r="BV170" s="669" t="s">
        <v>231</v>
      </c>
      <c r="BW170" s="669" t="s">
        <v>231</v>
      </c>
      <c r="BX170" s="670" t="s">
        <v>231</v>
      </c>
    </row>
    <row r="171" spans="2:76" x14ac:dyDescent="0.25">
      <c r="B171" s="616" t="s">
        <v>847</v>
      </c>
      <c r="C171" s="614">
        <f t="shared" ref="C171:H175" si="48">K171+Z171+AO171</f>
        <v>0</v>
      </c>
      <c r="D171" s="614">
        <f t="shared" si="48"/>
        <v>0</v>
      </c>
      <c r="E171" s="614">
        <f t="shared" si="48"/>
        <v>0</v>
      </c>
      <c r="F171" s="614">
        <f t="shared" si="48"/>
        <v>0</v>
      </c>
      <c r="G171" s="614">
        <f t="shared" si="48"/>
        <v>0</v>
      </c>
      <c r="H171" s="614">
        <f t="shared" si="48"/>
        <v>0</v>
      </c>
      <c r="J171" s="616" t="s">
        <v>847</v>
      </c>
      <c r="K171" s="614">
        <f>Ielas!T942</f>
        <v>0</v>
      </c>
      <c r="L171" s="614">
        <f>Ielas!U942</f>
        <v>0</v>
      </c>
      <c r="M171" s="614">
        <f>Ielas!V942</f>
        <v>0</v>
      </c>
      <c r="N171" s="614">
        <f>Ielas!W942</f>
        <v>0</v>
      </c>
      <c r="O171" s="614">
        <f>Ielas!X942</f>
        <v>0</v>
      </c>
      <c r="P171" s="614">
        <f>Ielas!Y942</f>
        <v>0</v>
      </c>
      <c r="Q171" s="616" t="s">
        <v>847</v>
      </c>
      <c r="R171" s="614">
        <f>Ielas!AA942</f>
        <v>0</v>
      </c>
      <c r="S171" s="614">
        <f>Ielas!AB942</f>
        <v>0</v>
      </c>
      <c r="T171" s="614">
        <f>Ielas!AC942</f>
        <v>0</v>
      </c>
      <c r="U171" s="614">
        <f>Ielas!AD942</f>
        <v>0</v>
      </c>
      <c r="V171" s="614">
        <f>Ielas!AE942</f>
        <v>0</v>
      </c>
      <c r="W171" s="614">
        <f>Ielas!AF942</f>
        <v>0</v>
      </c>
      <c r="Y171" s="616" t="s">
        <v>847</v>
      </c>
      <c r="Z171" s="614"/>
      <c r="AA171" s="614"/>
      <c r="AB171" s="614"/>
      <c r="AC171" s="614"/>
      <c r="AD171" s="614"/>
      <c r="AE171" s="614"/>
      <c r="AF171" s="616" t="s">
        <v>847</v>
      </c>
      <c r="AG171" s="614"/>
      <c r="AH171" s="614"/>
      <c r="AI171" s="614"/>
      <c r="AJ171" s="614"/>
      <c r="AK171" s="614"/>
      <c r="AL171" s="614"/>
      <c r="AN171" s="616" t="s">
        <v>847</v>
      </c>
      <c r="AO171" s="614"/>
      <c r="AP171" s="614"/>
      <c r="AQ171" s="614"/>
      <c r="AR171" s="614"/>
      <c r="AS171" s="614"/>
      <c r="AT171" s="614"/>
      <c r="AU171" s="616" t="s">
        <v>847</v>
      </c>
      <c r="AV171" s="614"/>
      <c r="AW171" s="614"/>
      <c r="AX171" s="614"/>
      <c r="AY171" s="614"/>
      <c r="AZ171" s="614"/>
      <c r="BA171" s="614"/>
      <c r="BC171" s="616" t="s">
        <v>847</v>
      </c>
      <c r="BD171" s="614"/>
      <c r="BE171" s="614"/>
      <c r="BF171" s="614"/>
      <c r="BG171" s="614"/>
      <c r="BH171" s="614"/>
      <c r="BI171" s="614"/>
      <c r="BJ171" s="616" t="s">
        <v>847</v>
      </c>
      <c r="BK171" s="614"/>
      <c r="BL171" s="614"/>
      <c r="BM171" s="614"/>
      <c r="BN171" s="614"/>
      <c r="BO171" s="614"/>
      <c r="BP171" s="614"/>
      <c r="BR171" s="616" t="s">
        <v>847</v>
      </c>
      <c r="BS171" s="614">
        <f t="shared" ref="BS171:BX175" si="49">C171-R171-AG171-AV171</f>
        <v>0</v>
      </c>
      <c r="BT171" s="614">
        <f t="shared" si="49"/>
        <v>0</v>
      </c>
      <c r="BU171" s="614">
        <f t="shared" si="49"/>
        <v>0</v>
      </c>
      <c r="BV171" s="614">
        <f t="shared" si="49"/>
        <v>0</v>
      </c>
      <c r="BW171" s="614">
        <f t="shared" si="49"/>
        <v>0</v>
      </c>
      <c r="BX171" s="614">
        <f t="shared" si="49"/>
        <v>0</v>
      </c>
    </row>
    <row r="172" spans="2:76" x14ac:dyDescent="0.25">
      <c r="B172" s="617" t="s">
        <v>848</v>
      </c>
      <c r="C172" s="614">
        <f t="shared" si="48"/>
        <v>0</v>
      </c>
      <c r="D172" s="614">
        <f t="shared" si="48"/>
        <v>0</v>
      </c>
      <c r="E172" s="614">
        <f t="shared" si="48"/>
        <v>0</v>
      </c>
      <c r="F172" s="614">
        <f t="shared" si="48"/>
        <v>0</v>
      </c>
      <c r="G172" s="614">
        <f t="shared" si="48"/>
        <v>0</v>
      </c>
      <c r="H172" s="614">
        <f t="shared" si="48"/>
        <v>0</v>
      </c>
      <c r="J172" s="617" t="s">
        <v>848</v>
      </c>
      <c r="K172" s="614">
        <f>Ielas!T943</f>
        <v>0</v>
      </c>
      <c r="L172" s="614">
        <f>Ielas!U943</f>
        <v>0</v>
      </c>
      <c r="M172" s="614">
        <f>Ielas!V943</f>
        <v>0</v>
      </c>
      <c r="N172" s="614">
        <f>Ielas!W943</f>
        <v>0</v>
      </c>
      <c r="O172" s="614">
        <f>Ielas!X943</f>
        <v>0</v>
      </c>
      <c r="P172" s="614">
        <f>Ielas!Y943</f>
        <v>0</v>
      </c>
      <c r="Q172" s="617" t="s">
        <v>848</v>
      </c>
      <c r="R172" s="614">
        <f>Ielas!AA943</f>
        <v>0</v>
      </c>
      <c r="S172" s="614">
        <f>Ielas!AB943</f>
        <v>0</v>
      </c>
      <c r="T172" s="614">
        <f>Ielas!AC943</f>
        <v>0</v>
      </c>
      <c r="U172" s="614">
        <f>Ielas!AD943</f>
        <v>0</v>
      </c>
      <c r="V172" s="614">
        <f>Ielas!AE943</f>
        <v>0</v>
      </c>
      <c r="W172" s="614">
        <f>Ielas!AF943</f>
        <v>0</v>
      </c>
      <c r="Y172" s="617" t="s">
        <v>848</v>
      </c>
      <c r="Z172" s="614"/>
      <c r="AA172" s="614"/>
      <c r="AB172" s="614"/>
      <c r="AC172" s="614"/>
      <c r="AD172" s="614"/>
      <c r="AE172" s="614"/>
      <c r="AF172" s="617" t="s">
        <v>848</v>
      </c>
      <c r="AG172" s="614"/>
      <c r="AH172" s="614"/>
      <c r="AI172" s="614"/>
      <c r="AJ172" s="614"/>
      <c r="AK172" s="614"/>
      <c r="AL172" s="614"/>
      <c r="AN172" s="617" t="s">
        <v>848</v>
      </c>
      <c r="AO172" s="614"/>
      <c r="AP172" s="614"/>
      <c r="AQ172" s="614"/>
      <c r="AR172" s="614"/>
      <c r="AS172" s="614"/>
      <c r="AT172" s="614"/>
      <c r="AU172" s="617" t="s">
        <v>848</v>
      </c>
      <c r="AV172" s="614"/>
      <c r="AW172" s="614"/>
      <c r="AX172" s="614"/>
      <c r="AY172" s="614"/>
      <c r="AZ172" s="614"/>
      <c r="BA172" s="614"/>
      <c r="BC172" s="617" t="s">
        <v>848</v>
      </c>
      <c r="BD172" s="614"/>
      <c r="BE172" s="614"/>
      <c r="BF172" s="614"/>
      <c r="BG172" s="614"/>
      <c r="BH172" s="614"/>
      <c r="BI172" s="614"/>
      <c r="BJ172" s="617" t="s">
        <v>848</v>
      </c>
      <c r="BK172" s="614"/>
      <c r="BL172" s="614"/>
      <c r="BM172" s="614"/>
      <c r="BN172" s="614"/>
      <c r="BO172" s="614"/>
      <c r="BP172" s="614"/>
      <c r="BR172" s="617" t="s">
        <v>848</v>
      </c>
      <c r="BS172" s="614">
        <f t="shared" si="49"/>
        <v>0</v>
      </c>
      <c r="BT172" s="614">
        <f t="shared" si="49"/>
        <v>0</v>
      </c>
      <c r="BU172" s="614">
        <f t="shared" si="49"/>
        <v>0</v>
      </c>
      <c r="BV172" s="614">
        <f t="shared" si="49"/>
        <v>0</v>
      </c>
      <c r="BW172" s="614">
        <f t="shared" si="49"/>
        <v>0</v>
      </c>
      <c r="BX172" s="614">
        <f t="shared" si="49"/>
        <v>0</v>
      </c>
    </row>
    <row r="173" spans="2:76" x14ac:dyDescent="0.25">
      <c r="B173" s="615" t="s">
        <v>845</v>
      </c>
      <c r="C173" s="614">
        <f t="shared" si="48"/>
        <v>0</v>
      </c>
      <c r="D173" s="614">
        <f t="shared" si="48"/>
        <v>0</v>
      </c>
      <c r="E173" s="614">
        <f t="shared" si="48"/>
        <v>0</v>
      </c>
      <c r="F173" s="614">
        <f t="shared" si="48"/>
        <v>0</v>
      </c>
      <c r="G173" s="614">
        <f t="shared" si="48"/>
        <v>0</v>
      </c>
      <c r="H173" s="614">
        <f t="shared" si="48"/>
        <v>0</v>
      </c>
      <c r="J173" s="615" t="s">
        <v>845</v>
      </c>
      <c r="K173" s="614">
        <f>Ielas!T944</f>
        <v>0</v>
      </c>
      <c r="L173" s="614">
        <f>Ielas!U944</f>
        <v>0</v>
      </c>
      <c r="M173" s="614">
        <f>Ielas!V944</f>
        <v>0</v>
      </c>
      <c r="N173" s="614">
        <f>Ielas!W944</f>
        <v>0</v>
      </c>
      <c r="O173" s="614">
        <f>Ielas!X944</f>
        <v>0</v>
      </c>
      <c r="P173" s="614">
        <f>Ielas!Y944</f>
        <v>0</v>
      </c>
      <c r="Q173" s="615" t="s">
        <v>845</v>
      </c>
      <c r="R173" s="614">
        <f>Ielas!AA944</f>
        <v>0</v>
      </c>
      <c r="S173" s="614">
        <f>Ielas!AB944</f>
        <v>0</v>
      </c>
      <c r="T173" s="614">
        <f>Ielas!AC944</f>
        <v>0</v>
      </c>
      <c r="U173" s="614">
        <f>Ielas!AD944</f>
        <v>0</v>
      </c>
      <c r="V173" s="614">
        <f>Ielas!AE944</f>
        <v>0</v>
      </c>
      <c r="W173" s="614">
        <f>Ielas!AF944</f>
        <v>0</v>
      </c>
      <c r="Y173" s="615" t="s">
        <v>845</v>
      </c>
      <c r="Z173" s="614"/>
      <c r="AA173" s="614"/>
      <c r="AB173" s="614"/>
      <c r="AC173" s="614"/>
      <c r="AD173" s="614"/>
      <c r="AE173" s="614"/>
      <c r="AF173" s="615" t="s">
        <v>845</v>
      </c>
      <c r="AG173" s="614"/>
      <c r="AH173" s="614"/>
      <c r="AI173" s="614"/>
      <c r="AJ173" s="614"/>
      <c r="AK173" s="614"/>
      <c r="AL173" s="614"/>
      <c r="AN173" s="615" t="s">
        <v>845</v>
      </c>
      <c r="AO173" s="614"/>
      <c r="AP173" s="614"/>
      <c r="AQ173" s="614"/>
      <c r="AR173" s="614"/>
      <c r="AS173" s="614"/>
      <c r="AT173" s="614"/>
      <c r="AU173" s="615" t="s">
        <v>845</v>
      </c>
      <c r="AV173" s="614"/>
      <c r="AW173" s="614"/>
      <c r="AX173" s="614"/>
      <c r="AY173" s="614"/>
      <c r="AZ173" s="614"/>
      <c r="BA173" s="614"/>
      <c r="BC173" s="615" t="s">
        <v>845</v>
      </c>
      <c r="BD173" s="614"/>
      <c r="BE173" s="614"/>
      <c r="BF173" s="614"/>
      <c r="BG173" s="614"/>
      <c r="BH173" s="614"/>
      <c r="BI173" s="614"/>
      <c r="BJ173" s="615" t="s">
        <v>845</v>
      </c>
      <c r="BK173" s="614"/>
      <c r="BL173" s="614"/>
      <c r="BM173" s="614"/>
      <c r="BN173" s="614"/>
      <c r="BO173" s="614"/>
      <c r="BP173" s="614"/>
      <c r="BR173" s="615" t="s">
        <v>845</v>
      </c>
      <c r="BS173" s="614">
        <f t="shared" si="49"/>
        <v>0</v>
      </c>
      <c r="BT173" s="614">
        <f t="shared" si="49"/>
        <v>0</v>
      </c>
      <c r="BU173" s="614">
        <f t="shared" si="49"/>
        <v>0</v>
      </c>
      <c r="BV173" s="614">
        <f t="shared" si="49"/>
        <v>0</v>
      </c>
      <c r="BW173" s="614">
        <f t="shared" si="49"/>
        <v>0</v>
      </c>
      <c r="BX173" s="614">
        <f t="shared" si="49"/>
        <v>0</v>
      </c>
    </row>
    <row r="174" spans="2:76" x14ac:dyDescent="0.25">
      <c r="B174" s="616" t="s">
        <v>846</v>
      </c>
      <c r="C174" s="614">
        <f t="shared" si="48"/>
        <v>0.28999999999999998</v>
      </c>
      <c r="D174" s="614">
        <f t="shared" si="48"/>
        <v>0</v>
      </c>
      <c r="E174" s="614">
        <f t="shared" si="48"/>
        <v>0</v>
      </c>
      <c r="F174" s="614">
        <f t="shared" si="48"/>
        <v>1.764</v>
      </c>
      <c r="G174" s="614">
        <f t="shared" si="48"/>
        <v>0.49</v>
      </c>
      <c r="H174" s="614">
        <f t="shared" si="48"/>
        <v>2.5439999999999996</v>
      </c>
      <c r="J174" s="616" t="s">
        <v>846</v>
      </c>
      <c r="K174" s="614">
        <f>Ielas!T945</f>
        <v>0.28999999999999998</v>
      </c>
      <c r="L174" s="614">
        <f>Ielas!U945</f>
        <v>0</v>
      </c>
      <c r="M174" s="614">
        <f>Ielas!V945</f>
        <v>0</v>
      </c>
      <c r="N174" s="614">
        <f>Ielas!W945</f>
        <v>1.764</v>
      </c>
      <c r="O174" s="614">
        <f>Ielas!X945</f>
        <v>0.49</v>
      </c>
      <c r="P174" s="614">
        <f>Ielas!Y945</f>
        <v>2.5439999999999996</v>
      </c>
      <c r="Q174" s="616" t="s">
        <v>846</v>
      </c>
      <c r="R174" s="614">
        <f>Ielas!AA945</f>
        <v>0</v>
      </c>
      <c r="S174" s="614">
        <f>Ielas!AB945</f>
        <v>0</v>
      </c>
      <c r="T174" s="614">
        <f>Ielas!AC945</f>
        <v>0</v>
      </c>
      <c r="U174" s="614">
        <f>Ielas!AD945</f>
        <v>0</v>
      </c>
      <c r="V174" s="614">
        <f>Ielas!AE945</f>
        <v>0</v>
      </c>
      <c r="W174" s="614">
        <f>Ielas!AF945</f>
        <v>0</v>
      </c>
      <c r="Y174" s="616" t="s">
        <v>846</v>
      </c>
      <c r="Z174" s="614"/>
      <c r="AA174" s="614"/>
      <c r="AB174" s="614"/>
      <c r="AC174" s="614"/>
      <c r="AD174" s="614"/>
      <c r="AE174" s="614"/>
      <c r="AF174" s="616" t="s">
        <v>846</v>
      </c>
      <c r="AG174" s="614"/>
      <c r="AH174" s="614"/>
      <c r="AI174" s="614"/>
      <c r="AJ174" s="614"/>
      <c r="AK174" s="614"/>
      <c r="AL174" s="614"/>
      <c r="AN174" s="616" t="s">
        <v>846</v>
      </c>
      <c r="AO174" s="614"/>
      <c r="AP174" s="614"/>
      <c r="AQ174" s="614"/>
      <c r="AR174" s="614"/>
      <c r="AS174" s="614"/>
      <c r="AT174" s="614"/>
      <c r="AU174" s="616" t="s">
        <v>846</v>
      </c>
      <c r="AV174" s="614"/>
      <c r="AW174" s="614"/>
      <c r="AX174" s="614"/>
      <c r="AY174" s="614"/>
      <c r="AZ174" s="614"/>
      <c r="BA174" s="614"/>
      <c r="BC174" s="616" t="s">
        <v>846</v>
      </c>
      <c r="BD174" s="614"/>
      <c r="BE174" s="614"/>
      <c r="BF174" s="614"/>
      <c r="BG174" s="614"/>
      <c r="BH174" s="614"/>
      <c r="BI174" s="614"/>
      <c r="BJ174" s="616" t="s">
        <v>846</v>
      </c>
      <c r="BK174" s="614"/>
      <c r="BL174" s="614"/>
      <c r="BM174" s="614"/>
      <c r="BN174" s="614"/>
      <c r="BO174" s="614"/>
      <c r="BP174" s="614"/>
      <c r="BR174" s="616" t="s">
        <v>846</v>
      </c>
      <c r="BS174" s="614">
        <f t="shared" si="49"/>
        <v>0.28999999999999998</v>
      </c>
      <c r="BT174" s="614">
        <f t="shared" si="49"/>
        <v>0</v>
      </c>
      <c r="BU174" s="614">
        <f t="shared" si="49"/>
        <v>0</v>
      </c>
      <c r="BV174" s="614">
        <f t="shared" si="49"/>
        <v>1.764</v>
      </c>
      <c r="BW174" s="614">
        <f t="shared" si="49"/>
        <v>0.49</v>
      </c>
      <c r="BX174" s="614">
        <f t="shared" si="49"/>
        <v>2.5439999999999996</v>
      </c>
    </row>
    <row r="175" spans="2:76" x14ac:dyDescent="0.25">
      <c r="C175" s="614">
        <f t="shared" si="48"/>
        <v>0.28999999999999998</v>
      </c>
      <c r="D175" s="614">
        <f t="shared" si="48"/>
        <v>0</v>
      </c>
      <c r="E175" s="614">
        <f t="shared" si="48"/>
        <v>0</v>
      </c>
      <c r="F175" s="614">
        <f t="shared" si="48"/>
        <v>1.764</v>
      </c>
      <c r="G175" s="614">
        <f t="shared" si="48"/>
        <v>0.49</v>
      </c>
      <c r="H175" s="614">
        <f t="shared" si="48"/>
        <v>2.5439999999999996</v>
      </c>
      <c r="K175" s="614">
        <f>Ielas!T946</f>
        <v>0.28999999999999998</v>
      </c>
      <c r="L175" s="614">
        <f>Ielas!U946</f>
        <v>0</v>
      </c>
      <c r="M175" s="614">
        <f>Ielas!V946</f>
        <v>0</v>
      </c>
      <c r="N175" s="614">
        <f>Ielas!W946</f>
        <v>1.764</v>
      </c>
      <c r="O175" s="614">
        <f>Ielas!X946</f>
        <v>0.49</v>
      </c>
      <c r="P175" s="614">
        <f>Ielas!Y946</f>
        <v>2.5439999999999996</v>
      </c>
      <c r="R175" s="614">
        <f>Ielas!AA946</f>
        <v>0</v>
      </c>
      <c r="S175" s="614">
        <f>Ielas!AB946</f>
        <v>0</v>
      </c>
      <c r="T175" s="614">
        <f>Ielas!AC946</f>
        <v>0</v>
      </c>
      <c r="U175" s="614">
        <f>Ielas!AD946</f>
        <v>0</v>
      </c>
      <c r="V175" s="614">
        <f>Ielas!AE946</f>
        <v>0</v>
      </c>
      <c r="W175" s="614">
        <f>Ielas!AF946</f>
        <v>0</v>
      </c>
      <c r="Z175" s="614"/>
      <c r="AA175" s="614"/>
      <c r="AB175" s="614"/>
      <c r="AC175" s="614"/>
      <c r="AD175" s="614"/>
      <c r="AE175" s="614"/>
      <c r="AG175" s="614"/>
      <c r="AH175" s="614"/>
      <c r="AI175" s="614"/>
      <c r="AJ175" s="614"/>
      <c r="AK175" s="614"/>
      <c r="AL175" s="614"/>
      <c r="AO175" s="614"/>
      <c r="AP175" s="614"/>
      <c r="AQ175" s="614"/>
      <c r="AR175" s="614"/>
      <c r="AS175" s="614"/>
      <c r="AT175" s="614"/>
      <c r="AV175" s="614"/>
      <c r="AW175" s="614"/>
      <c r="AX175" s="614"/>
      <c r="AY175" s="614"/>
      <c r="AZ175" s="614"/>
      <c r="BA175" s="614"/>
      <c r="BD175" s="614"/>
      <c r="BE175" s="614"/>
      <c r="BF175" s="614"/>
      <c r="BG175" s="614"/>
      <c r="BH175" s="614"/>
      <c r="BI175" s="614"/>
      <c r="BK175" s="614"/>
      <c r="BL175" s="614"/>
      <c r="BM175" s="614"/>
      <c r="BN175" s="614"/>
      <c r="BO175" s="614"/>
      <c r="BP175" s="614"/>
      <c r="BS175" s="614">
        <f t="shared" si="49"/>
        <v>0.28999999999999998</v>
      </c>
      <c r="BT175" s="614">
        <f t="shared" si="49"/>
        <v>0</v>
      </c>
      <c r="BU175" s="614">
        <f t="shared" si="49"/>
        <v>0</v>
      </c>
      <c r="BV175" s="614">
        <f t="shared" si="49"/>
        <v>1.764</v>
      </c>
      <c r="BW175" s="614">
        <f t="shared" si="49"/>
        <v>0.49</v>
      </c>
      <c r="BX175" s="614">
        <f t="shared" si="49"/>
        <v>2.5439999999999996</v>
      </c>
    </row>
    <row r="176" spans="2:76" x14ac:dyDescent="0.25">
      <c r="C176" s="667"/>
      <c r="D176" s="667"/>
      <c r="E176" s="667"/>
      <c r="F176" s="667"/>
      <c r="G176" s="667"/>
      <c r="H176" s="667"/>
      <c r="BS176" s="667"/>
      <c r="BT176" s="667"/>
      <c r="BU176" s="667"/>
      <c r="BV176" s="667"/>
      <c r="BW176" s="667"/>
      <c r="BX176" s="667"/>
    </row>
    <row r="177" spans="2:76" x14ac:dyDescent="0.25">
      <c r="B177" t="s">
        <v>1200</v>
      </c>
      <c r="C177" s="667"/>
      <c r="D177" s="667"/>
      <c r="E177" s="667"/>
      <c r="F177" s="667"/>
      <c r="G177" s="667"/>
      <c r="H177" s="667"/>
      <c r="K177" t="s">
        <v>1201</v>
      </c>
      <c r="R177" t="s">
        <v>1141</v>
      </c>
      <c r="AG177" t="s">
        <v>1141</v>
      </c>
      <c r="AV177" t="s">
        <v>1141</v>
      </c>
      <c r="BK177" t="s">
        <v>1141</v>
      </c>
      <c r="BR177" t="s">
        <v>1202</v>
      </c>
      <c r="BS177" s="667"/>
      <c r="BT177" s="667"/>
      <c r="BU177" s="667"/>
      <c r="BV177" s="667"/>
      <c r="BW177" s="667"/>
      <c r="BX177" s="667"/>
    </row>
    <row r="178" spans="2:76" ht="23.25" x14ac:dyDescent="0.25">
      <c r="B178" s="102"/>
      <c r="C178" s="669" t="s">
        <v>1092</v>
      </c>
      <c r="D178" s="669" t="s">
        <v>1093</v>
      </c>
      <c r="E178" s="669" t="s">
        <v>1094</v>
      </c>
      <c r="F178" s="669" t="s">
        <v>1095</v>
      </c>
      <c r="G178" s="669" t="s">
        <v>1096</v>
      </c>
      <c r="H178" s="141" t="s">
        <v>269</v>
      </c>
      <c r="J178" s="102"/>
      <c r="K178" s="625" t="s">
        <v>1092</v>
      </c>
      <c r="L178" s="625" t="s">
        <v>1093</v>
      </c>
      <c r="M178" s="625" t="s">
        <v>1094</v>
      </c>
      <c r="N178" s="625" t="s">
        <v>1095</v>
      </c>
      <c r="O178" s="625" t="s">
        <v>1096</v>
      </c>
      <c r="P178" s="627" t="s">
        <v>269</v>
      </c>
      <c r="Q178" s="102"/>
      <c r="R178" s="625" t="s">
        <v>1092</v>
      </c>
      <c r="S178" s="625" t="s">
        <v>1093</v>
      </c>
      <c r="T178" s="625" t="s">
        <v>1094</v>
      </c>
      <c r="U178" s="625" t="s">
        <v>1095</v>
      </c>
      <c r="V178" s="625" t="s">
        <v>1096</v>
      </c>
      <c r="W178" s="627" t="s">
        <v>269</v>
      </c>
      <c r="Y178" s="102"/>
      <c r="Z178" s="625" t="s">
        <v>1092</v>
      </c>
      <c r="AA178" s="625" t="s">
        <v>1093</v>
      </c>
      <c r="AB178" s="625" t="s">
        <v>1094</v>
      </c>
      <c r="AC178" s="625" t="s">
        <v>1095</v>
      </c>
      <c r="AD178" s="625" t="s">
        <v>1096</v>
      </c>
      <c r="AE178" s="627" t="s">
        <v>269</v>
      </c>
      <c r="AF178" s="102"/>
      <c r="AG178" s="625" t="s">
        <v>1092</v>
      </c>
      <c r="AH178" s="625" t="s">
        <v>1093</v>
      </c>
      <c r="AI178" s="625" t="s">
        <v>1094</v>
      </c>
      <c r="AJ178" s="625" t="s">
        <v>1095</v>
      </c>
      <c r="AK178" s="625" t="s">
        <v>1096</v>
      </c>
      <c r="AL178" s="627" t="s">
        <v>269</v>
      </c>
      <c r="AN178" s="102"/>
      <c r="AO178" s="625" t="s">
        <v>1092</v>
      </c>
      <c r="AP178" s="625" t="s">
        <v>1093</v>
      </c>
      <c r="AQ178" s="625" t="s">
        <v>1094</v>
      </c>
      <c r="AR178" s="625" t="s">
        <v>1095</v>
      </c>
      <c r="AS178" s="625" t="s">
        <v>1096</v>
      </c>
      <c r="AT178" s="627" t="s">
        <v>269</v>
      </c>
      <c r="AU178" s="102"/>
      <c r="AV178" s="625" t="s">
        <v>1092</v>
      </c>
      <c r="AW178" s="625" t="s">
        <v>1093</v>
      </c>
      <c r="AX178" s="625" t="s">
        <v>1094</v>
      </c>
      <c r="AY178" s="625" t="s">
        <v>1095</v>
      </c>
      <c r="AZ178" s="625" t="s">
        <v>1096</v>
      </c>
      <c r="BA178" s="627" t="s">
        <v>269</v>
      </c>
      <c r="BC178" s="102"/>
      <c r="BD178" s="625" t="s">
        <v>1092</v>
      </c>
      <c r="BE178" s="625" t="s">
        <v>1093</v>
      </c>
      <c r="BF178" s="625" t="s">
        <v>1094</v>
      </c>
      <c r="BG178" s="625" t="s">
        <v>1095</v>
      </c>
      <c r="BH178" s="625" t="s">
        <v>1096</v>
      </c>
      <c r="BI178" s="627" t="s">
        <v>269</v>
      </c>
      <c r="BJ178" s="102"/>
      <c r="BK178" s="625" t="s">
        <v>1092</v>
      </c>
      <c r="BL178" s="625" t="s">
        <v>1093</v>
      </c>
      <c r="BM178" s="625" t="s">
        <v>1094</v>
      </c>
      <c r="BN178" s="625" t="s">
        <v>1095</v>
      </c>
      <c r="BO178" s="625" t="s">
        <v>1096</v>
      </c>
      <c r="BP178" s="627" t="s">
        <v>269</v>
      </c>
      <c r="BR178" s="102"/>
      <c r="BS178" s="669" t="s">
        <v>1092</v>
      </c>
      <c r="BT178" s="669" t="s">
        <v>1093</v>
      </c>
      <c r="BU178" s="669" t="s">
        <v>1094</v>
      </c>
      <c r="BV178" s="669" t="s">
        <v>1095</v>
      </c>
      <c r="BW178" s="669" t="s">
        <v>1096</v>
      </c>
      <c r="BX178" s="141" t="s">
        <v>269</v>
      </c>
    </row>
    <row r="179" spans="2:76" x14ac:dyDescent="0.25">
      <c r="B179" s="628" t="s">
        <v>844</v>
      </c>
      <c r="C179" s="669" t="s">
        <v>231</v>
      </c>
      <c r="D179" s="669" t="s">
        <v>231</v>
      </c>
      <c r="E179" s="669" t="s">
        <v>231</v>
      </c>
      <c r="F179" s="669" t="s">
        <v>231</v>
      </c>
      <c r="G179" s="669" t="s">
        <v>231</v>
      </c>
      <c r="H179" s="670" t="s">
        <v>231</v>
      </c>
      <c r="J179" s="628" t="s">
        <v>844</v>
      </c>
      <c r="K179" s="625" t="s">
        <v>231</v>
      </c>
      <c r="L179" s="625" t="s">
        <v>231</v>
      </c>
      <c r="M179" s="625" t="s">
        <v>231</v>
      </c>
      <c r="N179" s="625" t="s">
        <v>231</v>
      </c>
      <c r="O179" s="625" t="s">
        <v>231</v>
      </c>
      <c r="P179" s="626" t="s">
        <v>231</v>
      </c>
      <c r="Q179" s="628"/>
      <c r="R179" s="625" t="s">
        <v>231</v>
      </c>
      <c r="S179" s="625" t="s">
        <v>231</v>
      </c>
      <c r="T179" s="625" t="s">
        <v>231</v>
      </c>
      <c r="U179" s="625" t="s">
        <v>231</v>
      </c>
      <c r="V179" s="625" t="s">
        <v>231</v>
      </c>
      <c r="W179" s="626" t="s">
        <v>231</v>
      </c>
      <c r="Y179" s="628" t="s">
        <v>844</v>
      </c>
      <c r="Z179" s="625" t="s">
        <v>231</v>
      </c>
      <c r="AA179" s="625" t="s">
        <v>231</v>
      </c>
      <c r="AB179" s="625" t="s">
        <v>231</v>
      </c>
      <c r="AC179" s="625" t="s">
        <v>231</v>
      </c>
      <c r="AD179" s="625" t="s">
        <v>231</v>
      </c>
      <c r="AE179" s="626" t="s">
        <v>231</v>
      </c>
      <c r="AF179" s="628"/>
      <c r="AG179" s="625" t="s">
        <v>231</v>
      </c>
      <c r="AH179" s="625" t="s">
        <v>231</v>
      </c>
      <c r="AI179" s="625" t="s">
        <v>231</v>
      </c>
      <c r="AJ179" s="625" t="s">
        <v>231</v>
      </c>
      <c r="AK179" s="625" t="s">
        <v>231</v>
      </c>
      <c r="AL179" s="626" t="s">
        <v>231</v>
      </c>
      <c r="AN179" s="628" t="s">
        <v>844</v>
      </c>
      <c r="AO179" s="625" t="s">
        <v>231</v>
      </c>
      <c r="AP179" s="625" t="s">
        <v>231</v>
      </c>
      <c r="AQ179" s="625" t="s">
        <v>231</v>
      </c>
      <c r="AR179" s="625" t="s">
        <v>231</v>
      </c>
      <c r="AS179" s="625" t="s">
        <v>231</v>
      </c>
      <c r="AT179" s="626" t="s">
        <v>231</v>
      </c>
      <c r="AU179" s="628"/>
      <c r="AV179" s="625" t="s">
        <v>231</v>
      </c>
      <c r="AW179" s="625" t="s">
        <v>231</v>
      </c>
      <c r="AX179" s="625" t="s">
        <v>231</v>
      </c>
      <c r="AY179" s="625" t="s">
        <v>231</v>
      </c>
      <c r="AZ179" s="625" t="s">
        <v>231</v>
      </c>
      <c r="BA179" s="626" t="s">
        <v>231</v>
      </c>
      <c r="BC179" s="628" t="s">
        <v>844</v>
      </c>
      <c r="BD179" s="625" t="s">
        <v>231</v>
      </c>
      <c r="BE179" s="625" t="s">
        <v>231</v>
      </c>
      <c r="BF179" s="625" t="s">
        <v>231</v>
      </c>
      <c r="BG179" s="625" t="s">
        <v>231</v>
      </c>
      <c r="BH179" s="625" t="s">
        <v>231</v>
      </c>
      <c r="BI179" s="626" t="s">
        <v>231</v>
      </c>
      <c r="BJ179" s="628"/>
      <c r="BK179" s="625" t="s">
        <v>231</v>
      </c>
      <c r="BL179" s="625" t="s">
        <v>231</v>
      </c>
      <c r="BM179" s="625" t="s">
        <v>231</v>
      </c>
      <c r="BN179" s="625" t="s">
        <v>231</v>
      </c>
      <c r="BO179" s="625" t="s">
        <v>231</v>
      </c>
      <c r="BP179" s="626" t="s">
        <v>231</v>
      </c>
      <c r="BR179" s="628" t="s">
        <v>844</v>
      </c>
      <c r="BS179" s="669" t="s">
        <v>231</v>
      </c>
      <c r="BT179" s="669" t="s">
        <v>231</v>
      </c>
      <c r="BU179" s="669" t="s">
        <v>231</v>
      </c>
      <c r="BV179" s="669" t="s">
        <v>231</v>
      </c>
      <c r="BW179" s="669" t="s">
        <v>231</v>
      </c>
      <c r="BX179" s="670" t="s">
        <v>231</v>
      </c>
    </row>
    <row r="180" spans="2:76" x14ac:dyDescent="0.25">
      <c r="B180" s="616" t="s">
        <v>847</v>
      </c>
      <c r="C180" s="614">
        <f t="shared" ref="C180:H184" si="50">K180+Z180+AO180</f>
        <v>0</v>
      </c>
      <c r="D180" s="614">
        <f t="shared" si="50"/>
        <v>0</v>
      </c>
      <c r="E180" s="614">
        <f t="shared" si="50"/>
        <v>0</v>
      </c>
      <c r="F180" s="614">
        <f t="shared" si="50"/>
        <v>0</v>
      </c>
      <c r="G180" s="614">
        <f t="shared" si="50"/>
        <v>0</v>
      </c>
      <c r="H180" s="614">
        <f t="shared" si="50"/>
        <v>0</v>
      </c>
      <c r="J180" s="616" t="s">
        <v>847</v>
      </c>
      <c r="K180" s="614">
        <f>Ielas!T976</f>
        <v>0</v>
      </c>
      <c r="L180" s="614">
        <f>Ielas!U976</f>
        <v>0</v>
      </c>
      <c r="M180" s="614">
        <f>Ielas!V976</f>
        <v>0</v>
      </c>
      <c r="N180" s="614">
        <f>Ielas!W976</f>
        <v>0</v>
      </c>
      <c r="O180" s="614">
        <f>Ielas!X976</f>
        <v>0</v>
      </c>
      <c r="P180" s="614">
        <f>Ielas!Y976</f>
        <v>0</v>
      </c>
      <c r="Q180" s="616" t="s">
        <v>847</v>
      </c>
      <c r="R180" s="614">
        <f>Ielas!AA976</f>
        <v>0</v>
      </c>
      <c r="S180" s="614">
        <f>Ielas!AB976</f>
        <v>0</v>
      </c>
      <c r="T180" s="614">
        <f>Ielas!AC976</f>
        <v>0</v>
      </c>
      <c r="U180" s="614">
        <f>Ielas!AD976</f>
        <v>0</v>
      </c>
      <c r="V180" s="614">
        <f>Ielas!AE976</f>
        <v>0</v>
      </c>
      <c r="W180" s="614">
        <f>Ielas!AF976</f>
        <v>0</v>
      </c>
      <c r="Y180" s="616" t="s">
        <v>847</v>
      </c>
      <c r="Z180" s="614"/>
      <c r="AA180" s="614"/>
      <c r="AB180" s="614"/>
      <c r="AC180" s="614"/>
      <c r="AD180" s="614"/>
      <c r="AE180" s="614"/>
      <c r="AF180" s="616" t="s">
        <v>847</v>
      </c>
      <c r="AG180" s="614"/>
      <c r="AH180" s="614"/>
      <c r="AI180" s="614"/>
      <c r="AJ180" s="614"/>
      <c r="AK180" s="614"/>
      <c r="AL180" s="614"/>
      <c r="AN180" s="616" t="s">
        <v>847</v>
      </c>
      <c r="AO180" s="614"/>
      <c r="AP180" s="614"/>
      <c r="AQ180" s="614"/>
      <c r="AR180" s="614"/>
      <c r="AS180" s="614"/>
      <c r="AT180" s="614"/>
      <c r="AU180" s="616" t="s">
        <v>847</v>
      </c>
      <c r="AV180" s="614"/>
      <c r="AW180" s="614"/>
      <c r="AX180" s="614"/>
      <c r="AY180" s="614"/>
      <c r="AZ180" s="614"/>
      <c r="BA180" s="614"/>
      <c r="BC180" s="616" t="s">
        <v>847</v>
      </c>
      <c r="BD180" s="614"/>
      <c r="BE180" s="614"/>
      <c r="BF180" s="614"/>
      <c r="BG180" s="614"/>
      <c r="BH180" s="614"/>
      <c r="BI180" s="614"/>
      <c r="BJ180" s="616" t="s">
        <v>847</v>
      </c>
      <c r="BK180" s="614"/>
      <c r="BL180" s="614"/>
      <c r="BM180" s="614"/>
      <c r="BN180" s="614"/>
      <c r="BO180" s="614"/>
      <c r="BP180" s="614"/>
      <c r="BR180" s="616" t="s">
        <v>847</v>
      </c>
      <c r="BS180" s="614">
        <f t="shared" ref="BS180:BX184" si="51">C180-R180-AG180-AV180</f>
        <v>0</v>
      </c>
      <c r="BT180" s="614">
        <f t="shared" si="51"/>
        <v>0</v>
      </c>
      <c r="BU180" s="614">
        <f t="shared" si="51"/>
        <v>0</v>
      </c>
      <c r="BV180" s="614">
        <f t="shared" si="51"/>
        <v>0</v>
      </c>
      <c r="BW180" s="614">
        <f t="shared" si="51"/>
        <v>0</v>
      </c>
      <c r="BX180" s="614">
        <f t="shared" si="51"/>
        <v>0</v>
      </c>
    </row>
    <row r="181" spans="2:76" x14ac:dyDescent="0.25">
      <c r="B181" s="617" t="s">
        <v>848</v>
      </c>
      <c r="C181" s="614">
        <f t="shared" si="50"/>
        <v>0</v>
      </c>
      <c r="D181" s="614">
        <f t="shared" si="50"/>
        <v>0</v>
      </c>
      <c r="E181" s="614">
        <f t="shared" si="50"/>
        <v>0</v>
      </c>
      <c r="F181" s="614">
        <f t="shared" si="50"/>
        <v>0</v>
      </c>
      <c r="G181" s="614">
        <f t="shared" si="50"/>
        <v>0</v>
      </c>
      <c r="H181" s="614">
        <f t="shared" si="50"/>
        <v>0</v>
      </c>
      <c r="J181" s="617" t="s">
        <v>848</v>
      </c>
      <c r="K181" s="614">
        <f>Ielas!T977</f>
        <v>0</v>
      </c>
      <c r="L181" s="614">
        <f>Ielas!U977</f>
        <v>0</v>
      </c>
      <c r="M181" s="614">
        <f>Ielas!V977</f>
        <v>0</v>
      </c>
      <c r="N181" s="614">
        <f>Ielas!W977</f>
        <v>0</v>
      </c>
      <c r="O181" s="614">
        <f>Ielas!X977</f>
        <v>0</v>
      </c>
      <c r="P181" s="614">
        <f>Ielas!Y977</f>
        <v>0</v>
      </c>
      <c r="Q181" s="617" t="s">
        <v>848</v>
      </c>
      <c r="R181" s="614">
        <f>Ielas!AA977</f>
        <v>0</v>
      </c>
      <c r="S181" s="614">
        <f>Ielas!AB977</f>
        <v>0</v>
      </c>
      <c r="T181" s="614">
        <f>Ielas!AC977</f>
        <v>0</v>
      </c>
      <c r="U181" s="614">
        <f>Ielas!AD977</f>
        <v>0</v>
      </c>
      <c r="V181" s="614">
        <f>Ielas!AE977</f>
        <v>0</v>
      </c>
      <c r="W181" s="614">
        <f>Ielas!AF977</f>
        <v>0</v>
      </c>
      <c r="Y181" s="617" t="s">
        <v>848</v>
      </c>
      <c r="Z181" s="614"/>
      <c r="AA181" s="614"/>
      <c r="AB181" s="614"/>
      <c r="AC181" s="614"/>
      <c r="AD181" s="614"/>
      <c r="AE181" s="614"/>
      <c r="AF181" s="617" t="s">
        <v>848</v>
      </c>
      <c r="AG181" s="614"/>
      <c r="AH181" s="614"/>
      <c r="AI181" s="614"/>
      <c r="AJ181" s="614"/>
      <c r="AK181" s="614"/>
      <c r="AL181" s="614"/>
      <c r="AN181" s="617" t="s">
        <v>848</v>
      </c>
      <c r="AO181" s="614"/>
      <c r="AP181" s="614"/>
      <c r="AQ181" s="614"/>
      <c r="AR181" s="614"/>
      <c r="AS181" s="614"/>
      <c r="AT181" s="614"/>
      <c r="AU181" s="617" t="s">
        <v>848</v>
      </c>
      <c r="AV181" s="614"/>
      <c r="AW181" s="614"/>
      <c r="AX181" s="614"/>
      <c r="AY181" s="614"/>
      <c r="AZ181" s="614"/>
      <c r="BA181" s="614"/>
      <c r="BC181" s="617" t="s">
        <v>848</v>
      </c>
      <c r="BD181" s="614"/>
      <c r="BE181" s="614"/>
      <c r="BF181" s="614"/>
      <c r="BG181" s="614"/>
      <c r="BH181" s="614"/>
      <c r="BI181" s="614"/>
      <c r="BJ181" s="617" t="s">
        <v>848</v>
      </c>
      <c r="BK181" s="614"/>
      <c r="BL181" s="614"/>
      <c r="BM181" s="614"/>
      <c r="BN181" s="614"/>
      <c r="BO181" s="614"/>
      <c r="BP181" s="614"/>
      <c r="BR181" s="617" t="s">
        <v>848</v>
      </c>
      <c r="BS181" s="614">
        <f t="shared" si="51"/>
        <v>0</v>
      </c>
      <c r="BT181" s="614">
        <f t="shared" si="51"/>
        <v>0</v>
      </c>
      <c r="BU181" s="614">
        <f t="shared" si="51"/>
        <v>0</v>
      </c>
      <c r="BV181" s="614">
        <f t="shared" si="51"/>
        <v>0</v>
      </c>
      <c r="BW181" s="614">
        <f t="shared" si="51"/>
        <v>0</v>
      </c>
      <c r="BX181" s="614">
        <f t="shared" si="51"/>
        <v>0</v>
      </c>
    </row>
    <row r="182" spans="2:76" x14ac:dyDescent="0.25">
      <c r="B182" s="615" t="s">
        <v>845</v>
      </c>
      <c r="C182" s="614">
        <f t="shared" si="50"/>
        <v>0</v>
      </c>
      <c r="D182" s="614">
        <f t="shared" si="50"/>
        <v>0</v>
      </c>
      <c r="E182" s="614">
        <f t="shared" si="50"/>
        <v>0</v>
      </c>
      <c r="F182" s="614">
        <f t="shared" si="50"/>
        <v>0</v>
      </c>
      <c r="G182" s="614">
        <f t="shared" si="50"/>
        <v>0</v>
      </c>
      <c r="H182" s="614">
        <f t="shared" si="50"/>
        <v>0</v>
      </c>
      <c r="J182" s="615" t="s">
        <v>845</v>
      </c>
      <c r="K182" s="614">
        <f>Ielas!T978</f>
        <v>0</v>
      </c>
      <c r="L182" s="614">
        <f>Ielas!U978</f>
        <v>0</v>
      </c>
      <c r="M182" s="614">
        <f>Ielas!V978</f>
        <v>0</v>
      </c>
      <c r="N182" s="614">
        <f>Ielas!W978</f>
        <v>0</v>
      </c>
      <c r="O182" s="614">
        <f>Ielas!X978</f>
        <v>0</v>
      </c>
      <c r="P182" s="614">
        <f>Ielas!Y978</f>
        <v>0</v>
      </c>
      <c r="Q182" s="615" t="s">
        <v>845</v>
      </c>
      <c r="R182" s="614">
        <f>Ielas!AA978</f>
        <v>0</v>
      </c>
      <c r="S182" s="614">
        <f>Ielas!AB978</f>
        <v>0</v>
      </c>
      <c r="T182" s="614">
        <f>Ielas!AC978</f>
        <v>0</v>
      </c>
      <c r="U182" s="614">
        <f>Ielas!AD978</f>
        <v>0</v>
      </c>
      <c r="V182" s="614">
        <f>Ielas!AE978</f>
        <v>0</v>
      </c>
      <c r="W182" s="614">
        <f>Ielas!AF978</f>
        <v>0</v>
      </c>
      <c r="Y182" s="615" t="s">
        <v>845</v>
      </c>
      <c r="Z182" s="614"/>
      <c r="AA182" s="614"/>
      <c r="AB182" s="614"/>
      <c r="AC182" s="614"/>
      <c r="AD182" s="614"/>
      <c r="AE182" s="614"/>
      <c r="AF182" s="615" t="s">
        <v>845</v>
      </c>
      <c r="AG182" s="614"/>
      <c r="AH182" s="614"/>
      <c r="AI182" s="614"/>
      <c r="AJ182" s="614"/>
      <c r="AK182" s="614"/>
      <c r="AL182" s="614"/>
      <c r="AN182" s="615" t="s">
        <v>845</v>
      </c>
      <c r="AO182" s="614"/>
      <c r="AP182" s="614"/>
      <c r="AQ182" s="614"/>
      <c r="AR182" s="614"/>
      <c r="AS182" s="614"/>
      <c r="AT182" s="614"/>
      <c r="AU182" s="615" t="s">
        <v>845</v>
      </c>
      <c r="AV182" s="614"/>
      <c r="AW182" s="614"/>
      <c r="AX182" s="614"/>
      <c r="AY182" s="614"/>
      <c r="AZ182" s="614"/>
      <c r="BA182" s="614"/>
      <c r="BC182" s="615" t="s">
        <v>845</v>
      </c>
      <c r="BD182" s="614"/>
      <c r="BE182" s="614"/>
      <c r="BF182" s="614"/>
      <c r="BG182" s="614"/>
      <c r="BH182" s="614"/>
      <c r="BI182" s="614"/>
      <c r="BJ182" s="615" t="s">
        <v>845</v>
      </c>
      <c r="BK182" s="614"/>
      <c r="BL182" s="614"/>
      <c r="BM182" s="614"/>
      <c r="BN182" s="614"/>
      <c r="BO182" s="614"/>
      <c r="BP182" s="614"/>
      <c r="BR182" s="615" t="s">
        <v>845</v>
      </c>
      <c r="BS182" s="614">
        <f t="shared" si="51"/>
        <v>0</v>
      </c>
      <c r="BT182" s="614">
        <f t="shared" si="51"/>
        <v>0</v>
      </c>
      <c r="BU182" s="614">
        <f t="shared" si="51"/>
        <v>0</v>
      </c>
      <c r="BV182" s="614">
        <f t="shared" si="51"/>
        <v>0</v>
      </c>
      <c r="BW182" s="614">
        <f t="shared" si="51"/>
        <v>0</v>
      </c>
      <c r="BX182" s="614">
        <f t="shared" si="51"/>
        <v>0</v>
      </c>
    </row>
    <row r="183" spans="2:76" x14ac:dyDescent="0.25">
      <c r="B183" s="616" t="s">
        <v>846</v>
      </c>
      <c r="C183" s="614">
        <f t="shared" si="50"/>
        <v>1.732</v>
      </c>
      <c r="D183" s="614">
        <f t="shared" si="50"/>
        <v>0</v>
      </c>
      <c r="E183" s="614">
        <f t="shared" si="50"/>
        <v>0</v>
      </c>
      <c r="F183" s="614">
        <f t="shared" si="50"/>
        <v>1.7850000000000001</v>
      </c>
      <c r="G183" s="614">
        <f t="shared" si="50"/>
        <v>0.27999999999999997</v>
      </c>
      <c r="H183" s="614">
        <f t="shared" si="50"/>
        <v>3.7970000000000002</v>
      </c>
      <c r="J183" s="616" t="s">
        <v>846</v>
      </c>
      <c r="K183" s="614">
        <f>Ielas!T979</f>
        <v>1.732</v>
      </c>
      <c r="L183" s="614">
        <f>Ielas!U979</f>
        <v>0</v>
      </c>
      <c r="M183" s="614">
        <f>Ielas!V979</f>
        <v>0</v>
      </c>
      <c r="N183" s="614">
        <f>Ielas!W979</f>
        <v>1.7850000000000001</v>
      </c>
      <c r="O183" s="614">
        <f>Ielas!X979</f>
        <v>0.27999999999999997</v>
      </c>
      <c r="P183" s="614">
        <f>Ielas!Y979</f>
        <v>3.7970000000000002</v>
      </c>
      <c r="Q183" s="616" t="s">
        <v>846</v>
      </c>
      <c r="R183" s="614">
        <f>Ielas!AA979</f>
        <v>0</v>
      </c>
      <c r="S183" s="614">
        <f>Ielas!AB979</f>
        <v>0</v>
      </c>
      <c r="T183" s="614">
        <f>Ielas!AC979</f>
        <v>0</v>
      </c>
      <c r="U183" s="614">
        <f>Ielas!AD979</f>
        <v>0</v>
      </c>
      <c r="V183" s="614">
        <f>Ielas!AE979</f>
        <v>0</v>
      </c>
      <c r="W183" s="614">
        <f>Ielas!AF979</f>
        <v>0</v>
      </c>
      <c r="Y183" s="616" t="s">
        <v>846</v>
      </c>
      <c r="Z183" s="614"/>
      <c r="AA183" s="614"/>
      <c r="AB183" s="614"/>
      <c r="AC183" s="614"/>
      <c r="AD183" s="614"/>
      <c r="AE183" s="614"/>
      <c r="AF183" s="616" t="s">
        <v>846</v>
      </c>
      <c r="AG183" s="614"/>
      <c r="AH183" s="614"/>
      <c r="AI183" s="614"/>
      <c r="AJ183" s="614"/>
      <c r="AK183" s="614"/>
      <c r="AL183" s="614"/>
      <c r="AN183" s="616" t="s">
        <v>846</v>
      </c>
      <c r="AO183" s="614"/>
      <c r="AP183" s="614"/>
      <c r="AQ183" s="614"/>
      <c r="AR183" s="614"/>
      <c r="AS183" s="614"/>
      <c r="AT183" s="614"/>
      <c r="AU183" s="616" t="s">
        <v>846</v>
      </c>
      <c r="AV183" s="614"/>
      <c r="AW183" s="614"/>
      <c r="AX183" s="614"/>
      <c r="AY183" s="614"/>
      <c r="AZ183" s="614"/>
      <c r="BA183" s="614"/>
      <c r="BC183" s="616" t="s">
        <v>846</v>
      </c>
      <c r="BD183" s="614"/>
      <c r="BE183" s="614"/>
      <c r="BF183" s="614"/>
      <c r="BG183" s="614"/>
      <c r="BH183" s="614"/>
      <c r="BI183" s="614"/>
      <c r="BJ183" s="616" t="s">
        <v>846</v>
      </c>
      <c r="BK183" s="614"/>
      <c r="BL183" s="614"/>
      <c r="BM183" s="614"/>
      <c r="BN183" s="614"/>
      <c r="BO183" s="614"/>
      <c r="BP183" s="614"/>
      <c r="BR183" s="616" t="s">
        <v>846</v>
      </c>
      <c r="BS183" s="614">
        <f t="shared" si="51"/>
        <v>1.732</v>
      </c>
      <c r="BT183" s="614">
        <f t="shared" si="51"/>
        <v>0</v>
      </c>
      <c r="BU183" s="614">
        <f t="shared" si="51"/>
        <v>0</v>
      </c>
      <c r="BV183" s="614">
        <f t="shared" si="51"/>
        <v>1.7850000000000001</v>
      </c>
      <c r="BW183" s="614">
        <f t="shared" si="51"/>
        <v>0.27999999999999997</v>
      </c>
      <c r="BX183" s="614">
        <f t="shared" si="51"/>
        <v>3.7970000000000002</v>
      </c>
    </row>
    <row r="184" spans="2:76" x14ac:dyDescent="0.25">
      <c r="C184" s="614">
        <f t="shared" si="50"/>
        <v>1.732</v>
      </c>
      <c r="D184" s="614">
        <f t="shared" si="50"/>
        <v>0</v>
      </c>
      <c r="E184" s="614">
        <f t="shared" si="50"/>
        <v>0</v>
      </c>
      <c r="F184" s="614">
        <f t="shared" si="50"/>
        <v>1.7850000000000001</v>
      </c>
      <c r="G184" s="614">
        <f t="shared" si="50"/>
        <v>0.27999999999999997</v>
      </c>
      <c r="H184" s="614">
        <f t="shared" si="50"/>
        <v>3.7970000000000002</v>
      </c>
      <c r="K184" s="614">
        <f>Ielas!T980</f>
        <v>1.732</v>
      </c>
      <c r="L184" s="614">
        <f>Ielas!U980</f>
        <v>0</v>
      </c>
      <c r="M184" s="614">
        <f>Ielas!V980</f>
        <v>0</v>
      </c>
      <c r="N184" s="614">
        <f>Ielas!W980</f>
        <v>1.7850000000000001</v>
      </c>
      <c r="O184" s="614">
        <f>Ielas!X980</f>
        <v>0.27999999999999997</v>
      </c>
      <c r="P184" s="614">
        <f>Ielas!Y980</f>
        <v>3.7970000000000002</v>
      </c>
      <c r="R184" s="614">
        <f>Ielas!AA980</f>
        <v>0</v>
      </c>
      <c r="S184" s="614">
        <f>Ielas!AB980</f>
        <v>0</v>
      </c>
      <c r="T184" s="614">
        <f>Ielas!AC980</f>
        <v>0</v>
      </c>
      <c r="U184" s="614">
        <f>Ielas!AD980</f>
        <v>0</v>
      </c>
      <c r="V184" s="614">
        <f>Ielas!AE980</f>
        <v>0</v>
      </c>
      <c r="W184" s="614">
        <f>Ielas!AF980</f>
        <v>0</v>
      </c>
      <c r="Z184" s="614"/>
      <c r="AA184" s="614"/>
      <c r="AB184" s="614"/>
      <c r="AC184" s="614"/>
      <c r="AD184" s="614"/>
      <c r="AE184" s="614"/>
      <c r="AG184" s="614"/>
      <c r="AH184" s="614"/>
      <c r="AI184" s="614"/>
      <c r="AJ184" s="614"/>
      <c r="AK184" s="614"/>
      <c r="AL184" s="614"/>
      <c r="AO184" s="614"/>
      <c r="AP184" s="614"/>
      <c r="AQ184" s="614"/>
      <c r="AR184" s="614"/>
      <c r="AS184" s="614"/>
      <c r="AT184" s="614"/>
      <c r="AV184" s="614"/>
      <c r="AW184" s="614"/>
      <c r="AX184" s="614"/>
      <c r="AY184" s="614"/>
      <c r="AZ184" s="614"/>
      <c r="BA184" s="614"/>
      <c r="BD184" s="614"/>
      <c r="BE184" s="614"/>
      <c r="BF184" s="614"/>
      <c r="BG184" s="614"/>
      <c r="BH184" s="614"/>
      <c r="BI184" s="614"/>
      <c r="BK184" s="614"/>
      <c r="BL184" s="614"/>
      <c r="BM184" s="614"/>
      <c r="BN184" s="614"/>
      <c r="BO184" s="614"/>
      <c r="BP184" s="614"/>
      <c r="BS184" s="614">
        <f t="shared" si="51"/>
        <v>1.732</v>
      </c>
      <c r="BT184" s="614">
        <f t="shared" si="51"/>
        <v>0</v>
      </c>
      <c r="BU184" s="614">
        <f t="shared" si="51"/>
        <v>0</v>
      </c>
      <c r="BV184" s="614">
        <f t="shared" si="51"/>
        <v>1.7850000000000001</v>
      </c>
      <c r="BW184" s="614">
        <f t="shared" si="51"/>
        <v>0.27999999999999997</v>
      </c>
      <c r="BX184" s="614">
        <f t="shared" si="51"/>
        <v>3.7970000000000002</v>
      </c>
    </row>
    <row r="185" spans="2:76" x14ac:dyDescent="0.25">
      <c r="C185" s="667"/>
      <c r="D185" s="667"/>
      <c r="E185" s="667"/>
      <c r="F185" s="667"/>
      <c r="G185" s="667"/>
      <c r="H185" s="667"/>
      <c r="BS185" s="667"/>
      <c r="BT185" s="667"/>
      <c r="BU185" s="667"/>
      <c r="BV185" s="667"/>
      <c r="BW185" s="667"/>
      <c r="BX185" s="667"/>
    </row>
    <row r="186" spans="2:76" x14ac:dyDescent="0.25">
      <c r="B186" t="s">
        <v>1203</v>
      </c>
      <c r="C186" s="667"/>
      <c r="D186" s="667"/>
      <c r="E186" s="667"/>
      <c r="F186" s="667"/>
      <c r="G186" s="667"/>
      <c r="H186" s="667"/>
      <c r="K186" t="s">
        <v>1204</v>
      </c>
      <c r="R186" t="s">
        <v>1141</v>
      </c>
      <c r="AG186" t="s">
        <v>1141</v>
      </c>
      <c r="AV186" t="s">
        <v>1141</v>
      </c>
      <c r="BK186" t="s">
        <v>1141</v>
      </c>
      <c r="BR186" t="s">
        <v>1205</v>
      </c>
      <c r="BS186" s="667"/>
      <c r="BT186" s="667"/>
      <c r="BU186" s="667"/>
      <c r="BV186" s="667"/>
      <c r="BW186" s="667"/>
      <c r="BX186" s="667"/>
    </row>
    <row r="187" spans="2:76" ht="23.25" x14ac:dyDescent="0.25">
      <c r="B187" s="102"/>
      <c r="C187" s="669" t="s">
        <v>1092</v>
      </c>
      <c r="D187" s="669" t="s">
        <v>1093</v>
      </c>
      <c r="E187" s="669" t="s">
        <v>1094</v>
      </c>
      <c r="F187" s="669" t="s">
        <v>1095</v>
      </c>
      <c r="G187" s="669" t="s">
        <v>1096</v>
      </c>
      <c r="H187" s="141" t="s">
        <v>269</v>
      </c>
      <c r="J187" s="102"/>
      <c r="K187" s="625" t="s">
        <v>1092</v>
      </c>
      <c r="L187" s="625" t="s">
        <v>1093</v>
      </c>
      <c r="M187" s="625" t="s">
        <v>1094</v>
      </c>
      <c r="N187" s="625" t="s">
        <v>1095</v>
      </c>
      <c r="O187" s="625" t="s">
        <v>1096</v>
      </c>
      <c r="P187" s="627" t="s">
        <v>269</v>
      </c>
      <c r="Q187" s="102"/>
      <c r="R187" s="625" t="s">
        <v>1092</v>
      </c>
      <c r="S187" s="625" t="s">
        <v>1093</v>
      </c>
      <c r="T187" s="625" t="s">
        <v>1094</v>
      </c>
      <c r="U187" s="625" t="s">
        <v>1095</v>
      </c>
      <c r="V187" s="625" t="s">
        <v>1096</v>
      </c>
      <c r="W187" s="627" t="s">
        <v>269</v>
      </c>
      <c r="Y187" s="102"/>
      <c r="Z187" s="625" t="s">
        <v>1092</v>
      </c>
      <c r="AA187" s="625" t="s">
        <v>1093</v>
      </c>
      <c r="AB187" s="625" t="s">
        <v>1094</v>
      </c>
      <c r="AC187" s="625" t="s">
        <v>1095</v>
      </c>
      <c r="AD187" s="625" t="s">
        <v>1096</v>
      </c>
      <c r="AE187" s="627" t="s">
        <v>269</v>
      </c>
      <c r="AF187" s="102"/>
      <c r="AG187" s="625" t="s">
        <v>1092</v>
      </c>
      <c r="AH187" s="625" t="s">
        <v>1093</v>
      </c>
      <c r="AI187" s="625" t="s">
        <v>1094</v>
      </c>
      <c r="AJ187" s="625" t="s">
        <v>1095</v>
      </c>
      <c r="AK187" s="625" t="s">
        <v>1096</v>
      </c>
      <c r="AL187" s="627" t="s">
        <v>269</v>
      </c>
      <c r="AN187" s="102"/>
      <c r="AO187" s="625" t="s">
        <v>1092</v>
      </c>
      <c r="AP187" s="625" t="s">
        <v>1093</v>
      </c>
      <c r="AQ187" s="625" t="s">
        <v>1094</v>
      </c>
      <c r="AR187" s="625" t="s">
        <v>1095</v>
      </c>
      <c r="AS187" s="625" t="s">
        <v>1096</v>
      </c>
      <c r="AT187" s="627" t="s">
        <v>269</v>
      </c>
      <c r="AU187" s="102"/>
      <c r="AV187" s="625" t="s">
        <v>1092</v>
      </c>
      <c r="AW187" s="625" t="s">
        <v>1093</v>
      </c>
      <c r="AX187" s="625" t="s">
        <v>1094</v>
      </c>
      <c r="AY187" s="625" t="s">
        <v>1095</v>
      </c>
      <c r="AZ187" s="625" t="s">
        <v>1096</v>
      </c>
      <c r="BA187" s="627" t="s">
        <v>269</v>
      </c>
      <c r="BC187" s="102"/>
      <c r="BD187" s="625" t="s">
        <v>1092</v>
      </c>
      <c r="BE187" s="625" t="s">
        <v>1093</v>
      </c>
      <c r="BF187" s="625" t="s">
        <v>1094</v>
      </c>
      <c r="BG187" s="625" t="s">
        <v>1095</v>
      </c>
      <c r="BH187" s="625" t="s">
        <v>1096</v>
      </c>
      <c r="BI187" s="627" t="s">
        <v>269</v>
      </c>
      <c r="BJ187" s="102"/>
      <c r="BK187" s="625" t="s">
        <v>1092</v>
      </c>
      <c r="BL187" s="625" t="s">
        <v>1093</v>
      </c>
      <c r="BM187" s="625" t="s">
        <v>1094</v>
      </c>
      <c r="BN187" s="625" t="s">
        <v>1095</v>
      </c>
      <c r="BO187" s="625" t="s">
        <v>1096</v>
      </c>
      <c r="BP187" s="627" t="s">
        <v>269</v>
      </c>
      <c r="BR187" s="102"/>
      <c r="BS187" s="669" t="s">
        <v>1092</v>
      </c>
      <c r="BT187" s="669" t="s">
        <v>1093</v>
      </c>
      <c r="BU187" s="669" t="s">
        <v>1094</v>
      </c>
      <c r="BV187" s="669" t="s">
        <v>1095</v>
      </c>
      <c r="BW187" s="669" t="s">
        <v>1096</v>
      </c>
      <c r="BX187" s="141" t="s">
        <v>269</v>
      </c>
    </row>
    <row r="188" spans="2:76" x14ac:dyDescent="0.25">
      <c r="B188" s="628" t="s">
        <v>844</v>
      </c>
      <c r="C188" s="669" t="s">
        <v>231</v>
      </c>
      <c r="D188" s="669" t="s">
        <v>231</v>
      </c>
      <c r="E188" s="669" t="s">
        <v>231</v>
      </c>
      <c r="F188" s="669" t="s">
        <v>231</v>
      </c>
      <c r="G188" s="669" t="s">
        <v>231</v>
      </c>
      <c r="H188" s="670" t="s">
        <v>231</v>
      </c>
      <c r="J188" s="628" t="s">
        <v>844</v>
      </c>
      <c r="K188" s="625" t="s">
        <v>231</v>
      </c>
      <c r="L188" s="625" t="s">
        <v>231</v>
      </c>
      <c r="M188" s="625" t="s">
        <v>231</v>
      </c>
      <c r="N188" s="625" t="s">
        <v>231</v>
      </c>
      <c r="O188" s="625" t="s">
        <v>231</v>
      </c>
      <c r="P188" s="626" t="s">
        <v>231</v>
      </c>
      <c r="Q188" s="628"/>
      <c r="R188" s="625" t="s">
        <v>231</v>
      </c>
      <c r="S188" s="625" t="s">
        <v>231</v>
      </c>
      <c r="T188" s="625" t="s">
        <v>231</v>
      </c>
      <c r="U188" s="625" t="s">
        <v>231</v>
      </c>
      <c r="V188" s="625" t="s">
        <v>231</v>
      </c>
      <c r="W188" s="626" t="s">
        <v>231</v>
      </c>
      <c r="Y188" s="628" t="s">
        <v>844</v>
      </c>
      <c r="Z188" s="625" t="s">
        <v>231</v>
      </c>
      <c r="AA188" s="625" t="s">
        <v>231</v>
      </c>
      <c r="AB188" s="625" t="s">
        <v>231</v>
      </c>
      <c r="AC188" s="625" t="s">
        <v>231</v>
      </c>
      <c r="AD188" s="625" t="s">
        <v>231</v>
      </c>
      <c r="AE188" s="626" t="s">
        <v>231</v>
      </c>
      <c r="AF188" s="628"/>
      <c r="AG188" s="625" t="s">
        <v>231</v>
      </c>
      <c r="AH188" s="625" t="s">
        <v>231</v>
      </c>
      <c r="AI188" s="625" t="s">
        <v>231</v>
      </c>
      <c r="AJ188" s="625" t="s">
        <v>231</v>
      </c>
      <c r="AK188" s="625" t="s">
        <v>231</v>
      </c>
      <c r="AL188" s="626" t="s">
        <v>231</v>
      </c>
      <c r="AN188" s="628" t="s">
        <v>844</v>
      </c>
      <c r="AO188" s="625" t="s">
        <v>231</v>
      </c>
      <c r="AP188" s="625" t="s">
        <v>231</v>
      </c>
      <c r="AQ188" s="625" t="s">
        <v>231</v>
      </c>
      <c r="AR188" s="625" t="s">
        <v>231</v>
      </c>
      <c r="AS188" s="625" t="s">
        <v>231</v>
      </c>
      <c r="AT188" s="626" t="s">
        <v>231</v>
      </c>
      <c r="AU188" s="628"/>
      <c r="AV188" s="625" t="s">
        <v>231</v>
      </c>
      <c r="AW188" s="625" t="s">
        <v>231</v>
      </c>
      <c r="AX188" s="625" t="s">
        <v>231</v>
      </c>
      <c r="AY188" s="625" t="s">
        <v>231</v>
      </c>
      <c r="AZ188" s="625" t="s">
        <v>231</v>
      </c>
      <c r="BA188" s="626" t="s">
        <v>231</v>
      </c>
      <c r="BC188" s="628" t="s">
        <v>844</v>
      </c>
      <c r="BD188" s="625" t="s">
        <v>231</v>
      </c>
      <c r="BE188" s="625" t="s">
        <v>231</v>
      </c>
      <c r="BF188" s="625" t="s">
        <v>231</v>
      </c>
      <c r="BG188" s="625" t="s">
        <v>231</v>
      </c>
      <c r="BH188" s="625" t="s">
        <v>231</v>
      </c>
      <c r="BI188" s="626" t="s">
        <v>231</v>
      </c>
      <c r="BJ188" s="628"/>
      <c r="BK188" s="625" t="s">
        <v>231</v>
      </c>
      <c r="BL188" s="625" t="s">
        <v>231</v>
      </c>
      <c r="BM188" s="625" t="s">
        <v>231</v>
      </c>
      <c r="BN188" s="625" t="s">
        <v>231</v>
      </c>
      <c r="BO188" s="625" t="s">
        <v>231</v>
      </c>
      <c r="BP188" s="626" t="s">
        <v>231</v>
      </c>
      <c r="BR188" s="628" t="s">
        <v>844</v>
      </c>
      <c r="BS188" s="669" t="s">
        <v>231</v>
      </c>
      <c r="BT188" s="669" t="s">
        <v>231</v>
      </c>
      <c r="BU188" s="669" t="s">
        <v>231</v>
      </c>
      <c r="BV188" s="669" t="s">
        <v>231</v>
      </c>
      <c r="BW188" s="669" t="s">
        <v>231</v>
      </c>
      <c r="BX188" s="670" t="s">
        <v>231</v>
      </c>
    </row>
    <row r="189" spans="2:76" x14ac:dyDescent="0.25">
      <c r="B189" s="616" t="s">
        <v>847</v>
      </c>
      <c r="C189" s="614">
        <f t="shared" ref="C189:H193" si="52">K189+Z189+AO189</f>
        <v>0</v>
      </c>
      <c r="D189" s="614">
        <f t="shared" si="52"/>
        <v>0</v>
      </c>
      <c r="E189" s="614">
        <f t="shared" si="52"/>
        <v>0</v>
      </c>
      <c r="F189" s="614">
        <f t="shared" si="52"/>
        <v>0</v>
      </c>
      <c r="G189" s="614">
        <f t="shared" si="52"/>
        <v>0</v>
      </c>
      <c r="H189" s="614">
        <f t="shared" si="52"/>
        <v>0</v>
      </c>
      <c r="J189" s="616" t="s">
        <v>847</v>
      </c>
      <c r="K189" s="614">
        <f>Ielas!T991</f>
        <v>0</v>
      </c>
      <c r="L189" s="614">
        <f>Ielas!U991</f>
        <v>0</v>
      </c>
      <c r="M189" s="614">
        <f>Ielas!V991</f>
        <v>0</v>
      </c>
      <c r="N189" s="614">
        <f>Ielas!W991</f>
        <v>0</v>
      </c>
      <c r="O189" s="614">
        <f>Ielas!X991</f>
        <v>0</v>
      </c>
      <c r="P189" s="614">
        <f>Ielas!Y991</f>
        <v>0</v>
      </c>
      <c r="Q189" s="616" t="s">
        <v>847</v>
      </c>
      <c r="R189" s="614">
        <f>Ielas!AA991</f>
        <v>0</v>
      </c>
      <c r="S189" s="614">
        <f>Ielas!AB991</f>
        <v>0</v>
      </c>
      <c r="T189" s="614">
        <f>Ielas!AC991</f>
        <v>0</v>
      </c>
      <c r="U189" s="614">
        <f>Ielas!AD991</f>
        <v>0</v>
      </c>
      <c r="V189" s="614">
        <f>Ielas!AE991</f>
        <v>0</v>
      </c>
      <c r="W189" s="614">
        <f>Ielas!AF991</f>
        <v>0</v>
      </c>
      <c r="Y189" s="616" t="s">
        <v>847</v>
      </c>
      <c r="Z189" s="614"/>
      <c r="AA189" s="614"/>
      <c r="AB189" s="614"/>
      <c r="AC189" s="614"/>
      <c r="AD189" s="614"/>
      <c r="AE189" s="614"/>
      <c r="AF189" s="616" t="s">
        <v>847</v>
      </c>
      <c r="AG189" s="614"/>
      <c r="AH189" s="614"/>
      <c r="AI189" s="614"/>
      <c r="AJ189" s="614"/>
      <c r="AK189" s="614"/>
      <c r="AL189" s="614"/>
      <c r="AN189" s="616" t="s">
        <v>847</v>
      </c>
      <c r="AO189" s="614"/>
      <c r="AP189" s="614"/>
      <c r="AQ189" s="614"/>
      <c r="AR189" s="614"/>
      <c r="AS189" s="614"/>
      <c r="AT189" s="614"/>
      <c r="AU189" s="616" t="s">
        <v>847</v>
      </c>
      <c r="AV189" s="614"/>
      <c r="AW189" s="614"/>
      <c r="AX189" s="614"/>
      <c r="AY189" s="614"/>
      <c r="AZ189" s="614"/>
      <c r="BA189" s="614"/>
      <c r="BC189" s="616" t="s">
        <v>847</v>
      </c>
      <c r="BD189" s="614"/>
      <c r="BE189" s="614"/>
      <c r="BF189" s="614"/>
      <c r="BG189" s="614"/>
      <c r="BH189" s="614"/>
      <c r="BI189" s="614"/>
      <c r="BJ189" s="616" t="s">
        <v>847</v>
      </c>
      <c r="BK189" s="614"/>
      <c r="BL189" s="614"/>
      <c r="BM189" s="614"/>
      <c r="BN189" s="614"/>
      <c r="BO189" s="614"/>
      <c r="BP189" s="614"/>
      <c r="BR189" s="616" t="s">
        <v>847</v>
      </c>
      <c r="BS189" s="614">
        <f t="shared" ref="BS189:BX193" si="53">C189-R189-AG189-AV189</f>
        <v>0</v>
      </c>
      <c r="BT189" s="614">
        <f t="shared" si="53"/>
        <v>0</v>
      </c>
      <c r="BU189" s="614">
        <f t="shared" si="53"/>
        <v>0</v>
      </c>
      <c r="BV189" s="614">
        <f t="shared" si="53"/>
        <v>0</v>
      </c>
      <c r="BW189" s="614">
        <f t="shared" si="53"/>
        <v>0</v>
      </c>
      <c r="BX189" s="614">
        <f t="shared" si="53"/>
        <v>0</v>
      </c>
    </row>
    <row r="190" spans="2:76" x14ac:dyDescent="0.25">
      <c r="B190" s="617" t="s">
        <v>848</v>
      </c>
      <c r="C190" s="614">
        <f t="shared" si="52"/>
        <v>0</v>
      </c>
      <c r="D190" s="614">
        <f t="shared" si="52"/>
        <v>0</v>
      </c>
      <c r="E190" s="614">
        <f t="shared" si="52"/>
        <v>0</v>
      </c>
      <c r="F190" s="614">
        <f t="shared" si="52"/>
        <v>0</v>
      </c>
      <c r="G190" s="614">
        <f t="shared" si="52"/>
        <v>0</v>
      </c>
      <c r="H190" s="614">
        <f t="shared" si="52"/>
        <v>0</v>
      </c>
      <c r="J190" s="617" t="s">
        <v>848</v>
      </c>
      <c r="K190" s="614">
        <f>Ielas!T992</f>
        <v>0</v>
      </c>
      <c r="L190" s="614">
        <f>Ielas!U992</f>
        <v>0</v>
      </c>
      <c r="M190" s="614">
        <f>Ielas!V992</f>
        <v>0</v>
      </c>
      <c r="N190" s="614">
        <f>Ielas!W992</f>
        <v>0</v>
      </c>
      <c r="O190" s="614">
        <f>Ielas!X992</f>
        <v>0</v>
      </c>
      <c r="P190" s="614">
        <f>Ielas!Y992</f>
        <v>0</v>
      </c>
      <c r="Q190" s="617" t="s">
        <v>848</v>
      </c>
      <c r="R190" s="614">
        <f>Ielas!AA992</f>
        <v>0</v>
      </c>
      <c r="S190" s="614">
        <f>Ielas!AB992</f>
        <v>0</v>
      </c>
      <c r="T190" s="614">
        <f>Ielas!AC992</f>
        <v>0</v>
      </c>
      <c r="U190" s="614">
        <f>Ielas!AD992</f>
        <v>0</v>
      </c>
      <c r="V190" s="614">
        <f>Ielas!AE992</f>
        <v>0</v>
      </c>
      <c r="W190" s="614">
        <f>Ielas!AF992</f>
        <v>0</v>
      </c>
      <c r="Y190" s="617" t="s">
        <v>848</v>
      </c>
      <c r="Z190" s="614"/>
      <c r="AA190" s="614"/>
      <c r="AB190" s="614"/>
      <c r="AC190" s="614"/>
      <c r="AD190" s="614"/>
      <c r="AE190" s="614"/>
      <c r="AF190" s="617" t="s">
        <v>848</v>
      </c>
      <c r="AG190" s="614"/>
      <c r="AH190" s="614"/>
      <c r="AI190" s="614"/>
      <c r="AJ190" s="614"/>
      <c r="AK190" s="614"/>
      <c r="AL190" s="614"/>
      <c r="AN190" s="617" t="s">
        <v>848</v>
      </c>
      <c r="AO190" s="614"/>
      <c r="AP190" s="614"/>
      <c r="AQ190" s="614"/>
      <c r="AR190" s="614"/>
      <c r="AS190" s="614"/>
      <c r="AT190" s="614"/>
      <c r="AU190" s="617" t="s">
        <v>848</v>
      </c>
      <c r="AV190" s="614"/>
      <c r="AW190" s="614"/>
      <c r="AX190" s="614"/>
      <c r="AY190" s="614"/>
      <c r="AZ190" s="614"/>
      <c r="BA190" s="614"/>
      <c r="BC190" s="617" t="s">
        <v>848</v>
      </c>
      <c r="BD190" s="614"/>
      <c r="BE190" s="614"/>
      <c r="BF190" s="614"/>
      <c r="BG190" s="614"/>
      <c r="BH190" s="614"/>
      <c r="BI190" s="614"/>
      <c r="BJ190" s="617" t="s">
        <v>848</v>
      </c>
      <c r="BK190" s="614"/>
      <c r="BL190" s="614"/>
      <c r="BM190" s="614"/>
      <c r="BN190" s="614"/>
      <c r="BO190" s="614"/>
      <c r="BP190" s="614"/>
      <c r="BR190" s="617" t="s">
        <v>848</v>
      </c>
      <c r="BS190" s="614">
        <f t="shared" si="53"/>
        <v>0</v>
      </c>
      <c r="BT190" s="614">
        <f t="shared" si="53"/>
        <v>0</v>
      </c>
      <c r="BU190" s="614">
        <f t="shared" si="53"/>
        <v>0</v>
      </c>
      <c r="BV190" s="614">
        <f t="shared" si="53"/>
        <v>0</v>
      </c>
      <c r="BW190" s="614">
        <f t="shared" si="53"/>
        <v>0</v>
      </c>
      <c r="BX190" s="614">
        <f t="shared" si="53"/>
        <v>0</v>
      </c>
    </row>
    <row r="191" spans="2:76" x14ac:dyDescent="0.25">
      <c r="B191" s="615" t="s">
        <v>845</v>
      </c>
      <c r="C191" s="614">
        <f t="shared" si="52"/>
        <v>0</v>
      </c>
      <c r="D191" s="614">
        <f t="shared" si="52"/>
        <v>0</v>
      </c>
      <c r="E191" s="614">
        <f t="shared" si="52"/>
        <v>0</v>
      </c>
      <c r="F191" s="614">
        <f t="shared" si="52"/>
        <v>0</v>
      </c>
      <c r="G191" s="614">
        <f t="shared" si="52"/>
        <v>0</v>
      </c>
      <c r="H191" s="614">
        <f t="shared" si="52"/>
        <v>0</v>
      </c>
      <c r="J191" s="615" t="s">
        <v>845</v>
      </c>
      <c r="K191" s="614">
        <f>Ielas!T993</f>
        <v>0</v>
      </c>
      <c r="L191" s="614">
        <f>Ielas!U993</f>
        <v>0</v>
      </c>
      <c r="M191" s="614">
        <f>Ielas!V993</f>
        <v>0</v>
      </c>
      <c r="N191" s="614">
        <f>Ielas!W993</f>
        <v>0</v>
      </c>
      <c r="O191" s="614">
        <f>Ielas!X993</f>
        <v>0</v>
      </c>
      <c r="P191" s="614">
        <f>Ielas!Y993</f>
        <v>0</v>
      </c>
      <c r="Q191" s="615" t="s">
        <v>845</v>
      </c>
      <c r="R191" s="614">
        <f>Ielas!AA993</f>
        <v>0</v>
      </c>
      <c r="S191" s="614">
        <f>Ielas!AB993</f>
        <v>0</v>
      </c>
      <c r="T191" s="614">
        <f>Ielas!AC993</f>
        <v>0</v>
      </c>
      <c r="U191" s="614">
        <f>Ielas!AD993</f>
        <v>0</v>
      </c>
      <c r="V191" s="614">
        <f>Ielas!AE993</f>
        <v>0</v>
      </c>
      <c r="W191" s="614">
        <f>Ielas!AF993</f>
        <v>0</v>
      </c>
      <c r="Y191" s="615" t="s">
        <v>845</v>
      </c>
      <c r="Z191" s="614"/>
      <c r="AA191" s="614"/>
      <c r="AB191" s="614"/>
      <c r="AC191" s="614"/>
      <c r="AD191" s="614"/>
      <c r="AE191" s="614"/>
      <c r="AF191" s="615" t="s">
        <v>845</v>
      </c>
      <c r="AG191" s="614"/>
      <c r="AH191" s="614"/>
      <c r="AI191" s="614"/>
      <c r="AJ191" s="614"/>
      <c r="AK191" s="614"/>
      <c r="AL191" s="614"/>
      <c r="AN191" s="615" t="s">
        <v>845</v>
      </c>
      <c r="AO191" s="614"/>
      <c r="AP191" s="614"/>
      <c r="AQ191" s="614"/>
      <c r="AR191" s="614"/>
      <c r="AS191" s="614"/>
      <c r="AT191" s="614"/>
      <c r="AU191" s="615" t="s">
        <v>845</v>
      </c>
      <c r="AV191" s="614"/>
      <c r="AW191" s="614"/>
      <c r="AX191" s="614"/>
      <c r="AY191" s="614"/>
      <c r="AZ191" s="614"/>
      <c r="BA191" s="614"/>
      <c r="BC191" s="615" t="s">
        <v>845</v>
      </c>
      <c r="BD191" s="614"/>
      <c r="BE191" s="614"/>
      <c r="BF191" s="614"/>
      <c r="BG191" s="614"/>
      <c r="BH191" s="614"/>
      <c r="BI191" s="614"/>
      <c r="BJ191" s="615" t="s">
        <v>845</v>
      </c>
      <c r="BK191" s="614"/>
      <c r="BL191" s="614"/>
      <c r="BM191" s="614"/>
      <c r="BN191" s="614"/>
      <c r="BO191" s="614"/>
      <c r="BP191" s="614"/>
      <c r="BR191" s="615" t="s">
        <v>845</v>
      </c>
      <c r="BS191" s="614">
        <f t="shared" si="53"/>
        <v>0</v>
      </c>
      <c r="BT191" s="614">
        <f t="shared" si="53"/>
        <v>0</v>
      </c>
      <c r="BU191" s="614">
        <f t="shared" si="53"/>
        <v>0</v>
      </c>
      <c r="BV191" s="614">
        <f t="shared" si="53"/>
        <v>0</v>
      </c>
      <c r="BW191" s="614">
        <f t="shared" si="53"/>
        <v>0</v>
      </c>
      <c r="BX191" s="614">
        <f t="shared" si="53"/>
        <v>0</v>
      </c>
    </row>
    <row r="192" spans="2:76" x14ac:dyDescent="0.25">
      <c r="B192" s="616" t="s">
        <v>846</v>
      </c>
      <c r="C192" s="614">
        <f t="shared" si="52"/>
        <v>0</v>
      </c>
      <c r="D192" s="614">
        <f t="shared" si="52"/>
        <v>0</v>
      </c>
      <c r="E192" s="614">
        <f t="shared" si="52"/>
        <v>0</v>
      </c>
      <c r="F192" s="614">
        <f t="shared" si="52"/>
        <v>0.2</v>
      </c>
      <c r="G192" s="614">
        <f t="shared" si="52"/>
        <v>0.24</v>
      </c>
      <c r="H192" s="614">
        <f t="shared" si="52"/>
        <v>0.44</v>
      </c>
      <c r="J192" s="616" t="s">
        <v>846</v>
      </c>
      <c r="K192" s="614">
        <f>Ielas!T994</f>
        <v>0</v>
      </c>
      <c r="L192" s="614">
        <f>Ielas!U994</f>
        <v>0</v>
      </c>
      <c r="M192" s="614">
        <f>Ielas!V994</f>
        <v>0</v>
      </c>
      <c r="N192" s="614">
        <f>Ielas!W994</f>
        <v>0.2</v>
      </c>
      <c r="O192" s="614">
        <f>Ielas!X994</f>
        <v>0.24</v>
      </c>
      <c r="P192" s="614">
        <f>Ielas!Y994</f>
        <v>0.44</v>
      </c>
      <c r="Q192" s="616" t="s">
        <v>846</v>
      </c>
      <c r="R192" s="614">
        <f>Ielas!AA994</f>
        <v>0</v>
      </c>
      <c r="S192" s="614">
        <f>Ielas!AB994</f>
        <v>0</v>
      </c>
      <c r="T192" s="614">
        <f>Ielas!AC994</f>
        <v>0</v>
      </c>
      <c r="U192" s="614">
        <f>Ielas!AD994</f>
        <v>0</v>
      </c>
      <c r="V192" s="614">
        <f>Ielas!AE994</f>
        <v>0</v>
      </c>
      <c r="W192" s="614">
        <f>Ielas!AF994</f>
        <v>0</v>
      </c>
      <c r="Y192" s="616" t="s">
        <v>846</v>
      </c>
      <c r="Z192" s="614"/>
      <c r="AA192" s="614"/>
      <c r="AB192" s="614"/>
      <c r="AC192" s="614"/>
      <c r="AD192" s="614"/>
      <c r="AE192" s="614"/>
      <c r="AF192" s="616" t="s">
        <v>846</v>
      </c>
      <c r="AG192" s="614"/>
      <c r="AH192" s="614"/>
      <c r="AI192" s="614"/>
      <c r="AJ192" s="614"/>
      <c r="AK192" s="614"/>
      <c r="AL192" s="614"/>
      <c r="AN192" s="616" t="s">
        <v>846</v>
      </c>
      <c r="AO192" s="614"/>
      <c r="AP192" s="614"/>
      <c r="AQ192" s="614"/>
      <c r="AR192" s="614"/>
      <c r="AS192" s="614"/>
      <c r="AT192" s="614"/>
      <c r="AU192" s="616" t="s">
        <v>846</v>
      </c>
      <c r="AV192" s="614"/>
      <c r="AW192" s="614"/>
      <c r="AX192" s="614"/>
      <c r="AY192" s="614"/>
      <c r="AZ192" s="614"/>
      <c r="BA192" s="614"/>
      <c r="BC192" s="616" t="s">
        <v>846</v>
      </c>
      <c r="BD192" s="614"/>
      <c r="BE192" s="614"/>
      <c r="BF192" s="614"/>
      <c r="BG192" s="614"/>
      <c r="BH192" s="614"/>
      <c r="BI192" s="614"/>
      <c r="BJ192" s="616" t="s">
        <v>846</v>
      </c>
      <c r="BK192" s="614"/>
      <c r="BL192" s="614"/>
      <c r="BM192" s="614"/>
      <c r="BN192" s="614"/>
      <c r="BO192" s="614"/>
      <c r="BP192" s="614"/>
      <c r="BR192" s="616" t="s">
        <v>846</v>
      </c>
      <c r="BS192" s="614">
        <f t="shared" si="53"/>
        <v>0</v>
      </c>
      <c r="BT192" s="614">
        <f t="shared" si="53"/>
        <v>0</v>
      </c>
      <c r="BU192" s="614">
        <f t="shared" si="53"/>
        <v>0</v>
      </c>
      <c r="BV192" s="614">
        <f t="shared" si="53"/>
        <v>0.2</v>
      </c>
      <c r="BW192" s="614">
        <f t="shared" si="53"/>
        <v>0.24</v>
      </c>
      <c r="BX192" s="614">
        <f t="shared" si="53"/>
        <v>0.44</v>
      </c>
    </row>
    <row r="193" spans="2:76" x14ac:dyDescent="0.25">
      <c r="C193" s="614">
        <f t="shared" si="52"/>
        <v>0</v>
      </c>
      <c r="D193" s="614">
        <f t="shared" si="52"/>
        <v>0</v>
      </c>
      <c r="E193" s="614">
        <f t="shared" si="52"/>
        <v>0</v>
      </c>
      <c r="F193" s="614">
        <f t="shared" si="52"/>
        <v>0.2</v>
      </c>
      <c r="G193" s="614">
        <f t="shared" si="52"/>
        <v>0.24</v>
      </c>
      <c r="H193" s="614">
        <f t="shared" si="52"/>
        <v>0.44</v>
      </c>
      <c r="K193" s="614">
        <f>Ielas!T995</f>
        <v>0</v>
      </c>
      <c r="L193" s="614">
        <f>Ielas!U995</f>
        <v>0</v>
      </c>
      <c r="M193" s="614">
        <f>Ielas!V995</f>
        <v>0</v>
      </c>
      <c r="N193" s="614">
        <f>Ielas!W995</f>
        <v>0.2</v>
      </c>
      <c r="O193" s="614">
        <f>Ielas!X995</f>
        <v>0.24</v>
      </c>
      <c r="P193" s="614">
        <f>Ielas!Y995</f>
        <v>0.44</v>
      </c>
      <c r="R193" s="614">
        <f>Ielas!AA995</f>
        <v>0</v>
      </c>
      <c r="S193" s="614">
        <f>Ielas!AB995</f>
        <v>0</v>
      </c>
      <c r="T193" s="614">
        <f>Ielas!AC995</f>
        <v>0</v>
      </c>
      <c r="U193" s="614">
        <f>Ielas!AD995</f>
        <v>0</v>
      </c>
      <c r="V193" s="614">
        <f>Ielas!AE995</f>
        <v>0</v>
      </c>
      <c r="W193" s="614">
        <f>Ielas!AF995</f>
        <v>0</v>
      </c>
      <c r="Z193" s="614"/>
      <c r="AA193" s="614"/>
      <c r="AB193" s="614"/>
      <c r="AC193" s="614"/>
      <c r="AD193" s="614"/>
      <c r="AE193" s="614"/>
      <c r="AG193" s="614"/>
      <c r="AH193" s="614"/>
      <c r="AI193" s="614"/>
      <c r="AJ193" s="614"/>
      <c r="AK193" s="614"/>
      <c r="AL193" s="614"/>
      <c r="AO193" s="614"/>
      <c r="AP193" s="614"/>
      <c r="AQ193" s="614"/>
      <c r="AR193" s="614"/>
      <c r="AS193" s="614"/>
      <c r="AT193" s="614"/>
      <c r="AV193" s="614"/>
      <c r="AW193" s="614"/>
      <c r="AX193" s="614"/>
      <c r="AY193" s="614"/>
      <c r="AZ193" s="614"/>
      <c r="BA193" s="614"/>
      <c r="BD193" s="614"/>
      <c r="BE193" s="614"/>
      <c r="BF193" s="614"/>
      <c r="BG193" s="614"/>
      <c r="BH193" s="614"/>
      <c r="BI193" s="614"/>
      <c r="BK193" s="614"/>
      <c r="BL193" s="614"/>
      <c r="BM193" s="614"/>
      <c r="BN193" s="614"/>
      <c r="BO193" s="614"/>
      <c r="BP193" s="614"/>
      <c r="BS193" s="614">
        <f t="shared" si="53"/>
        <v>0</v>
      </c>
      <c r="BT193" s="614">
        <f t="shared" si="53"/>
        <v>0</v>
      </c>
      <c r="BU193" s="614">
        <f t="shared" si="53"/>
        <v>0</v>
      </c>
      <c r="BV193" s="614">
        <f t="shared" si="53"/>
        <v>0.2</v>
      </c>
      <c r="BW193" s="614">
        <f t="shared" si="53"/>
        <v>0.24</v>
      </c>
      <c r="BX193" s="614">
        <f t="shared" si="53"/>
        <v>0.44</v>
      </c>
    </row>
    <row r="194" spans="2:76" x14ac:dyDescent="0.25">
      <c r="C194" s="667"/>
      <c r="D194" s="667"/>
      <c r="E194" s="667"/>
      <c r="F194" s="667"/>
      <c r="G194" s="667"/>
      <c r="H194" s="667"/>
      <c r="BS194" s="667"/>
      <c r="BT194" s="667"/>
      <c r="BU194" s="667"/>
      <c r="BV194" s="667"/>
      <c r="BW194" s="667"/>
      <c r="BX194" s="667"/>
    </row>
    <row r="195" spans="2:76" x14ac:dyDescent="0.25">
      <c r="B195" s="637" t="s">
        <v>1206</v>
      </c>
      <c r="C195" s="677"/>
      <c r="D195" s="677"/>
      <c r="E195" s="677"/>
      <c r="F195" s="677"/>
      <c r="G195" s="677"/>
      <c r="H195" s="677"/>
      <c r="AG195" t="s">
        <v>1141</v>
      </c>
      <c r="AV195" t="s">
        <v>1141</v>
      </c>
      <c r="BK195" t="s">
        <v>1141</v>
      </c>
      <c r="BR195" s="637" t="s">
        <v>1207</v>
      </c>
      <c r="BS195" s="677"/>
      <c r="BT195" s="677"/>
      <c r="BU195" s="677"/>
      <c r="BV195" s="677"/>
      <c r="BW195" s="677"/>
      <c r="BX195" s="677"/>
    </row>
    <row r="196" spans="2:76" ht="23.25" x14ac:dyDescent="0.25">
      <c r="B196" s="102"/>
      <c r="C196" s="669" t="s">
        <v>1092</v>
      </c>
      <c r="D196" s="669" t="s">
        <v>1093</v>
      </c>
      <c r="E196" s="669" t="s">
        <v>1094</v>
      </c>
      <c r="F196" s="669" t="s">
        <v>1095</v>
      </c>
      <c r="G196" s="669" t="s">
        <v>1096</v>
      </c>
      <c r="H196" s="141" t="s">
        <v>269</v>
      </c>
      <c r="J196" s="102"/>
      <c r="K196" s="625"/>
      <c r="L196" s="625"/>
      <c r="M196" s="625"/>
      <c r="N196" s="625"/>
      <c r="O196" s="625"/>
      <c r="P196" s="627"/>
      <c r="Q196" s="102"/>
      <c r="R196" s="625"/>
      <c r="S196" s="625"/>
      <c r="T196" s="625"/>
      <c r="U196" s="625"/>
      <c r="V196" s="625"/>
      <c r="W196" s="627"/>
      <c r="Y196" s="102"/>
      <c r="Z196" s="625" t="s">
        <v>1092</v>
      </c>
      <c r="AA196" s="625" t="s">
        <v>1093</v>
      </c>
      <c r="AB196" s="625" t="s">
        <v>1094</v>
      </c>
      <c r="AC196" s="625" t="s">
        <v>1095</v>
      </c>
      <c r="AD196" s="625" t="s">
        <v>1096</v>
      </c>
      <c r="AE196" s="627" t="s">
        <v>269</v>
      </c>
      <c r="AF196" s="102"/>
      <c r="AG196" s="625" t="s">
        <v>1092</v>
      </c>
      <c r="AH196" s="625" t="s">
        <v>1093</v>
      </c>
      <c r="AI196" s="625" t="s">
        <v>1094</v>
      </c>
      <c r="AJ196" s="625" t="s">
        <v>1095</v>
      </c>
      <c r="AK196" s="625" t="s">
        <v>1096</v>
      </c>
      <c r="AL196" s="627" t="s">
        <v>269</v>
      </c>
      <c r="AN196" s="102"/>
      <c r="AO196" s="625" t="s">
        <v>1092</v>
      </c>
      <c r="AP196" s="625" t="s">
        <v>1093</v>
      </c>
      <c r="AQ196" s="625" t="s">
        <v>1094</v>
      </c>
      <c r="AR196" s="625" t="s">
        <v>1095</v>
      </c>
      <c r="AS196" s="625" t="s">
        <v>1096</v>
      </c>
      <c r="AT196" s="627" t="s">
        <v>269</v>
      </c>
      <c r="AU196" s="102"/>
      <c r="AV196" s="625" t="s">
        <v>1092</v>
      </c>
      <c r="AW196" s="625" t="s">
        <v>1093</v>
      </c>
      <c r="AX196" s="625" t="s">
        <v>1094</v>
      </c>
      <c r="AY196" s="625" t="s">
        <v>1095</v>
      </c>
      <c r="AZ196" s="625" t="s">
        <v>1096</v>
      </c>
      <c r="BA196" s="627" t="s">
        <v>269</v>
      </c>
      <c r="BC196" s="102"/>
      <c r="BD196" s="625" t="s">
        <v>1092</v>
      </c>
      <c r="BE196" s="625" t="s">
        <v>1093</v>
      </c>
      <c r="BF196" s="625" t="s">
        <v>1094</v>
      </c>
      <c r="BG196" s="625" t="s">
        <v>1095</v>
      </c>
      <c r="BH196" s="625" t="s">
        <v>1096</v>
      </c>
      <c r="BI196" s="627" t="s">
        <v>269</v>
      </c>
      <c r="BJ196" s="102"/>
      <c r="BK196" s="625" t="s">
        <v>1092</v>
      </c>
      <c r="BL196" s="625" t="s">
        <v>1093</v>
      </c>
      <c r="BM196" s="625" t="s">
        <v>1094</v>
      </c>
      <c r="BN196" s="625" t="s">
        <v>1095</v>
      </c>
      <c r="BO196" s="625" t="s">
        <v>1096</v>
      </c>
      <c r="BP196" s="627" t="s">
        <v>269</v>
      </c>
      <c r="BR196" s="102"/>
      <c r="BS196" s="669" t="s">
        <v>1092</v>
      </c>
      <c r="BT196" s="669" t="s">
        <v>1093</v>
      </c>
      <c r="BU196" s="669" t="s">
        <v>1094</v>
      </c>
      <c r="BV196" s="669" t="s">
        <v>1095</v>
      </c>
      <c r="BW196" s="669" t="s">
        <v>1096</v>
      </c>
      <c r="BX196" s="141" t="s">
        <v>269</v>
      </c>
    </row>
    <row r="197" spans="2:76" x14ac:dyDescent="0.25">
      <c r="B197" s="628" t="s">
        <v>844</v>
      </c>
      <c r="C197" s="669" t="s">
        <v>231</v>
      </c>
      <c r="D197" s="669" t="s">
        <v>231</v>
      </c>
      <c r="E197" s="669" t="s">
        <v>231</v>
      </c>
      <c r="F197" s="669" t="s">
        <v>231</v>
      </c>
      <c r="G197" s="669" t="s">
        <v>231</v>
      </c>
      <c r="H197" s="670" t="s">
        <v>231</v>
      </c>
      <c r="J197" s="628"/>
      <c r="K197" s="625"/>
      <c r="L197" s="625"/>
      <c r="M197" s="625"/>
      <c r="N197" s="625"/>
      <c r="O197" s="625"/>
      <c r="P197" s="626"/>
      <c r="Q197" s="628"/>
      <c r="R197" s="625"/>
      <c r="S197" s="625"/>
      <c r="T197" s="625"/>
      <c r="U197" s="625"/>
      <c r="V197" s="625"/>
      <c r="W197" s="626"/>
      <c r="Y197" s="628" t="s">
        <v>844</v>
      </c>
      <c r="Z197" s="625" t="s">
        <v>231</v>
      </c>
      <c r="AA197" s="625" t="s">
        <v>231</v>
      </c>
      <c r="AB197" s="625" t="s">
        <v>231</v>
      </c>
      <c r="AC197" s="625" t="s">
        <v>231</v>
      </c>
      <c r="AD197" s="625" t="s">
        <v>231</v>
      </c>
      <c r="AE197" s="626" t="s">
        <v>231</v>
      </c>
      <c r="AF197" s="628"/>
      <c r="AG197" s="625" t="s">
        <v>231</v>
      </c>
      <c r="AH197" s="625" t="s">
        <v>231</v>
      </c>
      <c r="AI197" s="625" t="s">
        <v>231</v>
      </c>
      <c r="AJ197" s="625" t="s">
        <v>231</v>
      </c>
      <c r="AK197" s="625" t="s">
        <v>231</v>
      </c>
      <c r="AL197" s="626" t="s">
        <v>231</v>
      </c>
      <c r="AN197" s="628" t="s">
        <v>844</v>
      </c>
      <c r="AO197" s="625" t="s">
        <v>231</v>
      </c>
      <c r="AP197" s="625" t="s">
        <v>231</v>
      </c>
      <c r="AQ197" s="625" t="s">
        <v>231</v>
      </c>
      <c r="AR197" s="625" t="s">
        <v>231</v>
      </c>
      <c r="AS197" s="625" t="s">
        <v>231</v>
      </c>
      <c r="AT197" s="626" t="s">
        <v>231</v>
      </c>
      <c r="AU197" s="628"/>
      <c r="AV197" s="625" t="s">
        <v>231</v>
      </c>
      <c r="AW197" s="625" t="s">
        <v>231</v>
      </c>
      <c r="AX197" s="625" t="s">
        <v>231</v>
      </c>
      <c r="AY197" s="625" t="s">
        <v>231</v>
      </c>
      <c r="AZ197" s="625" t="s">
        <v>231</v>
      </c>
      <c r="BA197" s="626" t="s">
        <v>231</v>
      </c>
      <c r="BC197" s="628" t="s">
        <v>844</v>
      </c>
      <c r="BD197" s="625" t="s">
        <v>231</v>
      </c>
      <c r="BE197" s="625" t="s">
        <v>231</v>
      </c>
      <c r="BF197" s="625" t="s">
        <v>231</v>
      </c>
      <c r="BG197" s="625" t="s">
        <v>231</v>
      </c>
      <c r="BH197" s="625" t="s">
        <v>231</v>
      </c>
      <c r="BI197" s="626" t="s">
        <v>231</v>
      </c>
      <c r="BJ197" s="628"/>
      <c r="BK197" s="625" t="s">
        <v>231</v>
      </c>
      <c r="BL197" s="625" t="s">
        <v>231</v>
      </c>
      <c r="BM197" s="625" t="s">
        <v>231</v>
      </c>
      <c r="BN197" s="625" t="s">
        <v>231</v>
      </c>
      <c r="BO197" s="625" t="s">
        <v>231</v>
      </c>
      <c r="BP197" s="626" t="s">
        <v>231</v>
      </c>
      <c r="BR197" s="628" t="s">
        <v>844</v>
      </c>
      <c r="BS197" s="669" t="s">
        <v>231</v>
      </c>
      <c r="BT197" s="669" t="s">
        <v>231</v>
      </c>
      <c r="BU197" s="669" t="s">
        <v>231</v>
      </c>
      <c r="BV197" s="669" t="s">
        <v>231</v>
      </c>
      <c r="BW197" s="669" t="s">
        <v>231</v>
      </c>
      <c r="BX197" s="670" t="s">
        <v>231</v>
      </c>
    </row>
    <row r="198" spans="2:76" x14ac:dyDescent="0.25">
      <c r="B198" s="616" t="s">
        <v>847</v>
      </c>
      <c r="C198" s="614">
        <f>C9+C18+C27+C36+C45+C54+C63+C72+C81+C90+C99+C108+C117+C126+C135+C144+C153+C162+C171+C180+C189</f>
        <v>0</v>
      </c>
      <c r="D198" s="614">
        <f t="shared" ref="D198:H198" si="54">D9+D18+D27+D36+D45+D54+D63+D72+D81+D90+D99+D108+D117+D126+D135+D144+D153+D162+D171+D180+D189</f>
        <v>0</v>
      </c>
      <c r="E198" s="614">
        <f t="shared" si="54"/>
        <v>0</v>
      </c>
      <c r="F198" s="614">
        <f t="shared" si="54"/>
        <v>0</v>
      </c>
      <c r="G198" s="614">
        <f t="shared" si="54"/>
        <v>0</v>
      </c>
      <c r="H198" s="614">
        <f t="shared" si="54"/>
        <v>0</v>
      </c>
      <c r="J198" s="616"/>
      <c r="K198" s="614"/>
      <c r="L198" s="614"/>
      <c r="M198" s="614"/>
      <c r="N198" s="614"/>
      <c r="O198" s="614"/>
      <c r="P198" s="614"/>
      <c r="Q198" s="616"/>
      <c r="R198" s="614"/>
      <c r="S198" s="614"/>
      <c r="T198" s="614"/>
      <c r="U198" s="614"/>
      <c r="V198" s="614"/>
      <c r="W198" s="614"/>
      <c r="Y198" s="616" t="s">
        <v>847</v>
      </c>
      <c r="Z198" s="614"/>
      <c r="AA198" s="614"/>
      <c r="AB198" s="614"/>
      <c r="AC198" s="614"/>
      <c r="AD198" s="614"/>
      <c r="AE198" s="614"/>
      <c r="AF198" s="616" t="s">
        <v>847</v>
      </c>
      <c r="AG198" s="614"/>
      <c r="AH198" s="614"/>
      <c r="AI198" s="614"/>
      <c r="AJ198" s="614"/>
      <c r="AK198" s="614"/>
      <c r="AL198" s="614"/>
      <c r="AN198" s="616" t="s">
        <v>847</v>
      </c>
      <c r="AO198" s="614"/>
      <c r="AP198" s="614"/>
      <c r="AQ198" s="614"/>
      <c r="AR198" s="614"/>
      <c r="AS198" s="614"/>
      <c r="AT198" s="614"/>
      <c r="AU198" s="616" t="s">
        <v>847</v>
      </c>
      <c r="AV198" s="614"/>
      <c r="AW198" s="614"/>
      <c r="AX198" s="614"/>
      <c r="AY198" s="614"/>
      <c r="AZ198" s="614"/>
      <c r="BA198" s="614"/>
      <c r="BC198" s="616" t="s">
        <v>847</v>
      </c>
      <c r="BD198" s="614"/>
      <c r="BE198" s="614"/>
      <c r="BF198" s="614"/>
      <c r="BG198" s="614"/>
      <c r="BH198" s="614"/>
      <c r="BI198" s="614"/>
      <c r="BJ198" s="616" t="s">
        <v>847</v>
      </c>
      <c r="BK198" s="614"/>
      <c r="BL198" s="614"/>
      <c r="BM198" s="614"/>
      <c r="BN198" s="614"/>
      <c r="BO198" s="614"/>
      <c r="BP198" s="614"/>
      <c r="BR198" s="616" t="s">
        <v>847</v>
      </c>
      <c r="BS198" s="614">
        <f>BS9+BS18+BS27+BS36+BS45+BS54+BS63+BS72+BS81+BS90+BS99+BS108+BS117+BS126+BS135+BS144+BS153+BS162+BS171+BS180+BS189</f>
        <v>0</v>
      </c>
      <c r="BT198" s="614">
        <f t="shared" ref="BT198:BX198" si="55">BT9+BT18+BT27+BT36+BT45+BT54+BT63+BT72+BT81+BT90+BT99+BT108+BT117+BT126+BT135+BT144+BT153+BT162+BT171+BT180+BT189</f>
        <v>0</v>
      </c>
      <c r="BU198" s="614">
        <f t="shared" si="55"/>
        <v>0</v>
      </c>
      <c r="BV198" s="614">
        <f t="shared" si="55"/>
        <v>0</v>
      </c>
      <c r="BW198" s="614">
        <f t="shared" si="55"/>
        <v>0</v>
      </c>
      <c r="BX198" s="614">
        <f t="shared" si="55"/>
        <v>0</v>
      </c>
    </row>
    <row r="199" spans="2:76" x14ac:dyDescent="0.25">
      <c r="B199" s="617" t="s">
        <v>848</v>
      </c>
      <c r="C199" s="614">
        <f t="shared" ref="C199:H199" si="56">C10+C19+C28+C37+C46+C55+C64+C73+C82+C91+C100+C109+C118+C127+C136+C145+C154+C163+C172+C181+C190</f>
        <v>28.652999999999999</v>
      </c>
      <c r="D199" s="614">
        <f t="shared" si="56"/>
        <v>0</v>
      </c>
      <c r="E199" s="614">
        <f t="shared" si="56"/>
        <v>0.13</v>
      </c>
      <c r="F199" s="614">
        <f t="shared" si="56"/>
        <v>0.46500000000000002</v>
      </c>
      <c r="G199" s="614">
        <f t="shared" si="56"/>
        <v>0</v>
      </c>
      <c r="H199" s="614">
        <f t="shared" si="56"/>
        <v>29.247999999999998</v>
      </c>
      <c r="J199" s="617"/>
      <c r="K199" s="614"/>
      <c r="L199" s="614"/>
      <c r="M199" s="614"/>
      <c r="N199" s="614"/>
      <c r="O199" s="614"/>
      <c r="P199" s="614"/>
      <c r="Q199" s="617"/>
      <c r="R199" s="614"/>
      <c r="S199" s="614"/>
      <c r="T199" s="614"/>
      <c r="U199" s="614"/>
      <c r="V199" s="614"/>
      <c r="W199" s="614"/>
      <c r="Y199" s="617" t="s">
        <v>848</v>
      </c>
      <c r="Z199" s="614"/>
      <c r="AA199" s="614"/>
      <c r="AB199" s="614"/>
      <c r="AC199" s="614"/>
      <c r="AD199" s="614"/>
      <c r="AE199" s="614"/>
      <c r="AF199" s="617" t="s">
        <v>848</v>
      </c>
      <c r="AG199" s="614"/>
      <c r="AH199" s="614"/>
      <c r="AI199" s="614"/>
      <c r="AJ199" s="614"/>
      <c r="AK199" s="614"/>
      <c r="AL199" s="614"/>
      <c r="AN199" s="617" t="s">
        <v>848</v>
      </c>
      <c r="AO199" s="614"/>
      <c r="AP199" s="614"/>
      <c r="AQ199" s="614"/>
      <c r="AR199" s="614"/>
      <c r="AS199" s="614"/>
      <c r="AT199" s="614"/>
      <c r="AU199" s="617" t="s">
        <v>848</v>
      </c>
      <c r="AV199" s="614"/>
      <c r="AW199" s="614"/>
      <c r="AX199" s="614"/>
      <c r="AY199" s="614"/>
      <c r="AZ199" s="614"/>
      <c r="BA199" s="614"/>
      <c r="BC199" s="617" t="s">
        <v>848</v>
      </c>
      <c r="BD199" s="614"/>
      <c r="BE199" s="614"/>
      <c r="BF199" s="614"/>
      <c r="BG199" s="614"/>
      <c r="BH199" s="614"/>
      <c r="BI199" s="614"/>
      <c r="BJ199" s="617" t="s">
        <v>848</v>
      </c>
      <c r="BK199" s="614"/>
      <c r="BL199" s="614"/>
      <c r="BM199" s="614"/>
      <c r="BN199" s="614"/>
      <c r="BO199" s="614"/>
      <c r="BP199" s="614"/>
      <c r="BR199" s="617" t="s">
        <v>848</v>
      </c>
      <c r="BS199" s="614">
        <f t="shared" ref="BS199:BX199" si="57">BS10+BS19+BS28+BS37+BS46+BS55+BS64+BS73+BS82+BS91+BS100+BS109+BS118+BS127+BS136+BS145+BS154+BS163+BS172+BS181+BS190</f>
        <v>28.652999999999999</v>
      </c>
      <c r="BT199" s="614">
        <f t="shared" si="57"/>
        <v>0</v>
      </c>
      <c r="BU199" s="614">
        <f t="shared" si="57"/>
        <v>0.13</v>
      </c>
      <c r="BV199" s="614">
        <f t="shared" si="57"/>
        <v>0.46500000000000002</v>
      </c>
      <c r="BW199" s="614">
        <f t="shared" si="57"/>
        <v>0</v>
      </c>
      <c r="BX199" s="614">
        <f t="shared" si="57"/>
        <v>29.247999999999998</v>
      </c>
    </row>
    <row r="200" spans="2:76" x14ac:dyDescent="0.25">
      <c r="B200" s="615" t="s">
        <v>845</v>
      </c>
      <c r="C200" s="614">
        <f t="shared" ref="C200:H200" si="58">C11+C20+C29+C38+C47+C56+C65+C74+C83+C92+C101+C110+C119+C128+C137+C146+C155+C164+C173+C182+C191</f>
        <v>15.074999999999999</v>
      </c>
      <c r="D200" s="614">
        <f t="shared" si="58"/>
        <v>0.4</v>
      </c>
      <c r="E200" s="614">
        <f t="shared" si="58"/>
        <v>0</v>
      </c>
      <c r="F200" s="614">
        <f t="shared" si="58"/>
        <v>4.7869999999999999</v>
      </c>
      <c r="G200" s="614">
        <f t="shared" si="58"/>
        <v>0.11</v>
      </c>
      <c r="H200" s="614">
        <f t="shared" si="58"/>
        <v>20.372</v>
      </c>
      <c r="J200" s="615"/>
      <c r="K200" s="614"/>
      <c r="L200" s="614"/>
      <c r="M200" s="614"/>
      <c r="N200" s="614"/>
      <c r="O200" s="614"/>
      <c r="P200" s="614"/>
      <c r="Q200" s="615"/>
      <c r="R200" s="614"/>
      <c r="S200" s="614"/>
      <c r="T200" s="614"/>
      <c r="U200" s="614"/>
      <c r="V200" s="614"/>
      <c r="W200" s="614"/>
      <c r="Y200" s="615" t="s">
        <v>845</v>
      </c>
      <c r="Z200" s="614"/>
      <c r="AA200" s="614"/>
      <c r="AB200" s="614"/>
      <c r="AC200" s="614"/>
      <c r="AD200" s="614"/>
      <c r="AE200" s="614"/>
      <c r="AF200" s="615" t="s">
        <v>845</v>
      </c>
      <c r="AG200" s="614"/>
      <c r="AH200" s="614"/>
      <c r="AI200" s="614"/>
      <c r="AJ200" s="614"/>
      <c r="AK200" s="614"/>
      <c r="AL200" s="614"/>
      <c r="AN200" s="615" t="s">
        <v>845</v>
      </c>
      <c r="AO200" s="614"/>
      <c r="AP200" s="614"/>
      <c r="AQ200" s="614"/>
      <c r="AR200" s="614"/>
      <c r="AS200" s="614"/>
      <c r="AT200" s="614"/>
      <c r="AU200" s="615" t="s">
        <v>845</v>
      </c>
      <c r="AV200" s="614"/>
      <c r="AW200" s="614"/>
      <c r="AX200" s="614"/>
      <c r="AY200" s="614"/>
      <c r="AZ200" s="614"/>
      <c r="BA200" s="614"/>
      <c r="BC200" s="615" t="s">
        <v>845</v>
      </c>
      <c r="BD200" s="614"/>
      <c r="BE200" s="614"/>
      <c r="BF200" s="614"/>
      <c r="BG200" s="614"/>
      <c r="BH200" s="614"/>
      <c r="BI200" s="614"/>
      <c r="BJ200" s="615" t="s">
        <v>845</v>
      </c>
      <c r="BK200" s="614"/>
      <c r="BL200" s="614"/>
      <c r="BM200" s="614"/>
      <c r="BN200" s="614"/>
      <c r="BO200" s="614"/>
      <c r="BP200" s="614"/>
      <c r="BR200" s="615" t="s">
        <v>845</v>
      </c>
      <c r="BS200" s="614">
        <f t="shared" ref="BS200:BX200" si="59">BS11+BS20+BS29+BS38+BS47+BS56+BS65+BS74+BS83+BS92+BS101+BS110+BS119+BS128+BS137+BS146+BS155+BS164+BS173+BS182+BS191</f>
        <v>15.074999999999999</v>
      </c>
      <c r="BT200" s="614">
        <f t="shared" si="59"/>
        <v>0.4</v>
      </c>
      <c r="BU200" s="614">
        <f t="shared" si="59"/>
        <v>0</v>
      </c>
      <c r="BV200" s="614">
        <f t="shared" si="59"/>
        <v>4.7869999999999999</v>
      </c>
      <c r="BW200" s="614">
        <f t="shared" si="59"/>
        <v>0.11</v>
      </c>
      <c r="BX200" s="614">
        <f t="shared" si="59"/>
        <v>20.372</v>
      </c>
    </row>
    <row r="201" spans="2:76" x14ac:dyDescent="0.25">
      <c r="B201" s="616" t="s">
        <v>846</v>
      </c>
      <c r="C201" s="614">
        <f t="shared" ref="C201:H201" si="60">C12+C21+C30+C39+C48+C57+C66+C75+C84+C93+C102+C111+C120+C129+C138+C147+C156+C165+C174+C183+C192</f>
        <v>49.090999999999994</v>
      </c>
      <c r="D201" s="614">
        <f t="shared" si="60"/>
        <v>12.006</v>
      </c>
      <c r="E201" s="614">
        <f t="shared" si="60"/>
        <v>3.4780000000000002</v>
      </c>
      <c r="F201" s="614">
        <f t="shared" si="60"/>
        <v>90.702999999999975</v>
      </c>
      <c r="G201" s="614">
        <f t="shared" si="60"/>
        <v>5.1160000000000005</v>
      </c>
      <c r="H201" s="614">
        <f t="shared" si="60"/>
        <v>160.39400000000001</v>
      </c>
      <c r="J201" s="616"/>
      <c r="K201" s="614"/>
      <c r="L201" s="614"/>
      <c r="M201" s="614"/>
      <c r="N201" s="614"/>
      <c r="O201" s="614"/>
      <c r="P201" s="614"/>
      <c r="Q201" s="616"/>
      <c r="R201" s="614"/>
      <c r="S201" s="614"/>
      <c r="T201" s="614"/>
      <c r="U201" s="614"/>
      <c r="V201" s="614"/>
      <c r="W201" s="614"/>
      <c r="Y201" s="616" t="s">
        <v>846</v>
      </c>
      <c r="Z201" s="614"/>
      <c r="AA201" s="614"/>
      <c r="AB201" s="614"/>
      <c r="AC201" s="614"/>
      <c r="AD201" s="614"/>
      <c r="AE201" s="614"/>
      <c r="AF201" s="616" t="s">
        <v>846</v>
      </c>
      <c r="AG201" s="614"/>
      <c r="AH201" s="614"/>
      <c r="AI201" s="614"/>
      <c r="AJ201" s="614"/>
      <c r="AK201" s="614"/>
      <c r="AL201" s="614"/>
      <c r="AN201" s="616" t="s">
        <v>846</v>
      </c>
      <c r="AO201" s="614"/>
      <c r="AP201" s="614"/>
      <c r="AQ201" s="614"/>
      <c r="AR201" s="614"/>
      <c r="AS201" s="614"/>
      <c r="AT201" s="614"/>
      <c r="AU201" s="616" t="s">
        <v>846</v>
      </c>
      <c r="AV201" s="614"/>
      <c r="AW201" s="614"/>
      <c r="AX201" s="614"/>
      <c r="AY201" s="614"/>
      <c r="AZ201" s="614"/>
      <c r="BA201" s="614"/>
      <c r="BC201" s="616" t="s">
        <v>846</v>
      </c>
      <c r="BD201" s="614"/>
      <c r="BE201" s="614"/>
      <c r="BF201" s="614"/>
      <c r="BG201" s="614"/>
      <c r="BH201" s="614"/>
      <c r="BI201" s="614"/>
      <c r="BJ201" s="616" t="s">
        <v>846</v>
      </c>
      <c r="BK201" s="614"/>
      <c r="BL201" s="614"/>
      <c r="BM201" s="614"/>
      <c r="BN201" s="614"/>
      <c r="BO201" s="614"/>
      <c r="BP201" s="614"/>
      <c r="BR201" s="616" t="s">
        <v>846</v>
      </c>
      <c r="BS201" s="614">
        <f t="shared" ref="BS201:BX201" si="61">BS12+BS21+BS30+BS39+BS48+BS57+BS66+BS75+BS84+BS93+BS102+BS111+BS120+BS129+BS138+BS147+BS156+BS165+BS174+BS183+BS192</f>
        <v>48.86</v>
      </c>
      <c r="BT201" s="614">
        <f t="shared" si="61"/>
        <v>12.006</v>
      </c>
      <c r="BU201" s="614">
        <f t="shared" si="61"/>
        <v>3.4780000000000002</v>
      </c>
      <c r="BV201" s="614">
        <f t="shared" si="61"/>
        <v>88.996000000000009</v>
      </c>
      <c r="BW201" s="614">
        <f t="shared" si="61"/>
        <v>5.1160000000000005</v>
      </c>
      <c r="BX201" s="614">
        <f t="shared" si="61"/>
        <v>158.45600000000002</v>
      </c>
    </row>
    <row r="202" spans="2:76" x14ac:dyDescent="0.25">
      <c r="C202" s="614">
        <f t="shared" ref="C202:H202" si="62">C13+C22+C31+C40+C49+C58+C67+C76+C85+C94+C103+C112+C121+C130+C139+C148+C157+C166+C175+C184+C193</f>
        <v>92.818999999999988</v>
      </c>
      <c r="D202" s="614">
        <f t="shared" si="62"/>
        <v>12.406000000000001</v>
      </c>
      <c r="E202" s="614">
        <f t="shared" si="62"/>
        <v>3.6080000000000001</v>
      </c>
      <c r="F202" s="614">
        <f t="shared" si="62"/>
        <v>95.954999999999984</v>
      </c>
      <c r="G202" s="614">
        <f t="shared" si="62"/>
        <v>5.2260000000000009</v>
      </c>
      <c r="H202" s="614">
        <f t="shared" si="62"/>
        <v>210.01400000000001</v>
      </c>
      <c r="K202" s="614"/>
      <c r="L202" s="614"/>
      <c r="M202" s="614"/>
      <c r="N202" s="614"/>
      <c r="O202" s="614"/>
      <c r="P202" s="614"/>
      <c r="R202" s="614"/>
      <c r="S202" s="614"/>
      <c r="T202" s="614"/>
      <c r="U202" s="614"/>
      <c r="V202" s="614"/>
      <c r="W202" s="614"/>
      <c r="Z202" s="614"/>
      <c r="AA202" s="614"/>
      <c r="AB202" s="614"/>
      <c r="AC202" s="614"/>
      <c r="AD202" s="614"/>
      <c r="AE202" s="614"/>
      <c r="AG202" s="614"/>
      <c r="AH202" s="614"/>
      <c r="AI202" s="614"/>
      <c r="AJ202" s="614"/>
      <c r="AK202" s="614"/>
      <c r="AL202" s="614"/>
      <c r="AO202" s="614"/>
      <c r="AP202" s="614"/>
      <c r="AQ202" s="614"/>
      <c r="AR202" s="614"/>
      <c r="AS202" s="614"/>
      <c r="AT202" s="614"/>
      <c r="AV202" s="614"/>
      <c r="AW202" s="614"/>
      <c r="AX202" s="614"/>
      <c r="AY202" s="614"/>
      <c r="AZ202" s="614"/>
      <c r="BA202" s="614"/>
      <c r="BD202" s="614"/>
      <c r="BE202" s="614"/>
      <c r="BF202" s="614"/>
      <c r="BG202" s="614"/>
      <c r="BH202" s="614"/>
      <c r="BI202" s="614"/>
      <c r="BK202" s="614"/>
      <c r="BL202" s="614"/>
      <c r="BM202" s="614"/>
      <c r="BN202" s="614"/>
      <c r="BO202" s="614"/>
      <c r="BP202" s="614"/>
      <c r="BS202" s="614">
        <f t="shared" ref="BS202:BX202" si="63">BS13+BS22+BS31+BS40+BS49+BS58+BS67+BS76+BS85+BS94+BS103+BS112+BS121+BS130+BS139+BS148+BS157+BS166+BS175+BS184+BS193</f>
        <v>92.587999999999994</v>
      </c>
      <c r="BT202" s="614">
        <f t="shared" si="63"/>
        <v>12.406000000000001</v>
      </c>
      <c r="BU202" s="614">
        <f t="shared" si="63"/>
        <v>3.6080000000000001</v>
      </c>
      <c r="BV202" s="614">
        <f t="shared" si="63"/>
        <v>94.248000000000019</v>
      </c>
      <c r="BW202" s="614">
        <f t="shared" si="63"/>
        <v>5.2260000000000009</v>
      </c>
      <c r="BX202" s="614">
        <f t="shared" si="63"/>
        <v>208.07599999999996</v>
      </c>
    </row>
    <row r="204" spans="2:76" x14ac:dyDescent="0.25">
      <c r="BW204" s="6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O76"/>
  <sheetViews>
    <sheetView topLeftCell="A70" workbookViewId="0">
      <selection activeCell="D141" sqref="D141"/>
    </sheetView>
  </sheetViews>
  <sheetFormatPr defaultRowHeight="15" outlineLevelCol="1" x14ac:dyDescent="0.25"/>
  <cols>
    <col min="2" max="2" width="15.7109375" customWidth="1"/>
    <col min="10" max="59" width="9.140625" hidden="1" customWidth="1" outlineLevel="1"/>
    <col min="60" max="60" width="9.140625" collapsed="1"/>
    <col min="61" max="61" width="15.140625" customWidth="1"/>
  </cols>
  <sheetData>
    <row r="3" spans="2:67" x14ac:dyDescent="0.25">
      <c r="B3" t="s">
        <v>1043</v>
      </c>
    </row>
    <row r="6" spans="2:67" x14ac:dyDescent="0.25">
      <c r="B6" t="s">
        <v>1104</v>
      </c>
      <c r="P6" t="s">
        <v>1101</v>
      </c>
      <c r="W6" t="s">
        <v>1097</v>
      </c>
      <c r="AE6" t="s">
        <v>1102</v>
      </c>
      <c r="AL6" t="s">
        <v>1097</v>
      </c>
      <c r="AT6" t="s">
        <v>1103</v>
      </c>
      <c r="BA6" t="s">
        <v>1097</v>
      </c>
      <c r="BI6" t="s">
        <v>1131</v>
      </c>
    </row>
    <row r="7" spans="2:67" ht="23.25" x14ac:dyDescent="0.25">
      <c r="B7" s="102"/>
      <c r="C7" s="625" t="s">
        <v>1092</v>
      </c>
      <c r="D7" s="625" t="s">
        <v>1093</v>
      </c>
      <c r="E7" s="625" t="s">
        <v>1094</v>
      </c>
      <c r="F7" s="625" t="s">
        <v>1095</v>
      </c>
      <c r="G7" s="625" t="s">
        <v>1096</v>
      </c>
      <c r="H7" s="627" t="s">
        <v>269</v>
      </c>
      <c r="O7" s="102"/>
      <c r="P7" s="625" t="s">
        <v>1092</v>
      </c>
      <c r="Q7" s="625" t="s">
        <v>1093</v>
      </c>
      <c r="R7" s="625" t="s">
        <v>1094</v>
      </c>
      <c r="S7" s="625" t="s">
        <v>1095</v>
      </c>
      <c r="T7" s="625" t="s">
        <v>1096</v>
      </c>
      <c r="U7" s="627" t="s">
        <v>269</v>
      </c>
      <c r="V7" s="102"/>
      <c r="W7" s="625" t="s">
        <v>1092</v>
      </c>
      <c r="X7" s="625" t="s">
        <v>1093</v>
      </c>
      <c r="Y7" s="625" t="s">
        <v>1094</v>
      </c>
      <c r="Z7" s="625" t="s">
        <v>1095</v>
      </c>
      <c r="AA7" s="625" t="s">
        <v>1096</v>
      </c>
      <c r="AB7" s="627" t="s">
        <v>269</v>
      </c>
      <c r="AD7" s="102"/>
      <c r="AE7" s="625" t="s">
        <v>1092</v>
      </c>
      <c r="AF7" s="625" t="s">
        <v>1093</v>
      </c>
      <c r="AG7" s="625" t="s">
        <v>1094</v>
      </c>
      <c r="AH7" s="625" t="s">
        <v>1095</v>
      </c>
      <c r="AI7" s="625" t="s">
        <v>1096</v>
      </c>
      <c r="AJ7" s="627" t="s">
        <v>269</v>
      </c>
      <c r="AK7" s="102"/>
      <c r="AL7" s="625" t="s">
        <v>1092</v>
      </c>
      <c r="AM7" s="625" t="s">
        <v>1093</v>
      </c>
      <c r="AN7" s="625" t="s">
        <v>1094</v>
      </c>
      <c r="AO7" s="625" t="s">
        <v>1095</v>
      </c>
      <c r="AP7" s="625" t="s">
        <v>1096</v>
      </c>
      <c r="AQ7" s="627" t="s">
        <v>269</v>
      </c>
      <c r="AS7" s="102"/>
      <c r="AT7" s="625" t="s">
        <v>1092</v>
      </c>
      <c r="AU7" s="625" t="s">
        <v>1093</v>
      </c>
      <c r="AV7" s="625" t="s">
        <v>1094</v>
      </c>
      <c r="AW7" s="625" t="s">
        <v>1095</v>
      </c>
      <c r="AX7" s="625" t="s">
        <v>1096</v>
      </c>
      <c r="AY7" s="627" t="s">
        <v>269</v>
      </c>
      <c r="AZ7" s="102"/>
      <c r="BA7" s="625" t="s">
        <v>1092</v>
      </c>
      <c r="BB7" s="625" t="s">
        <v>1093</v>
      </c>
      <c r="BC7" s="625" t="s">
        <v>1094</v>
      </c>
      <c r="BD7" s="625" t="s">
        <v>1095</v>
      </c>
      <c r="BE7" s="625" t="s">
        <v>1096</v>
      </c>
      <c r="BF7" s="627" t="s">
        <v>269</v>
      </c>
      <c r="BI7" s="102"/>
      <c r="BJ7" s="625" t="s">
        <v>1092</v>
      </c>
      <c r="BK7" s="625" t="s">
        <v>1093</v>
      </c>
      <c r="BL7" s="625" t="s">
        <v>1094</v>
      </c>
      <c r="BM7" s="625" t="s">
        <v>1095</v>
      </c>
      <c r="BN7" s="625" t="s">
        <v>1096</v>
      </c>
      <c r="BO7" s="627" t="s">
        <v>269</v>
      </c>
    </row>
    <row r="8" spans="2:67" x14ac:dyDescent="0.25">
      <c r="B8" s="628" t="s">
        <v>844</v>
      </c>
      <c r="C8" s="625" t="s">
        <v>231</v>
      </c>
      <c r="D8" s="625" t="s">
        <v>231</v>
      </c>
      <c r="E8" s="625" t="s">
        <v>231</v>
      </c>
      <c r="F8" s="625" t="s">
        <v>231</v>
      </c>
      <c r="G8" s="625" t="s">
        <v>231</v>
      </c>
      <c r="H8" s="626" t="s">
        <v>231</v>
      </c>
      <c r="O8" s="628" t="s">
        <v>844</v>
      </c>
      <c r="P8" s="625" t="s">
        <v>231</v>
      </c>
      <c r="Q8" s="625" t="s">
        <v>231</v>
      </c>
      <c r="R8" s="625" t="s">
        <v>231</v>
      </c>
      <c r="S8" s="625" t="s">
        <v>231</v>
      </c>
      <c r="T8" s="625" t="s">
        <v>231</v>
      </c>
      <c r="U8" s="626" t="s">
        <v>231</v>
      </c>
      <c r="V8" s="628"/>
      <c r="W8" s="625" t="s">
        <v>231</v>
      </c>
      <c r="X8" s="625" t="s">
        <v>231</v>
      </c>
      <c r="Y8" s="625" t="s">
        <v>231</v>
      </c>
      <c r="Z8" s="625" t="s">
        <v>231</v>
      </c>
      <c r="AA8" s="625" t="s">
        <v>231</v>
      </c>
      <c r="AB8" s="626" t="s">
        <v>231</v>
      </c>
      <c r="AD8" s="628" t="s">
        <v>844</v>
      </c>
      <c r="AE8" s="625" t="s">
        <v>231</v>
      </c>
      <c r="AF8" s="625" t="s">
        <v>231</v>
      </c>
      <c r="AG8" s="625" t="s">
        <v>231</v>
      </c>
      <c r="AH8" s="625" t="s">
        <v>231</v>
      </c>
      <c r="AI8" s="625" t="s">
        <v>231</v>
      </c>
      <c r="AJ8" s="626" t="s">
        <v>231</v>
      </c>
      <c r="AK8" s="628"/>
      <c r="AL8" s="625" t="s">
        <v>231</v>
      </c>
      <c r="AM8" s="625" t="s">
        <v>231</v>
      </c>
      <c r="AN8" s="625" t="s">
        <v>231</v>
      </c>
      <c r="AO8" s="625" t="s">
        <v>231</v>
      </c>
      <c r="AP8" s="625" t="s">
        <v>231</v>
      </c>
      <c r="AQ8" s="626" t="s">
        <v>231</v>
      </c>
      <c r="AS8" s="628" t="s">
        <v>844</v>
      </c>
      <c r="AT8" s="625" t="s">
        <v>231</v>
      </c>
      <c r="AU8" s="625" t="s">
        <v>231</v>
      </c>
      <c r="AV8" s="625" t="s">
        <v>231</v>
      </c>
      <c r="AW8" s="625" t="s">
        <v>231</v>
      </c>
      <c r="AX8" s="625" t="s">
        <v>231</v>
      </c>
      <c r="AY8" s="626" t="s">
        <v>231</v>
      </c>
      <c r="AZ8" s="628"/>
      <c r="BA8" s="625" t="s">
        <v>231</v>
      </c>
      <c r="BB8" s="625" t="s">
        <v>231</v>
      </c>
      <c r="BC8" s="625" t="s">
        <v>231</v>
      </c>
      <c r="BD8" s="625" t="s">
        <v>231</v>
      </c>
      <c r="BE8" s="625" t="s">
        <v>231</v>
      </c>
      <c r="BF8" s="626" t="s">
        <v>231</v>
      </c>
      <c r="BI8" s="628" t="s">
        <v>844</v>
      </c>
      <c r="BJ8" s="625" t="s">
        <v>231</v>
      </c>
      <c r="BK8" s="625" t="s">
        <v>231</v>
      </c>
      <c r="BL8" s="625" t="s">
        <v>231</v>
      </c>
      <c r="BM8" s="625" t="s">
        <v>231</v>
      </c>
      <c r="BN8" s="625" t="s">
        <v>231</v>
      </c>
      <c r="BO8" s="626" t="s">
        <v>231</v>
      </c>
    </row>
    <row r="9" spans="2:67" x14ac:dyDescent="0.25">
      <c r="B9" s="616" t="s">
        <v>847</v>
      </c>
      <c r="C9" s="624">
        <f t="shared" ref="C9:H13" si="0">P9+AE9+AT9</f>
        <v>0</v>
      </c>
      <c r="D9" s="624">
        <f t="shared" si="0"/>
        <v>0</v>
      </c>
      <c r="E9" s="624">
        <f t="shared" si="0"/>
        <v>0</v>
      </c>
      <c r="F9" s="624">
        <f t="shared" si="0"/>
        <v>0</v>
      </c>
      <c r="G9" s="624">
        <f t="shared" si="0"/>
        <v>0</v>
      </c>
      <c r="H9" s="624">
        <f t="shared" si="0"/>
        <v>0</v>
      </c>
      <c r="O9" s="616" t="s">
        <v>847</v>
      </c>
      <c r="P9" s="614">
        <f>'A ceļi'!T17</f>
        <v>0</v>
      </c>
      <c r="Q9" s="614">
        <f>'A ceļi'!U17</f>
        <v>0</v>
      </c>
      <c r="R9" s="614">
        <f>'A ceļi'!V17</f>
        <v>0</v>
      </c>
      <c r="S9" s="614">
        <f>'A ceļi'!W17</f>
        <v>0</v>
      </c>
      <c r="T9" s="614">
        <f>'A ceļi'!X17</f>
        <v>0</v>
      </c>
      <c r="U9" s="614">
        <f>'A ceļi'!Y17</f>
        <v>0</v>
      </c>
      <c r="V9" s="616" t="s">
        <v>847</v>
      </c>
      <c r="W9" s="614">
        <f>'A ceļi'!AA17</f>
        <v>0</v>
      </c>
      <c r="X9" s="614">
        <f>'A ceļi'!AB17</f>
        <v>0</v>
      </c>
      <c r="Y9" s="614">
        <f>'A ceļi'!AC17</f>
        <v>0</v>
      </c>
      <c r="Z9" s="614">
        <f>'A ceļi'!AD17</f>
        <v>0</v>
      </c>
      <c r="AA9" s="614">
        <f>'A ceļi'!AE17</f>
        <v>0</v>
      </c>
      <c r="AB9" s="614">
        <f>'A ceļi'!AF17</f>
        <v>0</v>
      </c>
      <c r="AD9" s="616" t="s">
        <v>847</v>
      </c>
      <c r="AE9" s="614">
        <f>'B ceļi'!T51</f>
        <v>0</v>
      </c>
      <c r="AF9" s="614">
        <f>'B ceļi'!U51</f>
        <v>0</v>
      </c>
      <c r="AG9" s="614">
        <f>'B ceļi'!V51</f>
        <v>0</v>
      </c>
      <c r="AH9" s="614">
        <f>'B ceļi'!W51</f>
        <v>0</v>
      </c>
      <c r="AI9" s="614">
        <f>'B ceļi'!X51</f>
        <v>0</v>
      </c>
      <c r="AJ9" s="614">
        <f>'B ceļi'!Y51</f>
        <v>0</v>
      </c>
      <c r="AK9" s="616" t="s">
        <v>847</v>
      </c>
      <c r="AL9" s="614">
        <f>'B ceļi'!AA51</f>
        <v>0</v>
      </c>
      <c r="AM9" s="614">
        <f>'B ceļi'!AB51</f>
        <v>0</v>
      </c>
      <c r="AN9" s="614">
        <f>'B ceļi'!AC51</f>
        <v>0</v>
      </c>
      <c r="AO9" s="614">
        <f>'B ceļi'!AD51</f>
        <v>0</v>
      </c>
      <c r="AP9" s="614">
        <f>'B ceļi'!AE51</f>
        <v>0</v>
      </c>
      <c r="AQ9" s="614">
        <f>'B ceļi'!AF51</f>
        <v>0</v>
      </c>
      <c r="AS9" s="616" t="s">
        <v>847</v>
      </c>
      <c r="AT9" s="614">
        <f>'C ceļi'!T40</f>
        <v>0</v>
      </c>
      <c r="AU9" s="614">
        <f>'C ceļi'!U40</f>
        <v>0</v>
      </c>
      <c r="AV9" s="614">
        <f>'C ceļi'!V40</f>
        <v>0</v>
      </c>
      <c r="AW9" s="614">
        <f>'C ceļi'!W40</f>
        <v>0</v>
      </c>
      <c r="AX9" s="614">
        <f>'C ceļi'!X40</f>
        <v>0</v>
      </c>
      <c r="AY9" s="614">
        <f>'C ceļi'!Y40</f>
        <v>0</v>
      </c>
      <c r="AZ9" s="616" t="s">
        <v>847</v>
      </c>
      <c r="BA9" s="614">
        <f>'C ceļi'!AA40</f>
        <v>0</v>
      </c>
      <c r="BB9" s="614">
        <f>'C ceļi'!AB40</f>
        <v>0</v>
      </c>
      <c r="BC9" s="614">
        <f>'C ceļi'!AC40</f>
        <v>0</v>
      </c>
      <c r="BD9" s="614">
        <f>'C ceļi'!AD40</f>
        <v>0</v>
      </c>
      <c r="BE9" s="614">
        <f>'C ceļi'!AE40</f>
        <v>0</v>
      </c>
      <c r="BF9" s="614">
        <f>'C ceļi'!AF40</f>
        <v>0</v>
      </c>
      <c r="BI9" s="616" t="s">
        <v>847</v>
      </c>
      <c r="BJ9" s="624">
        <f>C9-W9-AL9-BA9</f>
        <v>0</v>
      </c>
      <c r="BK9" s="624">
        <f t="shared" ref="BK9:BO9" si="1">D9-X9-AM9-BB9</f>
        <v>0</v>
      </c>
      <c r="BL9" s="624">
        <f t="shared" si="1"/>
        <v>0</v>
      </c>
      <c r="BM9" s="624">
        <f t="shared" si="1"/>
        <v>0</v>
      </c>
      <c r="BN9" s="624">
        <f t="shared" si="1"/>
        <v>0</v>
      </c>
      <c r="BO9" s="624">
        <f t="shared" si="1"/>
        <v>0</v>
      </c>
    </row>
    <row r="10" spans="2:67" x14ac:dyDescent="0.25">
      <c r="B10" s="617" t="s">
        <v>848</v>
      </c>
      <c r="C10" s="624">
        <f t="shared" si="0"/>
        <v>0</v>
      </c>
      <c r="D10" s="624">
        <f t="shared" si="0"/>
        <v>0</v>
      </c>
      <c r="E10" s="624">
        <f t="shared" si="0"/>
        <v>0</v>
      </c>
      <c r="F10" s="624">
        <f t="shared" si="0"/>
        <v>0</v>
      </c>
      <c r="G10" s="624">
        <f t="shared" si="0"/>
        <v>0</v>
      </c>
      <c r="H10" s="624">
        <f t="shared" si="0"/>
        <v>0</v>
      </c>
      <c r="O10" s="617" t="s">
        <v>848</v>
      </c>
      <c r="P10" s="614">
        <f>'A ceļi'!T18</f>
        <v>0</v>
      </c>
      <c r="Q10" s="614">
        <f>'A ceļi'!U18</f>
        <v>0</v>
      </c>
      <c r="R10" s="614">
        <f>'A ceļi'!V18</f>
        <v>0</v>
      </c>
      <c r="S10" s="614">
        <f>'A ceļi'!W18</f>
        <v>0</v>
      </c>
      <c r="T10" s="614">
        <f>'A ceļi'!X18</f>
        <v>0</v>
      </c>
      <c r="U10" s="614">
        <f>'A ceļi'!Y18</f>
        <v>0</v>
      </c>
      <c r="V10" s="617" t="s">
        <v>848</v>
      </c>
      <c r="W10" s="614">
        <f>'A ceļi'!AA18</f>
        <v>0</v>
      </c>
      <c r="X10" s="614">
        <f>'A ceļi'!AB18</f>
        <v>0</v>
      </c>
      <c r="Y10" s="614">
        <f>'A ceļi'!AC18</f>
        <v>0</v>
      </c>
      <c r="Z10" s="614">
        <f>'A ceļi'!AD18</f>
        <v>0</v>
      </c>
      <c r="AA10" s="614">
        <f>'A ceļi'!AE18</f>
        <v>0</v>
      </c>
      <c r="AB10" s="614">
        <f>'A ceļi'!AF18</f>
        <v>0</v>
      </c>
      <c r="AD10" s="617" t="s">
        <v>848</v>
      </c>
      <c r="AE10" s="614">
        <f>'B ceļi'!T52</f>
        <v>0</v>
      </c>
      <c r="AF10" s="614">
        <f>'B ceļi'!U52</f>
        <v>0</v>
      </c>
      <c r="AG10" s="614">
        <f>'B ceļi'!V52</f>
        <v>0</v>
      </c>
      <c r="AH10" s="614">
        <f>'B ceļi'!W52</f>
        <v>0</v>
      </c>
      <c r="AI10" s="614">
        <f>'B ceļi'!X52</f>
        <v>0</v>
      </c>
      <c r="AJ10" s="614">
        <f>'B ceļi'!Y52</f>
        <v>0</v>
      </c>
      <c r="AK10" s="617" t="s">
        <v>848</v>
      </c>
      <c r="AL10" s="614">
        <f>'B ceļi'!AA52</f>
        <v>0</v>
      </c>
      <c r="AM10" s="614">
        <f>'B ceļi'!AB52</f>
        <v>0</v>
      </c>
      <c r="AN10" s="614">
        <f>'B ceļi'!AC52</f>
        <v>0</v>
      </c>
      <c r="AO10" s="614">
        <f>'B ceļi'!AD52</f>
        <v>0</v>
      </c>
      <c r="AP10" s="614">
        <f>'B ceļi'!AE52</f>
        <v>0</v>
      </c>
      <c r="AQ10" s="614">
        <f>'B ceļi'!AF52</f>
        <v>0</v>
      </c>
      <c r="AS10" s="617" t="s">
        <v>848</v>
      </c>
      <c r="AT10" s="614">
        <f>'C ceļi'!T41</f>
        <v>0</v>
      </c>
      <c r="AU10" s="614">
        <f>'C ceļi'!U41</f>
        <v>0</v>
      </c>
      <c r="AV10" s="614">
        <f>'C ceļi'!V41</f>
        <v>0</v>
      </c>
      <c r="AW10" s="614">
        <f>'C ceļi'!W41</f>
        <v>0</v>
      </c>
      <c r="AX10" s="614">
        <f>'C ceļi'!X41</f>
        <v>0</v>
      </c>
      <c r="AY10" s="614">
        <f>'C ceļi'!Y41</f>
        <v>0</v>
      </c>
      <c r="AZ10" s="617" t="s">
        <v>848</v>
      </c>
      <c r="BA10" s="614">
        <f>'C ceļi'!AA41</f>
        <v>0</v>
      </c>
      <c r="BB10" s="614">
        <f>'C ceļi'!AB41</f>
        <v>0</v>
      </c>
      <c r="BC10" s="614">
        <f>'C ceļi'!AC41</f>
        <v>0</v>
      </c>
      <c r="BD10" s="614">
        <f>'C ceļi'!AD41</f>
        <v>0</v>
      </c>
      <c r="BE10" s="614">
        <f>'C ceļi'!AE41</f>
        <v>0</v>
      </c>
      <c r="BF10" s="614">
        <f>'C ceļi'!AF41</f>
        <v>0</v>
      </c>
      <c r="BI10" s="617" t="s">
        <v>848</v>
      </c>
      <c r="BJ10" s="624">
        <f t="shared" ref="BJ10:BJ13" si="2">C10-W10-AL10-BA10</f>
        <v>0</v>
      </c>
      <c r="BK10" s="624">
        <f t="shared" ref="BK10:BK13" si="3">D10-X10-AM10-BB10</f>
        <v>0</v>
      </c>
      <c r="BL10" s="624">
        <f t="shared" ref="BL10:BL13" si="4">E10-Y10-AN10-BC10</f>
        <v>0</v>
      </c>
      <c r="BM10" s="624">
        <f t="shared" ref="BM10:BM13" si="5">F10-Z10-AO10-BD10</f>
        <v>0</v>
      </c>
      <c r="BN10" s="624">
        <f t="shared" ref="BN10:BN13" si="6">G10-AA10-AP10-BE10</f>
        <v>0</v>
      </c>
      <c r="BO10" s="624">
        <f t="shared" ref="BO10:BO13" si="7">H10-AB10-AQ10-BF10</f>
        <v>0</v>
      </c>
    </row>
    <row r="11" spans="2:67" x14ac:dyDescent="0.25">
      <c r="B11" s="615" t="s">
        <v>845</v>
      </c>
      <c r="C11" s="624">
        <f t="shared" si="0"/>
        <v>2.09</v>
      </c>
      <c r="D11" s="624">
        <f t="shared" si="0"/>
        <v>0</v>
      </c>
      <c r="E11" s="624">
        <f t="shared" si="0"/>
        <v>0</v>
      </c>
      <c r="F11" s="624">
        <f t="shared" si="0"/>
        <v>21.500000000000004</v>
      </c>
      <c r="G11" s="624">
        <f t="shared" si="0"/>
        <v>2.9999999999999805E-2</v>
      </c>
      <c r="H11" s="624">
        <f t="shared" si="0"/>
        <v>23.62</v>
      </c>
      <c r="O11" s="615" t="s">
        <v>845</v>
      </c>
      <c r="P11" s="614">
        <f>'A ceļi'!T19</f>
        <v>0.97</v>
      </c>
      <c r="Q11" s="614">
        <f>'A ceļi'!U19</f>
        <v>0</v>
      </c>
      <c r="R11" s="614">
        <f>'A ceļi'!V19</f>
        <v>0</v>
      </c>
      <c r="S11" s="614">
        <f>'A ceļi'!W19</f>
        <v>4.01</v>
      </c>
      <c r="T11" s="614">
        <f>'A ceļi'!X19</f>
        <v>0</v>
      </c>
      <c r="U11" s="614">
        <f>'A ceļi'!Y19</f>
        <v>4.9799999999999995</v>
      </c>
      <c r="V11" s="615" t="s">
        <v>845</v>
      </c>
      <c r="W11" s="614">
        <f>'A ceļi'!AA19</f>
        <v>0</v>
      </c>
      <c r="X11" s="614">
        <f>'A ceļi'!AB19</f>
        <v>0</v>
      </c>
      <c r="Y11" s="614">
        <f>'A ceļi'!AC19</f>
        <v>0</v>
      </c>
      <c r="Z11" s="614">
        <f>'A ceļi'!AD19</f>
        <v>0</v>
      </c>
      <c r="AA11" s="614">
        <f>'A ceļi'!AE19</f>
        <v>0</v>
      </c>
      <c r="AB11" s="614">
        <f>'A ceļi'!AF19</f>
        <v>0</v>
      </c>
      <c r="AD11" s="615" t="s">
        <v>845</v>
      </c>
      <c r="AE11" s="614">
        <f>'B ceļi'!T53</f>
        <v>0.72</v>
      </c>
      <c r="AF11" s="614">
        <f>'B ceļi'!U53</f>
        <v>0</v>
      </c>
      <c r="AG11" s="614">
        <f>'B ceļi'!V53</f>
        <v>0</v>
      </c>
      <c r="AH11" s="614">
        <f>'B ceļi'!W53</f>
        <v>17.190000000000001</v>
      </c>
      <c r="AI11" s="614">
        <f>'B ceļi'!X53</f>
        <v>2.9999999999999805E-2</v>
      </c>
      <c r="AJ11" s="614">
        <f>'B ceļi'!Y53</f>
        <v>17.940000000000001</v>
      </c>
      <c r="AK11" s="615" t="s">
        <v>845</v>
      </c>
      <c r="AL11" s="614">
        <f>'B ceļi'!AA53</f>
        <v>0</v>
      </c>
      <c r="AM11" s="614">
        <f>'B ceļi'!AB53</f>
        <v>0</v>
      </c>
      <c r="AN11" s="614">
        <f>'B ceļi'!AC53</f>
        <v>0</v>
      </c>
      <c r="AO11" s="614">
        <f>'B ceļi'!AD53</f>
        <v>4.879999999999999</v>
      </c>
      <c r="AP11" s="614">
        <f>'B ceļi'!AE53</f>
        <v>0</v>
      </c>
      <c r="AQ11" s="614">
        <f>'B ceļi'!AF53</f>
        <v>4.879999999999999</v>
      </c>
      <c r="AS11" s="615" t="s">
        <v>845</v>
      </c>
      <c r="AT11" s="614">
        <f>'C ceļi'!T42</f>
        <v>0.4</v>
      </c>
      <c r="AU11" s="614">
        <f>'C ceļi'!U42</f>
        <v>0</v>
      </c>
      <c r="AV11" s="614">
        <f>'C ceļi'!V42</f>
        <v>0</v>
      </c>
      <c r="AW11" s="614">
        <f>'C ceļi'!W42</f>
        <v>0.29999999999999993</v>
      </c>
      <c r="AX11" s="614">
        <f>'C ceļi'!X42</f>
        <v>0</v>
      </c>
      <c r="AY11" s="614">
        <f>'C ceļi'!Y42</f>
        <v>0.7</v>
      </c>
      <c r="AZ11" s="615" t="s">
        <v>845</v>
      </c>
      <c r="BA11" s="614">
        <f>'C ceļi'!AA42</f>
        <v>0</v>
      </c>
      <c r="BB11" s="614">
        <f>'C ceļi'!AB42</f>
        <v>0</v>
      </c>
      <c r="BC11" s="614">
        <f>'C ceļi'!AC42</f>
        <v>0</v>
      </c>
      <c r="BD11" s="614">
        <f>'C ceļi'!AD42</f>
        <v>0</v>
      </c>
      <c r="BE11" s="614">
        <f>'C ceļi'!AE42</f>
        <v>0</v>
      </c>
      <c r="BF11" s="614">
        <f>'C ceļi'!AF42</f>
        <v>0</v>
      </c>
      <c r="BI11" s="615" t="s">
        <v>845</v>
      </c>
      <c r="BJ11" s="624">
        <f t="shared" si="2"/>
        <v>2.09</v>
      </c>
      <c r="BK11" s="624">
        <f t="shared" si="3"/>
        <v>0</v>
      </c>
      <c r="BL11" s="624">
        <f t="shared" si="4"/>
        <v>0</v>
      </c>
      <c r="BM11" s="624">
        <f t="shared" si="5"/>
        <v>16.620000000000005</v>
      </c>
      <c r="BN11" s="624">
        <f t="shared" si="6"/>
        <v>2.9999999999999805E-2</v>
      </c>
      <c r="BO11" s="624">
        <f t="shared" si="7"/>
        <v>18.740000000000002</v>
      </c>
    </row>
    <row r="12" spans="2:67" x14ac:dyDescent="0.25">
      <c r="B12" s="616" t="s">
        <v>846</v>
      </c>
      <c r="C12" s="624">
        <f t="shared" si="0"/>
        <v>2</v>
      </c>
      <c r="D12" s="624">
        <f t="shared" si="0"/>
        <v>0</v>
      </c>
      <c r="E12" s="624">
        <f t="shared" si="0"/>
        <v>0</v>
      </c>
      <c r="F12" s="624">
        <f t="shared" si="0"/>
        <v>25.660000000000004</v>
      </c>
      <c r="G12" s="624">
        <f t="shared" si="0"/>
        <v>2.81</v>
      </c>
      <c r="H12" s="624">
        <f t="shared" si="0"/>
        <v>30.47</v>
      </c>
      <c r="O12" s="616" t="s">
        <v>846</v>
      </c>
      <c r="P12" s="614">
        <f>'A ceļi'!T20</f>
        <v>1.42</v>
      </c>
      <c r="Q12" s="614">
        <f>'A ceļi'!U20</f>
        <v>0</v>
      </c>
      <c r="R12" s="614">
        <f>'A ceļi'!V20</f>
        <v>0</v>
      </c>
      <c r="S12" s="614">
        <f>'A ceļi'!W20</f>
        <v>0</v>
      </c>
      <c r="T12" s="614">
        <f>'A ceļi'!X20</f>
        <v>0</v>
      </c>
      <c r="U12" s="614">
        <f>'A ceļi'!Y20</f>
        <v>1.42</v>
      </c>
      <c r="V12" s="616" t="s">
        <v>846</v>
      </c>
      <c r="W12" s="614">
        <f>'A ceļi'!AA20</f>
        <v>0</v>
      </c>
      <c r="X12" s="614">
        <f>'A ceļi'!AB20</f>
        <v>0</v>
      </c>
      <c r="Y12" s="614">
        <f>'A ceļi'!AC20</f>
        <v>0</v>
      </c>
      <c r="Z12" s="614">
        <f>'A ceļi'!AD20</f>
        <v>0</v>
      </c>
      <c r="AA12" s="614">
        <f>'A ceļi'!AE20</f>
        <v>0</v>
      </c>
      <c r="AB12" s="614">
        <f>'A ceļi'!AF20</f>
        <v>0</v>
      </c>
      <c r="AD12" s="616" t="s">
        <v>846</v>
      </c>
      <c r="AE12" s="614">
        <f>'B ceļi'!T54</f>
        <v>0.57999999999999996</v>
      </c>
      <c r="AF12" s="614">
        <f>'B ceļi'!U54</f>
        <v>0</v>
      </c>
      <c r="AG12" s="614">
        <f>'B ceļi'!V54</f>
        <v>0</v>
      </c>
      <c r="AH12" s="614">
        <f>'B ceļi'!W54</f>
        <v>18.61</v>
      </c>
      <c r="AI12" s="614">
        <f>'B ceļi'!X54</f>
        <v>0.97000000000000008</v>
      </c>
      <c r="AJ12" s="614">
        <f>'B ceļi'!Y54</f>
        <v>20.159999999999997</v>
      </c>
      <c r="AK12" s="616" t="s">
        <v>846</v>
      </c>
      <c r="AL12" s="614">
        <f>'B ceļi'!AA54</f>
        <v>0</v>
      </c>
      <c r="AM12" s="614">
        <f>'B ceļi'!AB54</f>
        <v>0</v>
      </c>
      <c r="AN12" s="614">
        <f>'B ceļi'!AC54</f>
        <v>0</v>
      </c>
      <c r="AO12" s="614">
        <f>'B ceļi'!AD54</f>
        <v>0.67999999999999994</v>
      </c>
      <c r="AP12" s="614">
        <f>'B ceļi'!AE54</f>
        <v>0</v>
      </c>
      <c r="AQ12" s="614">
        <f>'B ceļi'!AF54</f>
        <v>0.67999999999999994</v>
      </c>
      <c r="AS12" s="616" t="s">
        <v>846</v>
      </c>
      <c r="AT12" s="614">
        <f>'C ceļi'!T43</f>
        <v>0</v>
      </c>
      <c r="AU12" s="614">
        <f>'C ceļi'!U43</f>
        <v>0</v>
      </c>
      <c r="AV12" s="614">
        <f>'C ceļi'!V43</f>
        <v>0</v>
      </c>
      <c r="AW12" s="614">
        <f>'C ceļi'!W43</f>
        <v>7.0500000000000025</v>
      </c>
      <c r="AX12" s="614">
        <f>'C ceļi'!X43</f>
        <v>1.84</v>
      </c>
      <c r="AY12" s="614">
        <f>'C ceļi'!Y43</f>
        <v>8.8900000000000023</v>
      </c>
      <c r="AZ12" s="616" t="s">
        <v>846</v>
      </c>
      <c r="BA12" s="614">
        <f>'C ceļi'!AA43</f>
        <v>0</v>
      </c>
      <c r="BB12" s="614">
        <f>'C ceļi'!AB43</f>
        <v>0</v>
      </c>
      <c r="BC12" s="614">
        <f>'C ceļi'!AC43</f>
        <v>0</v>
      </c>
      <c r="BD12" s="614">
        <f>'C ceļi'!AD43</f>
        <v>1.1500000000000001</v>
      </c>
      <c r="BE12" s="614">
        <f>'C ceļi'!AE43</f>
        <v>0.23</v>
      </c>
      <c r="BF12" s="614">
        <f>'C ceļi'!AF43</f>
        <v>1.3800000000000001</v>
      </c>
      <c r="BI12" s="616" t="s">
        <v>846</v>
      </c>
      <c r="BJ12" s="624">
        <f t="shared" si="2"/>
        <v>2</v>
      </c>
      <c r="BK12" s="624">
        <f t="shared" si="3"/>
        <v>0</v>
      </c>
      <c r="BL12" s="624">
        <f t="shared" si="4"/>
        <v>0</v>
      </c>
      <c r="BM12" s="624">
        <f t="shared" si="5"/>
        <v>23.830000000000005</v>
      </c>
      <c r="BN12" s="624">
        <f t="shared" si="6"/>
        <v>2.58</v>
      </c>
      <c r="BO12" s="624">
        <f t="shared" si="7"/>
        <v>28.41</v>
      </c>
    </row>
    <row r="13" spans="2:67" x14ac:dyDescent="0.25">
      <c r="C13" s="624">
        <f t="shared" si="0"/>
        <v>4.09</v>
      </c>
      <c r="D13" s="624">
        <f t="shared" si="0"/>
        <v>0</v>
      </c>
      <c r="E13" s="624">
        <f t="shared" si="0"/>
        <v>0</v>
      </c>
      <c r="F13" s="624">
        <f t="shared" si="0"/>
        <v>47.16</v>
      </c>
      <c r="G13" s="624">
        <f t="shared" si="0"/>
        <v>2.84</v>
      </c>
      <c r="H13" s="624">
        <f t="shared" si="0"/>
        <v>54.089999999999996</v>
      </c>
      <c r="P13" s="614">
        <f>'A ceļi'!T21</f>
        <v>2.3899999999999997</v>
      </c>
      <c r="Q13" s="614">
        <f>'A ceļi'!U21</f>
        <v>0</v>
      </c>
      <c r="R13" s="614">
        <f>'A ceļi'!V21</f>
        <v>0</v>
      </c>
      <c r="S13" s="614">
        <f>'A ceļi'!W21</f>
        <v>4.01</v>
      </c>
      <c r="T13" s="614">
        <f>'A ceļi'!X21</f>
        <v>0</v>
      </c>
      <c r="U13" s="614">
        <f>'A ceļi'!Y21</f>
        <v>6.3999999999999995</v>
      </c>
      <c r="W13" s="614">
        <f>'A ceļi'!AA21</f>
        <v>0</v>
      </c>
      <c r="X13" s="614">
        <f>'A ceļi'!AB21</f>
        <v>0</v>
      </c>
      <c r="Y13" s="614">
        <f>'A ceļi'!AC21</f>
        <v>0</v>
      </c>
      <c r="Z13" s="614">
        <f>'A ceļi'!AD21</f>
        <v>0</v>
      </c>
      <c r="AA13" s="614">
        <f>'A ceļi'!AE21</f>
        <v>0</v>
      </c>
      <c r="AB13" s="614">
        <f>'A ceļi'!AF21</f>
        <v>0</v>
      </c>
      <c r="AE13" s="614">
        <f>'B ceļi'!T55</f>
        <v>1.2999999999999998</v>
      </c>
      <c r="AF13" s="614">
        <f>'B ceļi'!U55</f>
        <v>0</v>
      </c>
      <c r="AG13" s="614">
        <f>'B ceļi'!V55</f>
        <v>0</v>
      </c>
      <c r="AH13" s="614">
        <f>'B ceļi'!W55</f>
        <v>35.799999999999997</v>
      </c>
      <c r="AI13" s="614">
        <f>'B ceļi'!X55</f>
        <v>0.99999999999999989</v>
      </c>
      <c r="AJ13" s="614">
        <f>'B ceļi'!Y55</f>
        <v>38.099999999999994</v>
      </c>
      <c r="AL13" s="614">
        <f>'B ceļi'!AA55</f>
        <v>0</v>
      </c>
      <c r="AM13" s="614">
        <f>'B ceļi'!AB55</f>
        <v>0</v>
      </c>
      <c r="AN13" s="614">
        <f>'B ceļi'!AC55</f>
        <v>0</v>
      </c>
      <c r="AO13" s="614">
        <f>'B ceļi'!AD55</f>
        <v>5.5599999999999987</v>
      </c>
      <c r="AP13" s="614">
        <f>'B ceļi'!AE55</f>
        <v>0</v>
      </c>
      <c r="AQ13" s="614">
        <f>'B ceļi'!AF55</f>
        <v>5.5599999999999987</v>
      </c>
      <c r="AT13" s="614">
        <f>'C ceļi'!T44</f>
        <v>0.4</v>
      </c>
      <c r="AU13" s="614">
        <f>'C ceļi'!U44</f>
        <v>0</v>
      </c>
      <c r="AV13" s="614">
        <f>'C ceļi'!V44</f>
        <v>0</v>
      </c>
      <c r="AW13" s="614">
        <f>'C ceļi'!W44</f>
        <v>7.3500000000000023</v>
      </c>
      <c r="AX13" s="614">
        <f>'C ceļi'!X44</f>
        <v>1.84</v>
      </c>
      <c r="AY13" s="614">
        <f>'C ceļi'!Y44</f>
        <v>9.5900000000000016</v>
      </c>
      <c r="BA13" s="614">
        <f>'C ceļi'!AA44</f>
        <v>0</v>
      </c>
      <c r="BB13" s="614">
        <f>'C ceļi'!AB44</f>
        <v>0</v>
      </c>
      <c r="BC13" s="614">
        <f>'C ceļi'!AC44</f>
        <v>0</v>
      </c>
      <c r="BD13" s="614">
        <f>'C ceļi'!AD44</f>
        <v>1.1500000000000001</v>
      </c>
      <c r="BE13" s="614">
        <f>'C ceļi'!AE44</f>
        <v>0.23</v>
      </c>
      <c r="BF13" s="614">
        <f>'C ceļi'!AF44</f>
        <v>1.3800000000000001</v>
      </c>
      <c r="BJ13" s="624">
        <f t="shared" si="2"/>
        <v>4.09</v>
      </c>
      <c r="BK13" s="624">
        <f t="shared" si="3"/>
        <v>0</v>
      </c>
      <c r="BL13" s="624">
        <f t="shared" si="4"/>
        <v>0</v>
      </c>
      <c r="BM13" s="624">
        <f t="shared" si="5"/>
        <v>40.449999999999996</v>
      </c>
      <c r="BN13" s="624">
        <f t="shared" si="6"/>
        <v>2.61</v>
      </c>
      <c r="BO13" s="624">
        <f t="shared" si="7"/>
        <v>47.15</v>
      </c>
    </row>
    <row r="14" spans="2:67" x14ac:dyDescent="0.25">
      <c r="C14" s="633"/>
      <c r="D14" s="633"/>
      <c r="E14" s="633"/>
      <c r="F14" s="633"/>
      <c r="G14" s="633"/>
      <c r="H14" s="633"/>
      <c r="BJ14" s="633"/>
      <c r="BK14" s="633"/>
      <c r="BL14" s="633"/>
      <c r="BM14" s="633"/>
      <c r="BN14" s="633"/>
      <c r="BO14" s="633"/>
    </row>
    <row r="15" spans="2:67" x14ac:dyDescent="0.25">
      <c r="B15" t="s">
        <v>1105</v>
      </c>
      <c r="C15" s="633"/>
      <c r="D15" s="633"/>
      <c r="E15" s="633"/>
      <c r="F15" s="633"/>
      <c r="G15" s="633"/>
      <c r="H15" s="633"/>
      <c r="P15" t="s">
        <v>1106</v>
      </c>
      <c r="W15" t="s">
        <v>1097</v>
      </c>
      <c r="AE15" t="s">
        <v>1107</v>
      </c>
      <c r="AL15" t="s">
        <v>1097</v>
      </c>
      <c r="AT15" t="s">
        <v>1108</v>
      </c>
      <c r="BA15" t="s">
        <v>1097</v>
      </c>
      <c r="BI15" t="s">
        <v>1132</v>
      </c>
      <c r="BJ15" s="633"/>
      <c r="BK15" s="633"/>
      <c r="BL15" s="633"/>
      <c r="BM15" s="633"/>
      <c r="BN15" s="633"/>
      <c r="BO15" s="633"/>
    </row>
    <row r="16" spans="2:67" ht="23.25" x14ac:dyDescent="0.25">
      <c r="B16" s="102"/>
      <c r="C16" s="671" t="s">
        <v>1092</v>
      </c>
      <c r="D16" s="671" t="s">
        <v>1093</v>
      </c>
      <c r="E16" s="671" t="s">
        <v>1094</v>
      </c>
      <c r="F16" s="671" t="s">
        <v>1095</v>
      </c>
      <c r="G16" s="671" t="s">
        <v>1096</v>
      </c>
      <c r="H16" s="265" t="s">
        <v>269</v>
      </c>
      <c r="O16" s="102"/>
      <c r="P16" s="625" t="s">
        <v>1092</v>
      </c>
      <c r="Q16" s="625" t="s">
        <v>1093</v>
      </c>
      <c r="R16" s="625" t="s">
        <v>1094</v>
      </c>
      <c r="S16" s="625" t="s">
        <v>1095</v>
      </c>
      <c r="T16" s="625" t="s">
        <v>1096</v>
      </c>
      <c r="U16" s="627" t="s">
        <v>269</v>
      </c>
      <c r="V16" s="102"/>
      <c r="W16" s="625" t="s">
        <v>1092</v>
      </c>
      <c r="X16" s="625" t="s">
        <v>1093</v>
      </c>
      <c r="Y16" s="625" t="s">
        <v>1094</v>
      </c>
      <c r="Z16" s="625" t="s">
        <v>1095</v>
      </c>
      <c r="AA16" s="625" t="s">
        <v>1096</v>
      </c>
      <c r="AB16" s="627" t="s">
        <v>269</v>
      </c>
      <c r="AD16" s="102"/>
      <c r="AE16" s="625" t="s">
        <v>1092</v>
      </c>
      <c r="AF16" s="625" t="s">
        <v>1093</v>
      </c>
      <c r="AG16" s="625" t="s">
        <v>1094</v>
      </c>
      <c r="AH16" s="625" t="s">
        <v>1095</v>
      </c>
      <c r="AI16" s="625" t="s">
        <v>1096</v>
      </c>
      <c r="AJ16" s="627" t="s">
        <v>269</v>
      </c>
      <c r="AK16" s="102"/>
      <c r="AL16" s="625" t="s">
        <v>1092</v>
      </c>
      <c r="AM16" s="625" t="s">
        <v>1093</v>
      </c>
      <c r="AN16" s="625" t="s">
        <v>1094</v>
      </c>
      <c r="AO16" s="625" t="s">
        <v>1095</v>
      </c>
      <c r="AP16" s="625" t="s">
        <v>1096</v>
      </c>
      <c r="AQ16" s="627" t="s">
        <v>269</v>
      </c>
      <c r="AS16" s="102"/>
      <c r="AT16" s="625" t="s">
        <v>1092</v>
      </c>
      <c r="AU16" s="625" t="s">
        <v>1093</v>
      </c>
      <c r="AV16" s="625" t="s">
        <v>1094</v>
      </c>
      <c r="AW16" s="625" t="s">
        <v>1095</v>
      </c>
      <c r="AX16" s="625" t="s">
        <v>1096</v>
      </c>
      <c r="AY16" s="627" t="s">
        <v>269</v>
      </c>
      <c r="AZ16" s="102"/>
      <c r="BA16" s="625" t="s">
        <v>1092</v>
      </c>
      <c r="BB16" s="625" t="s">
        <v>1093</v>
      </c>
      <c r="BC16" s="625" t="s">
        <v>1094</v>
      </c>
      <c r="BD16" s="625" t="s">
        <v>1095</v>
      </c>
      <c r="BE16" s="625" t="s">
        <v>1096</v>
      </c>
      <c r="BF16" s="627" t="s">
        <v>269</v>
      </c>
      <c r="BI16" s="102"/>
      <c r="BJ16" s="671" t="s">
        <v>1092</v>
      </c>
      <c r="BK16" s="671" t="s">
        <v>1093</v>
      </c>
      <c r="BL16" s="671" t="s">
        <v>1094</v>
      </c>
      <c r="BM16" s="671" t="s">
        <v>1095</v>
      </c>
      <c r="BN16" s="671" t="s">
        <v>1096</v>
      </c>
      <c r="BO16" s="265" t="s">
        <v>269</v>
      </c>
    </row>
    <row r="17" spans="2:67" x14ac:dyDescent="0.25">
      <c r="B17" s="628" t="s">
        <v>844</v>
      </c>
      <c r="C17" s="671" t="s">
        <v>231</v>
      </c>
      <c r="D17" s="671" t="s">
        <v>231</v>
      </c>
      <c r="E17" s="671" t="s">
        <v>231</v>
      </c>
      <c r="F17" s="671" t="s">
        <v>231</v>
      </c>
      <c r="G17" s="671" t="s">
        <v>231</v>
      </c>
      <c r="H17" s="672" t="s">
        <v>231</v>
      </c>
      <c r="O17" s="628" t="s">
        <v>844</v>
      </c>
      <c r="P17" s="625" t="s">
        <v>231</v>
      </c>
      <c r="Q17" s="625" t="s">
        <v>231</v>
      </c>
      <c r="R17" s="625" t="s">
        <v>231</v>
      </c>
      <c r="S17" s="625" t="s">
        <v>231</v>
      </c>
      <c r="T17" s="625" t="s">
        <v>231</v>
      </c>
      <c r="U17" s="626" t="s">
        <v>231</v>
      </c>
      <c r="V17" s="628"/>
      <c r="W17" s="625" t="s">
        <v>231</v>
      </c>
      <c r="X17" s="625" t="s">
        <v>231</v>
      </c>
      <c r="Y17" s="625" t="s">
        <v>231</v>
      </c>
      <c r="Z17" s="625" t="s">
        <v>231</v>
      </c>
      <c r="AA17" s="625" t="s">
        <v>231</v>
      </c>
      <c r="AB17" s="626" t="s">
        <v>231</v>
      </c>
      <c r="AD17" s="628" t="s">
        <v>844</v>
      </c>
      <c r="AE17" s="625" t="s">
        <v>231</v>
      </c>
      <c r="AF17" s="625" t="s">
        <v>231</v>
      </c>
      <c r="AG17" s="625" t="s">
        <v>231</v>
      </c>
      <c r="AH17" s="625" t="s">
        <v>231</v>
      </c>
      <c r="AI17" s="625" t="s">
        <v>231</v>
      </c>
      <c r="AJ17" s="626" t="s">
        <v>231</v>
      </c>
      <c r="AK17" s="628"/>
      <c r="AL17" s="625" t="s">
        <v>231</v>
      </c>
      <c r="AM17" s="625" t="s">
        <v>231</v>
      </c>
      <c r="AN17" s="625" t="s">
        <v>231</v>
      </c>
      <c r="AO17" s="625" t="s">
        <v>231</v>
      </c>
      <c r="AP17" s="625" t="s">
        <v>231</v>
      </c>
      <c r="AQ17" s="626" t="s">
        <v>231</v>
      </c>
      <c r="AS17" s="628" t="s">
        <v>844</v>
      </c>
      <c r="AT17" s="625" t="s">
        <v>231</v>
      </c>
      <c r="AU17" s="625" t="s">
        <v>231</v>
      </c>
      <c r="AV17" s="625" t="s">
        <v>231</v>
      </c>
      <c r="AW17" s="625" t="s">
        <v>231</v>
      </c>
      <c r="AX17" s="625" t="s">
        <v>231</v>
      </c>
      <c r="AY17" s="626" t="s">
        <v>231</v>
      </c>
      <c r="AZ17" s="628"/>
      <c r="BA17" s="625" t="s">
        <v>231</v>
      </c>
      <c r="BB17" s="625" t="s">
        <v>231</v>
      </c>
      <c r="BC17" s="625" t="s">
        <v>231</v>
      </c>
      <c r="BD17" s="625" t="s">
        <v>231</v>
      </c>
      <c r="BE17" s="625" t="s">
        <v>231</v>
      </c>
      <c r="BF17" s="626" t="s">
        <v>231</v>
      </c>
      <c r="BI17" s="628" t="s">
        <v>844</v>
      </c>
      <c r="BJ17" s="671" t="s">
        <v>231</v>
      </c>
      <c r="BK17" s="671" t="s">
        <v>231</v>
      </c>
      <c r="BL17" s="671" t="s">
        <v>231</v>
      </c>
      <c r="BM17" s="671" t="s">
        <v>231</v>
      </c>
      <c r="BN17" s="671" t="s">
        <v>231</v>
      </c>
      <c r="BO17" s="672" t="s">
        <v>231</v>
      </c>
    </row>
    <row r="18" spans="2:67" x14ac:dyDescent="0.25">
      <c r="B18" s="616" t="s">
        <v>847</v>
      </c>
      <c r="C18" s="624">
        <f t="shared" ref="C18:H22" si="8">P18+AE18+AT18</f>
        <v>0</v>
      </c>
      <c r="D18" s="624">
        <f t="shared" si="8"/>
        <v>0</v>
      </c>
      <c r="E18" s="624">
        <f t="shared" si="8"/>
        <v>0</v>
      </c>
      <c r="F18" s="624">
        <f t="shared" si="8"/>
        <v>0</v>
      </c>
      <c r="G18" s="624">
        <f t="shared" si="8"/>
        <v>0</v>
      </c>
      <c r="H18" s="624">
        <f t="shared" si="8"/>
        <v>0</v>
      </c>
      <c r="O18" s="616" t="s">
        <v>847</v>
      </c>
      <c r="P18" s="614">
        <f>'A ceļi'!T37</f>
        <v>0</v>
      </c>
      <c r="Q18" s="614">
        <f>'A ceļi'!U37</f>
        <v>0</v>
      </c>
      <c r="R18" s="614">
        <f>'A ceļi'!V37</f>
        <v>0</v>
      </c>
      <c r="S18" s="614">
        <f>'A ceļi'!W37</f>
        <v>0</v>
      </c>
      <c r="T18" s="614">
        <f>'A ceļi'!X37</f>
        <v>0</v>
      </c>
      <c r="U18" s="614">
        <f>'A ceļi'!Y37</f>
        <v>0</v>
      </c>
      <c r="V18" s="616" t="s">
        <v>847</v>
      </c>
      <c r="W18" s="614">
        <f>'A ceļi'!AA37</f>
        <v>0</v>
      </c>
      <c r="X18" s="614">
        <f>'A ceļi'!AB37</f>
        <v>0</v>
      </c>
      <c r="Y18" s="614">
        <f>'A ceļi'!AC37</f>
        <v>0</v>
      </c>
      <c r="Z18" s="614">
        <f>'A ceļi'!AD37</f>
        <v>0</v>
      </c>
      <c r="AA18" s="614">
        <f>'A ceļi'!AE37</f>
        <v>0</v>
      </c>
      <c r="AB18" s="614">
        <f>'A ceļi'!AF37</f>
        <v>0</v>
      </c>
      <c r="AD18" s="616" t="s">
        <v>847</v>
      </c>
      <c r="AE18" s="614">
        <f>'B ceļi'!T178</f>
        <v>0</v>
      </c>
      <c r="AF18" s="614">
        <f>'B ceļi'!U178</f>
        <v>0</v>
      </c>
      <c r="AG18" s="614">
        <f>'B ceļi'!V178</f>
        <v>0</v>
      </c>
      <c r="AH18" s="614">
        <f>'B ceļi'!W178</f>
        <v>0</v>
      </c>
      <c r="AI18" s="614">
        <f>'B ceļi'!X178</f>
        <v>0</v>
      </c>
      <c r="AJ18" s="614">
        <f>'B ceļi'!Y178</f>
        <v>0</v>
      </c>
      <c r="AK18" s="616" t="s">
        <v>847</v>
      </c>
      <c r="AL18" s="614">
        <f>'B ceļi'!AA178</f>
        <v>0</v>
      </c>
      <c r="AM18" s="614">
        <f>'B ceļi'!AB178</f>
        <v>0</v>
      </c>
      <c r="AN18" s="614">
        <f>'B ceļi'!AC178</f>
        <v>0</v>
      </c>
      <c r="AO18" s="614">
        <f>'B ceļi'!AD178</f>
        <v>0</v>
      </c>
      <c r="AP18" s="614">
        <f>'B ceļi'!AE178</f>
        <v>0</v>
      </c>
      <c r="AQ18" s="614">
        <f>'B ceļi'!AF178</f>
        <v>0</v>
      </c>
      <c r="AS18" s="616" t="s">
        <v>847</v>
      </c>
      <c r="AT18" s="614">
        <f>'C ceļi'!T106</f>
        <v>0</v>
      </c>
      <c r="AU18" s="614">
        <f>'C ceļi'!U106</f>
        <v>0</v>
      </c>
      <c r="AV18" s="614">
        <f>'C ceļi'!V106</f>
        <v>0</v>
      </c>
      <c r="AW18" s="614">
        <f>'C ceļi'!W106</f>
        <v>0</v>
      </c>
      <c r="AX18" s="614">
        <f>'C ceļi'!X106</f>
        <v>0</v>
      </c>
      <c r="AY18" s="614">
        <f>'C ceļi'!Y106</f>
        <v>0</v>
      </c>
      <c r="AZ18" s="616" t="s">
        <v>847</v>
      </c>
      <c r="BA18" s="614">
        <f>'C ceļi'!AA106</f>
        <v>0</v>
      </c>
      <c r="BB18" s="614">
        <f>'C ceļi'!AB106</f>
        <v>0</v>
      </c>
      <c r="BC18" s="614">
        <f>'C ceļi'!AC106</f>
        <v>0</v>
      </c>
      <c r="BD18" s="614">
        <f>'C ceļi'!AD106</f>
        <v>0</v>
      </c>
      <c r="BE18" s="614">
        <f>'C ceļi'!AE106</f>
        <v>0</v>
      </c>
      <c r="BF18" s="614">
        <f>'C ceļi'!AF106</f>
        <v>0</v>
      </c>
      <c r="BI18" s="616" t="s">
        <v>847</v>
      </c>
      <c r="BJ18" s="624">
        <f>C18-W18-AL18-BA18</f>
        <v>0</v>
      </c>
      <c r="BK18" s="624">
        <f t="shared" ref="BK18:BK22" si="9">D18-X18-AM18-BB18</f>
        <v>0</v>
      </c>
      <c r="BL18" s="624">
        <f t="shared" ref="BL18:BL22" si="10">E18-Y18-AN18-BC18</f>
        <v>0</v>
      </c>
      <c r="BM18" s="624">
        <f t="shared" ref="BM18:BM22" si="11">F18-Z18-AO18-BD18</f>
        <v>0</v>
      </c>
      <c r="BN18" s="624">
        <f t="shared" ref="BN18:BN22" si="12">G18-AA18-AP18-BE18</f>
        <v>0</v>
      </c>
      <c r="BO18" s="624">
        <f t="shared" ref="BO18:BO22" si="13">H18-AB18-AQ18-BF18</f>
        <v>0</v>
      </c>
    </row>
    <row r="19" spans="2:67" x14ac:dyDescent="0.25">
      <c r="B19" s="617" t="s">
        <v>848</v>
      </c>
      <c r="C19" s="624">
        <f t="shared" si="8"/>
        <v>0</v>
      </c>
      <c r="D19" s="624">
        <f t="shared" si="8"/>
        <v>0</v>
      </c>
      <c r="E19" s="624">
        <f t="shared" si="8"/>
        <v>0</v>
      </c>
      <c r="F19" s="624">
        <f t="shared" si="8"/>
        <v>0</v>
      </c>
      <c r="G19" s="624">
        <f t="shared" si="8"/>
        <v>0</v>
      </c>
      <c r="H19" s="624">
        <f t="shared" si="8"/>
        <v>0</v>
      </c>
      <c r="O19" s="617" t="s">
        <v>848</v>
      </c>
      <c r="P19" s="614">
        <f>'A ceļi'!T38</f>
        <v>0</v>
      </c>
      <c r="Q19" s="614">
        <f>'A ceļi'!U38</f>
        <v>0</v>
      </c>
      <c r="R19" s="614">
        <f>'A ceļi'!V38</f>
        <v>0</v>
      </c>
      <c r="S19" s="614">
        <f>'A ceļi'!W38</f>
        <v>0</v>
      </c>
      <c r="T19" s="614">
        <f>'A ceļi'!X38</f>
        <v>0</v>
      </c>
      <c r="U19" s="614">
        <f>'A ceļi'!Y38</f>
        <v>0</v>
      </c>
      <c r="V19" s="617" t="s">
        <v>848</v>
      </c>
      <c r="W19" s="614">
        <f>'A ceļi'!AA38</f>
        <v>0</v>
      </c>
      <c r="X19" s="614">
        <f>'A ceļi'!AB38</f>
        <v>0</v>
      </c>
      <c r="Y19" s="614">
        <f>'A ceļi'!AC38</f>
        <v>0</v>
      </c>
      <c r="Z19" s="614">
        <f>'A ceļi'!AD38</f>
        <v>0</v>
      </c>
      <c r="AA19" s="614">
        <f>'A ceļi'!AE38</f>
        <v>0</v>
      </c>
      <c r="AB19" s="614">
        <f>'A ceļi'!AF38</f>
        <v>0</v>
      </c>
      <c r="AD19" s="617" t="s">
        <v>848</v>
      </c>
      <c r="AE19" s="614">
        <f>'B ceļi'!T179</f>
        <v>0</v>
      </c>
      <c r="AF19" s="614">
        <f>'B ceļi'!U179</f>
        <v>0</v>
      </c>
      <c r="AG19" s="614">
        <f>'B ceļi'!V179</f>
        <v>0</v>
      </c>
      <c r="AH19" s="614">
        <f>'B ceļi'!W179</f>
        <v>0</v>
      </c>
      <c r="AI19" s="614">
        <f>'B ceļi'!X179</f>
        <v>0</v>
      </c>
      <c r="AJ19" s="614">
        <f>'B ceļi'!Y179</f>
        <v>0</v>
      </c>
      <c r="AK19" s="617" t="s">
        <v>848</v>
      </c>
      <c r="AL19" s="614">
        <f>'B ceļi'!AA179</f>
        <v>0</v>
      </c>
      <c r="AM19" s="614">
        <f>'B ceļi'!AB179</f>
        <v>0</v>
      </c>
      <c r="AN19" s="614">
        <f>'B ceļi'!AC179</f>
        <v>0</v>
      </c>
      <c r="AO19" s="614">
        <f>'B ceļi'!AD179</f>
        <v>0</v>
      </c>
      <c r="AP19" s="614">
        <f>'B ceļi'!AE179</f>
        <v>0</v>
      </c>
      <c r="AQ19" s="614">
        <f>'B ceļi'!AF179</f>
        <v>0</v>
      </c>
      <c r="AS19" s="617" t="s">
        <v>848</v>
      </c>
      <c r="AT19" s="614">
        <f>'C ceļi'!T107</f>
        <v>0</v>
      </c>
      <c r="AU19" s="614">
        <f>'C ceļi'!U107</f>
        <v>0</v>
      </c>
      <c r="AV19" s="614">
        <f>'C ceļi'!V107</f>
        <v>0</v>
      </c>
      <c r="AW19" s="614">
        <f>'C ceļi'!W107</f>
        <v>0</v>
      </c>
      <c r="AX19" s="614">
        <f>'C ceļi'!X107</f>
        <v>0</v>
      </c>
      <c r="AY19" s="614">
        <f>'C ceļi'!Y107</f>
        <v>0</v>
      </c>
      <c r="AZ19" s="617" t="s">
        <v>848</v>
      </c>
      <c r="BA19" s="614">
        <f>'C ceļi'!AA107</f>
        <v>0</v>
      </c>
      <c r="BB19" s="614">
        <f>'C ceļi'!AB107</f>
        <v>0</v>
      </c>
      <c r="BC19" s="614">
        <f>'C ceļi'!AC107</f>
        <v>0</v>
      </c>
      <c r="BD19" s="614">
        <f>'C ceļi'!AD107</f>
        <v>0</v>
      </c>
      <c r="BE19" s="614">
        <f>'C ceļi'!AE107</f>
        <v>0</v>
      </c>
      <c r="BF19" s="614">
        <f>'C ceļi'!AF107</f>
        <v>0</v>
      </c>
      <c r="BI19" s="617" t="s">
        <v>848</v>
      </c>
      <c r="BJ19" s="624">
        <f t="shared" ref="BJ19:BJ22" si="14">C19-W19-AL19-BA19</f>
        <v>0</v>
      </c>
      <c r="BK19" s="624">
        <f t="shared" si="9"/>
        <v>0</v>
      </c>
      <c r="BL19" s="624">
        <f t="shared" si="10"/>
        <v>0</v>
      </c>
      <c r="BM19" s="624">
        <f t="shared" si="11"/>
        <v>0</v>
      </c>
      <c r="BN19" s="624">
        <f t="shared" si="12"/>
        <v>0</v>
      </c>
      <c r="BO19" s="624">
        <f t="shared" si="13"/>
        <v>0</v>
      </c>
    </row>
    <row r="20" spans="2:67" x14ac:dyDescent="0.25">
      <c r="B20" s="615" t="s">
        <v>845</v>
      </c>
      <c r="C20" s="624">
        <f t="shared" si="8"/>
        <v>0</v>
      </c>
      <c r="D20" s="624">
        <f t="shared" si="8"/>
        <v>0</v>
      </c>
      <c r="E20" s="624">
        <f t="shared" si="8"/>
        <v>0</v>
      </c>
      <c r="F20" s="624">
        <f t="shared" si="8"/>
        <v>19.66</v>
      </c>
      <c r="G20" s="624">
        <f t="shared" si="8"/>
        <v>0.79</v>
      </c>
      <c r="H20" s="624">
        <f t="shared" si="8"/>
        <v>20.45</v>
      </c>
      <c r="O20" s="615" t="s">
        <v>845</v>
      </c>
      <c r="P20" s="614">
        <f>'A ceļi'!T39</f>
        <v>0</v>
      </c>
      <c r="Q20" s="614">
        <f>'A ceļi'!U39</f>
        <v>0</v>
      </c>
      <c r="R20" s="614">
        <f>'A ceļi'!V39</f>
        <v>0</v>
      </c>
      <c r="S20" s="614">
        <f>'A ceļi'!W39</f>
        <v>3.31</v>
      </c>
      <c r="T20" s="614">
        <f>'A ceļi'!X39</f>
        <v>0</v>
      </c>
      <c r="U20" s="614">
        <f>'A ceļi'!Y39</f>
        <v>3.31</v>
      </c>
      <c r="V20" s="615" t="s">
        <v>845</v>
      </c>
      <c r="W20" s="614">
        <f>'A ceļi'!AA39</f>
        <v>0</v>
      </c>
      <c r="X20" s="614">
        <f>'A ceļi'!AB39</f>
        <v>0</v>
      </c>
      <c r="Y20" s="614">
        <f>'A ceļi'!AC39</f>
        <v>0</v>
      </c>
      <c r="Z20" s="614">
        <f>'A ceļi'!AD39</f>
        <v>0.09</v>
      </c>
      <c r="AA20" s="614">
        <f>'A ceļi'!AE39</f>
        <v>0</v>
      </c>
      <c r="AB20" s="614">
        <f>'A ceļi'!AF39</f>
        <v>0.09</v>
      </c>
      <c r="AD20" s="615" t="s">
        <v>845</v>
      </c>
      <c r="AE20" s="614">
        <f>'B ceļi'!T180</f>
        <v>0</v>
      </c>
      <c r="AF20" s="614">
        <f>'B ceļi'!U180</f>
        <v>0</v>
      </c>
      <c r="AG20" s="614">
        <f>'B ceļi'!V180</f>
        <v>0</v>
      </c>
      <c r="AH20" s="614">
        <f>'B ceļi'!W180</f>
        <v>16.350000000000001</v>
      </c>
      <c r="AI20" s="614">
        <f>'B ceļi'!X180</f>
        <v>0.79</v>
      </c>
      <c r="AJ20" s="614">
        <f>'B ceļi'!Y180</f>
        <v>17.14</v>
      </c>
      <c r="AK20" s="615" t="s">
        <v>845</v>
      </c>
      <c r="AL20" s="614">
        <f>'B ceļi'!AA180</f>
        <v>0</v>
      </c>
      <c r="AM20" s="614">
        <f>'B ceļi'!AB180</f>
        <v>0</v>
      </c>
      <c r="AN20" s="614">
        <f>'B ceļi'!AC180</f>
        <v>0</v>
      </c>
      <c r="AO20" s="614">
        <f>'B ceļi'!AD180</f>
        <v>0.7</v>
      </c>
      <c r="AP20" s="614">
        <f>'B ceļi'!AE180</f>
        <v>0</v>
      </c>
      <c r="AQ20" s="614">
        <f>'B ceļi'!AF180</f>
        <v>0.7</v>
      </c>
      <c r="AS20" s="615" t="s">
        <v>845</v>
      </c>
      <c r="AT20" s="614">
        <f>'C ceļi'!T108</f>
        <v>0</v>
      </c>
      <c r="AU20" s="614">
        <f>'C ceļi'!U108</f>
        <v>0</v>
      </c>
      <c r="AV20" s="614">
        <f>'C ceļi'!V108</f>
        <v>0</v>
      </c>
      <c r="AW20" s="614">
        <f>'C ceļi'!W108</f>
        <v>0</v>
      </c>
      <c r="AX20" s="614">
        <f>'C ceļi'!X108</f>
        <v>0</v>
      </c>
      <c r="AY20" s="614">
        <f>'C ceļi'!Y108</f>
        <v>0</v>
      </c>
      <c r="AZ20" s="615" t="s">
        <v>845</v>
      </c>
      <c r="BA20" s="614">
        <f>'C ceļi'!AA108</f>
        <v>0</v>
      </c>
      <c r="BB20" s="614">
        <f>'C ceļi'!AB108</f>
        <v>0</v>
      </c>
      <c r="BC20" s="614">
        <f>'C ceļi'!AC108</f>
        <v>0</v>
      </c>
      <c r="BD20" s="614">
        <f>'C ceļi'!AD108</f>
        <v>0</v>
      </c>
      <c r="BE20" s="614">
        <f>'C ceļi'!AE108</f>
        <v>0</v>
      </c>
      <c r="BF20" s="614">
        <f>'C ceļi'!AF108</f>
        <v>0</v>
      </c>
      <c r="BI20" s="615" t="s">
        <v>845</v>
      </c>
      <c r="BJ20" s="624">
        <f t="shared" si="14"/>
        <v>0</v>
      </c>
      <c r="BK20" s="624">
        <f t="shared" si="9"/>
        <v>0</v>
      </c>
      <c r="BL20" s="624">
        <f t="shared" si="10"/>
        <v>0</v>
      </c>
      <c r="BM20" s="624">
        <f t="shared" si="11"/>
        <v>18.87</v>
      </c>
      <c r="BN20" s="624">
        <f t="shared" si="12"/>
        <v>0.79</v>
      </c>
      <c r="BO20" s="624">
        <f t="shared" si="13"/>
        <v>19.66</v>
      </c>
    </row>
    <row r="21" spans="2:67" x14ac:dyDescent="0.25">
      <c r="B21" s="616" t="s">
        <v>846</v>
      </c>
      <c r="C21" s="624">
        <f t="shared" si="8"/>
        <v>0.74</v>
      </c>
      <c r="D21" s="624">
        <f t="shared" si="8"/>
        <v>0</v>
      </c>
      <c r="E21" s="624">
        <f t="shared" si="8"/>
        <v>0</v>
      </c>
      <c r="F21" s="624">
        <f t="shared" si="8"/>
        <v>65.609999999999985</v>
      </c>
      <c r="G21" s="624">
        <f t="shared" si="8"/>
        <v>2.9</v>
      </c>
      <c r="H21" s="624">
        <f t="shared" si="8"/>
        <v>69.25</v>
      </c>
      <c r="O21" s="616" t="s">
        <v>846</v>
      </c>
      <c r="P21" s="614">
        <f>'A ceļi'!T40</f>
        <v>0</v>
      </c>
      <c r="Q21" s="614">
        <f>'A ceļi'!U40</f>
        <v>0</v>
      </c>
      <c r="R21" s="614">
        <f>'A ceļi'!V40</f>
        <v>0</v>
      </c>
      <c r="S21" s="614">
        <f>'A ceļi'!W40</f>
        <v>0</v>
      </c>
      <c r="T21" s="614">
        <f>'A ceļi'!X40</f>
        <v>0</v>
      </c>
      <c r="U21" s="614">
        <f>'A ceļi'!Y40</f>
        <v>0</v>
      </c>
      <c r="V21" s="616" t="s">
        <v>846</v>
      </c>
      <c r="W21" s="614">
        <f>'A ceļi'!AA40</f>
        <v>0</v>
      </c>
      <c r="X21" s="614">
        <f>'A ceļi'!AB40</f>
        <v>0</v>
      </c>
      <c r="Y21" s="614">
        <f>'A ceļi'!AC40</f>
        <v>0</v>
      </c>
      <c r="Z21" s="614">
        <f>'A ceļi'!AD40</f>
        <v>0</v>
      </c>
      <c r="AA21" s="614">
        <f>'A ceļi'!AE40</f>
        <v>0</v>
      </c>
      <c r="AB21" s="614">
        <f>'A ceļi'!AF40</f>
        <v>0</v>
      </c>
      <c r="AD21" s="616" t="s">
        <v>846</v>
      </c>
      <c r="AE21" s="614">
        <f>'B ceļi'!T181</f>
        <v>0.52</v>
      </c>
      <c r="AF21" s="614">
        <f>'B ceļi'!U181</f>
        <v>0</v>
      </c>
      <c r="AG21" s="614">
        <f>'B ceļi'!V181</f>
        <v>0</v>
      </c>
      <c r="AH21" s="614">
        <f>'B ceļi'!W181</f>
        <v>52.649999999999991</v>
      </c>
      <c r="AI21" s="614">
        <f>'B ceļi'!X181</f>
        <v>1.0899999999999999</v>
      </c>
      <c r="AJ21" s="614">
        <f>'B ceļi'!Y181</f>
        <v>54.259999999999991</v>
      </c>
      <c r="AK21" s="616" t="s">
        <v>846</v>
      </c>
      <c r="AL21" s="614">
        <f>'B ceļi'!AA181</f>
        <v>0</v>
      </c>
      <c r="AM21" s="614">
        <f>'B ceļi'!AB181</f>
        <v>0</v>
      </c>
      <c r="AN21" s="614">
        <f>'B ceļi'!AC181</f>
        <v>0</v>
      </c>
      <c r="AO21" s="614">
        <f>'B ceļi'!AD181</f>
        <v>1.9100000000000001</v>
      </c>
      <c r="AP21" s="614">
        <f>'B ceļi'!AE181</f>
        <v>0.3</v>
      </c>
      <c r="AQ21" s="614">
        <f>'B ceļi'!AF181</f>
        <v>2.21</v>
      </c>
      <c r="AS21" s="616" t="s">
        <v>846</v>
      </c>
      <c r="AT21" s="614">
        <f>'C ceļi'!T109</f>
        <v>0.22</v>
      </c>
      <c r="AU21" s="614">
        <f>'C ceļi'!U109</f>
        <v>0</v>
      </c>
      <c r="AV21" s="614">
        <f>'C ceļi'!V109</f>
        <v>0</v>
      </c>
      <c r="AW21" s="614">
        <f>'C ceļi'!W109</f>
        <v>12.96</v>
      </c>
      <c r="AX21" s="614">
        <f>'C ceļi'!X109</f>
        <v>1.81</v>
      </c>
      <c r="AY21" s="614">
        <f>'C ceļi'!Y109</f>
        <v>14.990000000000002</v>
      </c>
      <c r="AZ21" s="616" t="s">
        <v>846</v>
      </c>
      <c r="BA21" s="614">
        <f>'C ceļi'!AA109</f>
        <v>0</v>
      </c>
      <c r="BB21" s="614">
        <f>'C ceļi'!AB109</f>
        <v>0</v>
      </c>
      <c r="BC21" s="614">
        <f>'C ceļi'!AC109</f>
        <v>0</v>
      </c>
      <c r="BD21" s="614">
        <f>'C ceļi'!AD109</f>
        <v>6.55</v>
      </c>
      <c r="BE21" s="614">
        <f>'C ceļi'!AE109</f>
        <v>0.4</v>
      </c>
      <c r="BF21" s="614">
        <f>'C ceļi'!AF109</f>
        <v>6.95</v>
      </c>
      <c r="BI21" s="616" t="s">
        <v>846</v>
      </c>
      <c r="BJ21" s="624">
        <f t="shared" si="14"/>
        <v>0.74</v>
      </c>
      <c r="BK21" s="624">
        <f t="shared" si="9"/>
        <v>0</v>
      </c>
      <c r="BL21" s="624">
        <f t="shared" si="10"/>
        <v>0</v>
      </c>
      <c r="BM21" s="624">
        <f t="shared" si="11"/>
        <v>57.149999999999991</v>
      </c>
      <c r="BN21" s="624">
        <f t="shared" si="12"/>
        <v>2.2000000000000002</v>
      </c>
      <c r="BO21" s="624">
        <f t="shared" si="13"/>
        <v>60.09</v>
      </c>
    </row>
    <row r="22" spans="2:67" x14ac:dyDescent="0.25">
      <c r="C22" s="624">
        <f t="shared" si="8"/>
        <v>0.74</v>
      </c>
      <c r="D22" s="624">
        <f t="shared" si="8"/>
        <v>0</v>
      </c>
      <c r="E22" s="624">
        <f t="shared" si="8"/>
        <v>0</v>
      </c>
      <c r="F22" s="624">
        <f t="shared" si="8"/>
        <v>85.27000000000001</v>
      </c>
      <c r="G22" s="624">
        <f t="shared" si="8"/>
        <v>3.69</v>
      </c>
      <c r="H22" s="624">
        <f t="shared" si="8"/>
        <v>89.699999999999989</v>
      </c>
      <c r="P22" s="614">
        <f>'A ceļi'!T41</f>
        <v>0</v>
      </c>
      <c r="Q22" s="614">
        <f>'A ceļi'!U41</f>
        <v>0</v>
      </c>
      <c r="R22" s="614">
        <f>'A ceļi'!V41</f>
        <v>0</v>
      </c>
      <c r="S22" s="614">
        <f>'A ceļi'!W41</f>
        <v>3.31</v>
      </c>
      <c r="T22" s="614">
        <f>'A ceļi'!X41</f>
        <v>0</v>
      </c>
      <c r="U22" s="614">
        <f>'A ceļi'!Y41</f>
        <v>3.31</v>
      </c>
      <c r="W22" s="614">
        <f>'A ceļi'!AA41</f>
        <v>0</v>
      </c>
      <c r="X22" s="614">
        <f>'A ceļi'!AB41</f>
        <v>0</v>
      </c>
      <c r="Y22" s="614">
        <f>'A ceļi'!AC41</f>
        <v>0</v>
      </c>
      <c r="Z22" s="614">
        <f>'A ceļi'!AD41</f>
        <v>0.09</v>
      </c>
      <c r="AA22" s="614">
        <f>'A ceļi'!AE41</f>
        <v>0</v>
      </c>
      <c r="AB22" s="614">
        <f>'A ceļi'!AF41</f>
        <v>0.09</v>
      </c>
      <c r="AE22" s="614">
        <f>'B ceļi'!T182</f>
        <v>0.52</v>
      </c>
      <c r="AF22" s="614">
        <f>'B ceļi'!U182</f>
        <v>0</v>
      </c>
      <c r="AG22" s="614">
        <f>'B ceļi'!V182</f>
        <v>0</v>
      </c>
      <c r="AH22" s="614">
        <f>'B ceļi'!W182</f>
        <v>69</v>
      </c>
      <c r="AI22" s="614">
        <f>'B ceļi'!X182</f>
        <v>1.88</v>
      </c>
      <c r="AJ22" s="614">
        <f>'B ceļi'!Y182</f>
        <v>71.399999999999991</v>
      </c>
      <c r="AL22" s="614">
        <f>'B ceļi'!AA182</f>
        <v>0</v>
      </c>
      <c r="AM22" s="614">
        <f>'B ceļi'!AB182</f>
        <v>0</v>
      </c>
      <c r="AN22" s="614">
        <f>'B ceļi'!AC182</f>
        <v>0</v>
      </c>
      <c r="AO22" s="614">
        <f>'B ceļi'!AD182</f>
        <v>2.6100000000000003</v>
      </c>
      <c r="AP22" s="614">
        <f>'B ceļi'!AE182</f>
        <v>0.3</v>
      </c>
      <c r="AQ22" s="614">
        <f>'B ceļi'!AF182</f>
        <v>2.91</v>
      </c>
      <c r="AT22" s="614">
        <f>'C ceļi'!T110</f>
        <v>0.22</v>
      </c>
      <c r="AU22" s="614">
        <f>'C ceļi'!U110</f>
        <v>0</v>
      </c>
      <c r="AV22" s="614">
        <f>'C ceļi'!V110</f>
        <v>0</v>
      </c>
      <c r="AW22" s="614">
        <f>'C ceļi'!W110</f>
        <v>12.96</v>
      </c>
      <c r="AX22" s="614">
        <f>'C ceļi'!X110</f>
        <v>1.81</v>
      </c>
      <c r="AY22" s="614">
        <f>'C ceļi'!Y110</f>
        <v>14.990000000000002</v>
      </c>
      <c r="BA22" s="614">
        <f>'C ceļi'!AA110</f>
        <v>0</v>
      </c>
      <c r="BB22" s="614">
        <f>'C ceļi'!AB110</f>
        <v>0</v>
      </c>
      <c r="BC22" s="614">
        <f>'C ceļi'!AC110</f>
        <v>0</v>
      </c>
      <c r="BD22" s="614">
        <f>'C ceļi'!AD110</f>
        <v>6.55</v>
      </c>
      <c r="BE22" s="614">
        <f>'C ceļi'!AE110</f>
        <v>0.4</v>
      </c>
      <c r="BF22" s="614">
        <f>'C ceļi'!AF110</f>
        <v>6.95</v>
      </c>
      <c r="BJ22" s="624">
        <f t="shared" si="14"/>
        <v>0.74</v>
      </c>
      <c r="BK22" s="624">
        <f t="shared" si="9"/>
        <v>0</v>
      </c>
      <c r="BL22" s="624">
        <f t="shared" si="10"/>
        <v>0</v>
      </c>
      <c r="BM22" s="624">
        <f t="shared" si="11"/>
        <v>76.02000000000001</v>
      </c>
      <c r="BN22" s="624">
        <f t="shared" si="12"/>
        <v>2.99</v>
      </c>
      <c r="BO22" s="624">
        <f t="shared" si="13"/>
        <v>79.749999999999986</v>
      </c>
    </row>
    <row r="23" spans="2:67" x14ac:dyDescent="0.25">
      <c r="C23" s="633"/>
      <c r="D23" s="633"/>
      <c r="E23" s="633"/>
      <c r="F23" s="633"/>
      <c r="G23" s="633"/>
      <c r="H23" s="633"/>
      <c r="BJ23" s="633"/>
      <c r="BK23" s="633"/>
      <c r="BL23" s="633"/>
      <c r="BM23" s="633"/>
      <c r="BN23" s="633"/>
      <c r="BO23" s="633"/>
    </row>
    <row r="24" spans="2:67" x14ac:dyDescent="0.25">
      <c r="B24" t="s">
        <v>1109</v>
      </c>
      <c r="C24" s="633"/>
      <c r="D24" s="633"/>
      <c r="E24" s="633"/>
      <c r="F24" s="633"/>
      <c r="G24" s="633"/>
      <c r="H24" s="633"/>
      <c r="P24" t="s">
        <v>1110</v>
      </c>
      <c r="S24" t="s">
        <v>1113</v>
      </c>
      <c r="W24" t="s">
        <v>1097</v>
      </c>
      <c r="AE24" t="s">
        <v>1111</v>
      </c>
      <c r="AL24" t="s">
        <v>1097</v>
      </c>
      <c r="AT24" t="s">
        <v>1112</v>
      </c>
      <c r="BA24" t="s">
        <v>1097</v>
      </c>
      <c r="BI24" t="s">
        <v>1133</v>
      </c>
      <c r="BJ24" s="633"/>
      <c r="BK24" s="633"/>
      <c r="BL24" s="633"/>
      <c r="BM24" s="633"/>
      <c r="BN24" s="633"/>
      <c r="BO24" s="633"/>
    </row>
    <row r="25" spans="2:67" ht="23.25" x14ac:dyDescent="0.25">
      <c r="B25" s="102"/>
      <c r="C25" s="671" t="s">
        <v>1092</v>
      </c>
      <c r="D25" s="671" t="s">
        <v>1093</v>
      </c>
      <c r="E25" s="671" t="s">
        <v>1094</v>
      </c>
      <c r="F25" s="671" t="s">
        <v>1095</v>
      </c>
      <c r="G25" s="671" t="s">
        <v>1096</v>
      </c>
      <c r="H25" s="265" t="s">
        <v>269</v>
      </c>
      <c r="O25" s="102"/>
      <c r="P25" s="625" t="s">
        <v>1092</v>
      </c>
      <c r="Q25" s="625" t="s">
        <v>1093</v>
      </c>
      <c r="R25" s="625" t="s">
        <v>1094</v>
      </c>
      <c r="S25" s="625" t="s">
        <v>1095</v>
      </c>
      <c r="T25" s="625" t="s">
        <v>1096</v>
      </c>
      <c r="U25" s="627" t="s">
        <v>269</v>
      </c>
      <c r="V25" s="102"/>
      <c r="W25" s="625" t="s">
        <v>1092</v>
      </c>
      <c r="X25" s="625" t="s">
        <v>1093</v>
      </c>
      <c r="Y25" s="625" t="s">
        <v>1094</v>
      </c>
      <c r="Z25" s="625" t="s">
        <v>1095</v>
      </c>
      <c r="AA25" s="625" t="s">
        <v>1096</v>
      </c>
      <c r="AB25" s="627" t="s">
        <v>269</v>
      </c>
      <c r="AD25" s="102"/>
      <c r="AE25" s="625" t="s">
        <v>1092</v>
      </c>
      <c r="AF25" s="625" t="s">
        <v>1093</v>
      </c>
      <c r="AG25" s="625" t="s">
        <v>1094</v>
      </c>
      <c r="AH25" s="625" t="s">
        <v>1095</v>
      </c>
      <c r="AI25" s="625" t="s">
        <v>1096</v>
      </c>
      <c r="AJ25" s="627" t="s">
        <v>269</v>
      </c>
      <c r="AK25" s="102"/>
      <c r="AL25" s="625" t="s">
        <v>1092</v>
      </c>
      <c r="AM25" s="625" t="s">
        <v>1093</v>
      </c>
      <c r="AN25" s="625" t="s">
        <v>1094</v>
      </c>
      <c r="AO25" s="625" t="s">
        <v>1095</v>
      </c>
      <c r="AP25" s="625" t="s">
        <v>1096</v>
      </c>
      <c r="AQ25" s="627" t="s">
        <v>269</v>
      </c>
      <c r="AS25" s="102"/>
      <c r="AT25" s="625" t="s">
        <v>1092</v>
      </c>
      <c r="AU25" s="625" t="s">
        <v>1093</v>
      </c>
      <c r="AV25" s="625" t="s">
        <v>1094</v>
      </c>
      <c r="AW25" s="625" t="s">
        <v>1095</v>
      </c>
      <c r="AX25" s="625" t="s">
        <v>1096</v>
      </c>
      <c r="AY25" s="627" t="s">
        <v>269</v>
      </c>
      <c r="AZ25" s="102"/>
      <c r="BA25" s="625" t="s">
        <v>1092</v>
      </c>
      <c r="BB25" s="625" t="s">
        <v>1093</v>
      </c>
      <c r="BC25" s="625" t="s">
        <v>1094</v>
      </c>
      <c r="BD25" s="625" t="s">
        <v>1095</v>
      </c>
      <c r="BE25" s="625" t="s">
        <v>1096</v>
      </c>
      <c r="BF25" s="627" t="s">
        <v>269</v>
      </c>
      <c r="BI25" s="102"/>
      <c r="BJ25" s="671" t="s">
        <v>1092</v>
      </c>
      <c r="BK25" s="671" t="s">
        <v>1093</v>
      </c>
      <c r="BL25" s="671" t="s">
        <v>1094</v>
      </c>
      <c r="BM25" s="671" t="s">
        <v>1095</v>
      </c>
      <c r="BN25" s="671" t="s">
        <v>1096</v>
      </c>
      <c r="BO25" s="265" t="s">
        <v>269</v>
      </c>
    </row>
    <row r="26" spans="2:67" x14ac:dyDescent="0.25">
      <c r="B26" s="628" t="s">
        <v>844</v>
      </c>
      <c r="C26" s="671" t="s">
        <v>231</v>
      </c>
      <c r="D26" s="671" t="s">
        <v>231</v>
      </c>
      <c r="E26" s="671" t="s">
        <v>231</v>
      </c>
      <c r="F26" s="671" t="s">
        <v>231</v>
      </c>
      <c r="G26" s="671" t="s">
        <v>231</v>
      </c>
      <c r="H26" s="672" t="s">
        <v>231</v>
      </c>
      <c r="O26" s="628" t="s">
        <v>844</v>
      </c>
      <c r="P26" s="625" t="s">
        <v>231</v>
      </c>
      <c r="Q26" s="625" t="s">
        <v>231</v>
      </c>
      <c r="R26" s="625" t="s">
        <v>231</v>
      </c>
      <c r="S26" s="625" t="s">
        <v>231</v>
      </c>
      <c r="T26" s="625" t="s">
        <v>231</v>
      </c>
      <c r="U26" s="626" t="s">
        <v>231</v>
      </c>
      <c r="V26" s="628"/>
      <c r="W26" s="625" t="s">
        <v>231</v>
      </c>
      <c r="X26" s="625" t="s">
        <v>231</v>
      </c>
      <c r="Y26" s="625" t="s">
        <v>231</v>
      </c>
      <c r="Z26" s="625" t="s">
        <v>231</v>
      </c>
      <c r="AA26" s="625" t="s">
        <v>231</v>
      </c>
      <c r="AB26" s="626" t="s">
        <v>231</v>
      </c>
      <c r="AD26" s="628" t="s">
        <v>844</v>
      </c>
      <c r="AE26" s="625" t="s">
        <v>231</v>
      </c>
      <c r="AF26" s="625" t="s">
        <v>231</v>
      </c>
      <c r="AG26" s="625" t="s">
        <v>231</v>
      </c>
      <c r="AH26" s="625" t="s">
        <v>231</v>
      </c>
      <c r="AI26" s="625" t="s">
        <v>231</v>
      </c>
      <c r="AJ26" s="626" t="s">
        <v>231</v>
      </c>
      <c r="AK26" s="628"/>
      <c r="AL26" s="625" t="s">
        <v>231</v>
      </c>
      <c r="AM26" s="625" t="s">
        <v>231</v>
      </c>
      <c r="AN26" s="625" t="s">
        <v>231</v>
      </c>
      <c r="AO26" s="625" t="s">
        <v>231</v>
      </c>
      <c r="AP26" s="625" t="s">
        <v>231</v>
      </c>
      <c r="AQ26" s="626" t="s">
        <v>231</v>
      </c>
      <c r="AS26" s="628" t="s">
        <v>844</v>
      </c>
      <c r="AT26" s="625" t="s">
        <v>231</v>
      </c>
      <c r="AU26" s="625" t="s">
        <v>231</v>
      </c>
      <c r="AV26" s="625" t="s">
        <v>231</v>
      </c>
      <c r="AW26" s="625" t="s">
        <v>231</v>
      </c>
      <c r="AX26" s="625" t="s">
        <v>231</v>
      </c>
      <c r="AY26" s="626" t="s">
        <v>231</v>
      </c>
      <c r="AZ26" s="628"/>
      <c r="BA26" s="625" t="s">
        <v>231</v>
      </c>
      <c r="BB26" s="625" t="s">
        <v>231</v>
      </c>
      <c r="BC26" s="625" t="s">
        <v>231</v>
      </c>
      <c r="BD26" s="625" t="s">
        <v>231</v>
      </c>
      <c r="BE26" s="625" t="s">
        <v>231</v>
      </c>
      <c r="BF26" s="626" t="s">
        <v>231</v>
      </c>
      <c r="BI26" s="628" t="s">
        <v>844</v>
      </c>
      <c r="BJ26" s="671" t="s">
        <v>231</v>
      </c>
      <c r="BK26" s="671" t="s">
        <v>231</v>
      </c>
      <c r="BL26" s="671" t="s">
        <v>231</v>
      </c>
      <c r="BM26" s="671" t="s">
        <v>231</v>
      </c>
      <c r="BN26" s="671" t="s">
        <v>231</v>
      </c>
      <c r="BO26" s="672" t="s">
        <v>231</v>
      </c>
    </row>
    <row r="27" spans="2:67" x14ac:dyDescent="0.25">
      <c r="B27" s="616" t="s">
        <v>847</v>
      </c>
      <c r="C27" s="624">
        <f t="shared" ref="C27:H31" si="15">P27+AE27+AT27</f>
        <v>0</v>
      </c>
      <c r="D27" s="624">
        <f t="shared" si="15"/>
        <v>0</v>
      </c>
      <c r="E27" s="624">
        <f t="shared" si="15"/>
        <v>0</v>
      </c>
      <c r="F27" s="624">
        <f t="shared" si="15"/>
        <v>0</v>
      </c>
      <c r="G27" s="624">
        <f t="shared" si="15"/>
        <v>0</v>
      </c>
      <c r="H27" s="624">
        <f t="shared" si="15"/>
        <v>0</v>
      </c>
      <c r="O27" s="616" t="s">
        <v>847</v>
      </c>
      <c r="P27" s="614"/>
      <c r="Q27" s="614"/>
      <c r="R27" s="614"/>
      <c r="S27" s="614"/>
      <c r="T27" s="614"/>
      <c r="U27" s="614"/>
      <c r="V27" s="616" t="s">
        <v>847</v>
      </c>
      <c r="W27" s="614"/>
      <c r="X27" s="614"/>
      <c r="Y27" s="614"/>
      <c r="Z27" s="614"/>
      <c r="AA27" s="614"/>
      <c r="AB27" s="614"/>
      <c r="AD27" s="616" t="s">
        <v>847</v>
      </c>
      <c r="AE27" s="614">
        <f>'B ceļi'!T89</f>
        <v>0</v>
      </c>
      <c r="AF27" s="614">
        <f>'B ceļi'!U89</f>
        <v>0</v>
      </c>
      <c r="AG27" s="614">
        <f>'B ceļi'!V89</f>
        <v>0</v>
      </c>
      <c r="AH27" s="614">
        <f>'B ceļi'!W89</f>
        <v>0</v>
      </c>
      <c r="AI27" s="614">
        <f>'B ceļi'!X89</f>
        <v>0</v>
      </c>
      <c r="AJ27" s="614">
        <f>'B ceļi'!Y89</f>
        <v>0</v>
      </c>
      <c r="AK27" s="616" t="s">
        <v>847</v>
      </c>
      <c r="AL27" s="614">
        <f>'B ceļi'!AA89</f>
        <v>0</v>
      </c>
      <c r="AM27" s="614">
        <f>'B ceļi'!AB89</f>
        <v>0</v>
      </c>
      <c r="AN27" s="614">
        <f>'B ceļi'!AC89</f>
        <v>0</v>
      </c>
      <c r="AO27" s="614">
        <f>'B ceļi'!AD89</f>
        <v>0</v>
      </c>
      <c r="AP27" s="614">
        <f>'B ceļi'!AE89</f>
        <v>0</v>
      </c>
      <c r="AQ27" s="614">
        <f>'B ceļi'!AF89</f>
        <v>0</v>
      </c>
      <c r="AS27" s="616" t="s">
        <v>847</v>
      </c>
      <c r="AT27" s="614">
        <f>'C ceļi'!T63</f>
        <v>0</v>
      </c>
      <c r="AU27" s="614">
        <f>'C ceļi'!U63</f>
        <v>0</v>
      </c>
      <c r="AV27" s="614">
        <f>'C ceļi'!V63</f>
        <v>0</v>
      </c>
      <c r="AW27" s="614">
        <f>'C ceļi'!W63</f>
        <v>0</v>
      </c>
      <c r="AX27" s="614">
        <f>'C ceļi'!X63</f>
        <v>0</v>
      </c>
      <c r="AY27" s="614">
        <f>'C ceļi'!Y63</f>
        <v>0</v>
      </c>
      <c r="AZ27" s="616" t="s">
        <v>847</v>
      </c>
      <c r="BA27" s="614">
        <f>'C ceļi'!AA63</f>
        <v>0</v>
      </c>
      <c r="BB27" s="614">
        <f>'C ceļi'!AB63</f>
        <v>0</v>
      </c>
      <c r="BC27" s="614">
        <f>'C ceļi'!AC63</f>
        <v>0</v>
      </c>
      <c r="BD27" s="614">
        <f>'C ceļi'!AD63</f>
        <v>0</v>
      </c>
      <c r="BE27" s="614">
        <f>'C ceļi'!AE63</f>
        <v>0</v>
      </c>
      <c r="BF27" s="614">
        <f>'C ceļi'!AF63</f>
        <v>0</v>
      </c>
      <c r="BI27" s="616" t="s">
        <v>847</v>
      </c>
      <c r="BJ27" s="624">
        <f>C27-W27-AL27-BA27</f>
        <v>0</v>
      </c>
      <c r="BK27" s="624">
        <f t="shared" ref="BK27:BK31" si="16">D27-X27-AM27-BB27</f>
        <v>0</v>
      </c>
      <c r="BL27" s="624">
        <f t="shared" ref="BL27:BL31" si="17">E27-Y27-AN27-BC27</f>
        <v>0</v>
      </c>
      <c r="BM27" s="624">
        <f t="shared" ref="BM27:BM31" si="18">F27-Z27-AO27-BD27</f>
        <v>0</v>
      </c>
      <c r="BN27" s="624">
        <f t="shared" ref="BN27:BN31" si="19">G27-AA27-AP27-BE27</f>
        <v>0</v>
      </c>
      <c r="BO27" s="624">
        <f t="shared" ref="BO27:BO31" si="20">H27-AB27-AQ27-BF27</f>
        <v>0</v>
      </c>
    </row>
    <row r="28" spans="2:67" x14ac:dyDescent="0.25">
      <c r="B28" s="617" t="s">
        <v>848</v>
      </c>
      <c r="C28" s="624">
        <f t="shared" si="15"/>
        <v>0</v>
      </c>
      <c r="D28" s="624">
        <f t="shared" si="15"/>
        <v>0</v>
      </c>
      <c r="E28" s="624">
        <f t="shared" si="15"/>
        <v>0</v>
      </c>
      <c r="F28" s="624">
        <f t="shared" si="15"/>
        <v>0</v>
      </c>
      <c r="G28" s="624">
        <f t="shared" si="15"/>
        <v>0</v>
      </c>
      <c r="H28" s="624">
        <f t="shared" si="15"/>
        <v>0</v>
      </c>
      <c r="O28" s="617" t="s">
        <v>848</v>
      </c>
      <c r="P28" s="614"/>
      <c r="Q28" s="614"/>
      <c r="R28" s="614"/>
      <c r="S28" s="614"/>
      <c r="T28" s="614"/>
      <c r="U28" s="614"/>
      <c r="V28" s="617" t="s">
        <v>848</v>
      </c>
      <c r="W28" s="614"/>
      <c r="X28" s="614"/>
      <c r="Y28" s="614"/>
      <c r="Z28" s="614"/>
      <c r="AA28" s="614"/>
      <c r="AB28" s="614"/>
      <c r="AD28" s="617" t="s">
        <v>848</v>
      </c>
      <c r="AE28" s="614">
        <f>'B ceļi'!T90</f>
        <v>0</v>
      </c>
      <c r="AF28" s="614">
        <f>'B ceļi'!U90</f>
        <v>0</v>
      </c>
      <c r="AG28" s="614">
        <f>'B ceļi'!V90</f>
        <v>0</v>
      </c>
      <c r="AH28" s="614">
        <f>'B ceļi'!W90</f>
        <v>0</v>
      </c>
      <c r="AI28" s="614">
        <f>'B ceļi'!X90</f>
        <v>0</v>
      </c>
      <c r="AJ28" s="614">
        <f>'B ceļi'!Y90</f>
        <v>0</v>
      </c>
      <c r="AK28" s="617" t="s">
        <v>848</v>
      </c>
      <c r="AL28" s="614">
        <f>'B ceļi'!AA90</f>
        <v>0</v>
      </c>
      <c r="AM28" s="614">
        <f>'B ceļi'!AB90</f>
        <v>0</v>
      </c>
      <c r="AN28" s="614">
        <f>'B ceļi'!AC90</f>
        <v>0</v>
      </c>
      <c r="AO28" s="614">
        <f>'B ceļi'!AD90</f>
        <v>0</v>
      </c>
      <c r="AP28" s="614">
        <f>'B ceļi'!AE90</f>
        <v>0</v>
      </c>
      <c r="AQ28" s="614">
        <f>'B ceļi'!AF90</f>
        <v>0</v>
      </c>
      <c r="AS28" s="617" t="s">
        <v>848</v>
      </c>
      <c r="AT28" s="614">
        <f>'C ceļi'!T64</f>
        <v>0</v>
      </c>
      <c r="AU28" s="614">
        <f>'C ceļi'!U64</f>
        <v>0</v>
      </c>
      <c r="AV28" s="614">
        <f>'C ceļi'!V64</f>
        <v>0</v>
      </c>
      <c r="AW28" s="614">
        <f>'C ceļi'!W64</f>
        <v>0</v>
      </c>
      <c r="AX28" s="614">
        <f>'C ceļi'!X64</f>
        <v>0</v>
      </c>
      <c r="AY28" s="614">
        <f>'C ceļi'!Y64</f>
        <v>0</v>
      </c>
      <c r="AZ28" s="617" t="s">
        <v>848</v>
      </c>
      <c r="BA28" s="614">
        <f>'C ceļi'!AA64</f>
        <v>0</v>
      </c>
      <c r="BB28" s="614">
        <f>'C ceļi'!AB64</f>
        <v>0</v>
      </c>
      <c r="BC28" s="614">
        <f>'C ceļi'!AC64</f>
        <v>0</v>
      </c>
      <c r="BD28" s="614">
        <f>'C ceļi'!AD64</f>
        <v>0</v>
      </c>
      <c r="BE28" s="614">
        <f>'C ceļi'!AE64</f>
        <v>0</v>
      </c>
      <c r="BF28" s="614">
        <f>'C ceļi'!AF64</f>
        <v>0</v>
      </c>
      <c r="BI28" s="617" t="s">
        <v>848</v>
      </c>
      <c r="BJ28" s="624">
        <f t="shared" ref="BJ28:BJ31" si="21">C28-W28-AL28-BA28</f>
        <v>0</v>
      </c>
      <c r="BK28" s="624">
        <f t="shared" si="16"/>
        <v>0</v>
      </c>
      <c r="BL28" s="624">
        <f t="shared" si="17"/>
        <v>0</v>
      </c>
      <c r="BM28" s="624">
        <f t="shared" si="18"/>
        <v>0</v>
      </c>
      <c r="BN28" s="624">
        <f t="shared" si="19"/>
        <v>0</v>
      </c>
      <c r="BO28" s="624">
        <f t="shared" si="20"/>
        <v>0</v>
      </c>
    </row>
    <row r="29" spans="2:67" x14ac:dyDescent="0.25">
      <c r="B29" s="615" t="s">
        <v>845</v>
      </c>
      <c r="C29" s="624">
        <f t="shared" si="15"/>
        <v>0</v>
      </c>
      <c r="D29" s="624">
        <f t="shared" si="15"/>
        <v>0</v>
      </c>
      <c r="E29" s="624">
        <f t="shared" si="15"/>
        <v>0</v>
      </c>
      <c r="F29" s="624">
        <f t="shared" si="15"/>
        <v>5.46</v>
      </c>
      <c r="G29" s="624">
        <f t="shared" si="15"/>
        <v>0</v>
      </c>
      <c r="H29" s="624">
        <f t="shared" si="15"/>
        <v>5.46</v>
      </c>
      <c r="O29" s="615" t="s">
        <v>845</v>
      </c>
      <c r="P29" s="614"/>
      <c r="Q29" s="614"/>
      <c r="R29" s="614"/>
      <c r="S29" s="614"/>
      <c r="T29" s="614"/>
      <c r="U29" s="614"/>
      <c r="V29" s="615" t="s">
        <v>845</v>
      </c>
      <c r="W29" s="614"/>
      <c r="X29" s="614"/>
      <c r="Y29" s="614"/>
      <c r="Z29" s="614"/>
      <c r="AA29" s="614"/>
      <c r="AB29" s="614"/>
      <c r="AD29" s="615" t="s">
        <v>845</v>
      </c>
      <c r="AE29" s="614">
        <f>'B ceļi'!T91</f>
        <v>0</v>
      </c>
      <c r="AF29" s="614">
        <f>'B ceļi'!U91</f>
        <v>0</v>
      </c>
      <c r="AG29" s="614">
        <f>'B ceļi'!V91</f>
        <v>0</v>
      </c>
      <c r="AH29" s="614">
        <f>'B ceļi'!W91</f>
        <v>5.46</v>
      </c>
      <c r="AI29" s="614">
        <f>'B ceļi'!X91</f>
        <v>0</v>
      </c>
      <c r="AJ29" s="614">
        <f>'B ceļi'!Y91</f>
        <v>5.46</v>
      </c>
      <c r="AK29" s="615" t="s">
        <v>845</v>
      </c>
      <c r="AL29" s="614">
        <f>'B ceļi'!AA91</f>
        <v>0</v>
      </c>
      <c r="AM29" s="614">
        <f>'B ceļi'!AB91</f>
        <v>0</v>
      </c>
      <c r="AN29" s="614">
        <f>'B ceļi'!AC91</f>
        <v>0</v>
      </c>
      <c r="AO29" s="614">
        <f>'B ceļi'!AD91</f>
        <v>0</v>
      </c>
      <c r="AP29" s="614">
        <f>'B ceļi'!AE91</f>
        <v>0</v>
      </c>
      <c r="AQ29" s="614">
        <f>'B ceļi'!AF91</f>
        <v>0</v>
      </c>
      <c r="AS29" s="615" t="s">
        <v>845</v>
      </c>
      <c r="AT29" s="614">
        <f>'C ceļi'!T65</f>
        <v>0</v>
      </c>
      <c r="AU29" s="614">
        <f>'C ceļi'!U65</f>
        <v>0</v>
      </c>
      <c r="AV29" s="614">
        <f>'C ceļi'!V65</f>
        <v>0</v>
      </c>
      <c r="AW29" s="614">
        <f>'C ceļi'!W65</f>
        <v>0</v>
      </c>
      <c r="AX29" s="614">
        <f>'C ceļi'!X65</f>
        <v>0</v>
      </c>
      <c r="AY29" s="614">
        <f>'C ceļi'!Y65</f>
        <v>0</v>
      </c>
      <c r="AZ29" s="615" t="s">
        <v>845</v>
      </c>
      <c r="BA29" s="614">
        <f>'C ceļi'!AA65</f>
        <v>0</v>
      </c>
      <c r="BB29" s="614">
        <f>'C ceļi'!AB65</f>
        <v>0</v>
      </c>
      <c r="BC29" s="614">
        <f>'C ceļi'!AC65</f>
        <v>0</v>
      </c>
      <c r="BD29" s="614">
        <f>'C ceļi'!AD65</f>
        <v>0</v>
      </c>
      <c r="BE29" s="614">
        <f>'C ceļi'!AE65</f>
        <v>0</v>
      </c>
      <c r="BF29" s="614">
        <f>'C ceļi'!AF65</f>
        <v>0</v>
      </c>
      <c r="BI29" s="615" t="s">
        <v>845</v>
      </c>
      <c r="BJ29" s="624">
        <f t="shared" si="21"/>
        <v>0</v>
      </c>
      <c r="BK29" s="624">
        <f t="shared" si="16"/>
        <v>0</v>
      </c>
      <c r="BL29" s="624">
        <f t="shared" si="17"/>
        <v>0</v>
      </c>
      <c r="BM29" s="624">
        <f t="shared" si="18"/>
        <v>5.46</v>
      </c>
      <c r="BN29" s="624">
        <f t="shared" si="19"/>
        <v>0</v>
      </c>
      <c r="BO29" s="624">
        <f t="shared" si="20"/>
        <v>5.46</v>
      </c>
    </row>
    <row r="30" spans="2:67" x14ac:dyDescent="0.25">
      <c r="B30" s="616" t="s">
        <v>846</v>
      </c>
      <c r="C30" s="624">
        <f t="shared" si="15"/>
        <v>0</v>
      </c>
      <c r="D30" s="624">
        <f t="shared" si="15"/>
        <v>0</v>
      </c>
      <c r="E30" s="624">
        <f t="shared" si="15"/>
        <v>7.0000000000000007E-2</v>
      </c>
      <c r="F30" s="624">
        <f t="shared" si="15"/>
        <v>27.229999999999997</v>
      </c>
      <c r="G30" s="624">
        <f t="shared" si="15"/>
        <v>0.71</v>
      </c>
      <c r="H30" s="624">
        <f t="shared" si="15"/>
        <v>28.009999999999994</v>
      </c>
      <c r="O30" s="616" t="s">
        <v>846</v>
      </c>
      <c r="P30" s="614"/>
      <c r="Q30" s="614"/>
      <c r="R30" s="614"/>
      <c r="S30" s="614"/>
      <c r="T30" s="614"/>
      <c r="U30" s="614"/>
      <c r="V30" s="616" t="s">
        <v>846</v>
      </c>
      <c r="W30" s="614"/>
      <c r="X30" s="614"/>
      <c r="Y30" s="614"/>
      <c r="Z30" s="614"/>
      <c r="AA30" s="614"/>
      <c r="AB30" s="614"/>
      <c r="AD30" s="616" t="s">
        <v>846</v>
      </c>
      <c r="AE30" s="614">
        <f>'B ceļi'!T92</f>
        <v>0</v>
      </c>
      <c r="AF30" s="614">
        <f>'B ceļi'!U92</f>
        <v>0</v>
      </c>
      <c r="AG30" s="614">
        <f>'B ceļi'!V92</f>
        <v>7.0000000000000007E-2</v>
      </c>
      <c r="AH30" s="614">
        <f>'B ceļi'!W92</f>
        <v>21.219999999999995</v>
      </c>
      <c r="AI30" s="614">
        <f>'B ceļi'!X92</f>
        <v>0.25</v>
      </c>
      <c r="AJ30" s="614">
        <f>'B ceļi'!Y92</f>
        <v>21.539999999999996</v>
      </c>
      <c r="AK30" s="616" t="s">
        <v>846</v>
      </c>
      <c r="AL30" s="614">
        <f>'B ceļi'!AA92</f>
        <v>0</v>
      </c>
      <c r="AM30" s="614">
        <f>'B ceļi'!AB92</f>
        <v>0</v>
      </c>
      <c r="AN30" s="614">
        <f>'B ceļi'!AC92</f>
        <v>0</v>
      </c>
      <c r="AO30" s="614">
        <f>'B ceļi'!AD92</f>
        <v>0.46</v>
      </c>
      <c r="AP30" s="614">
        <f>'B ceļi'!AE92</f>
        <v>0</v>
      </c>
      <c r="AQ30" s="614">
        <f>'B ceļi'!AF92</f>
        <v>0.46</v>
      </c>
      <c r="AS30" s="616" t="s">
        <v>846</v>
      </c>
      <c r="AT30" s="614">
        <f>'C ceļi'!T66</f>
        <v>0</v>
      </c>
      <c r="AU30" s="614">
        <f>'C ceļi'!U66</f>
        <v>0</v>
      </c>
      <c r="AV30" s="614">
        <f>'C ceļi'!V66</f>
        <v>0</v>
      </c>
      <c r="AW30" s="614">
        <f>'C ceļi'!W66</f>
        <v>6.01</v>
      </c>
      <c r="AX30" s="614">
        <f>'C ceļi'!X66</f>
        <v>0.45999999999999996</v>
      </c>
      <c r="AY30" s="614">
        <f>'C ceļi'!Y66</f>
        <v>6.47</v>
      </c>
      <c r="AZ30" s="616" t="s">
        <v>846</v>
      </c>
      <c r="BA30" s="614">
        <f>'C ceļi'!AA66</f>
        <v>0</v>
      </c>
      <c r="BB30" s="614">
        <f>'C ceļi'!AB66</f>
        <v>0</v>
      </c>
      <c r="BC30" s="614">
        <f>'C ceļi'!AC66</f>
        <v>0</v>
      </c>
      <c r="BD30" s="614">
        <f>'C ceļi'!AD66</f>
        <v>0</v>
      </c>
      <c r="BE30" s="614">
        <f>'C ceļi'!AE66</f>
        <v>0</v>
      </c>
      <c r="BF30" s="614">
        <f>'C ceļi'!AF66</f>
        <v>0</v>
      </c>
      <c r="BI30" s="616" t="s">
        <v>846</v>
      </c>
      <c r="BJ30" s="624">
        <f t="shared" si="21"/>
        <v>0</v>
      </c>
      <c r="BK30" s="624">
        <f t="shared" si="16"/>
        <v>0</v>
      </c>
      <c r="BL30" s="624">
        <f t="shared" si="17"/>
        <v>7.0000000000000007E-2</v>
      </c>
      <c r="BM30" s="624">
        <f t="shared" si="18"/>
        <v>26.769999999999996</v>
      </c>
      <c r="BN30" s="624">
        <f t="shared" si="19"/>
        <v>0.71</v>
      </c>
      <c r="BO30" s="624">
        <f t="shared" si="20"/>
        <v>27.549999999999994</v>
      </c>
    </row>
    <row r="31" spans="2:67" x14ac:dyDescent="0.25">
      <c r="C31" s="624">
        <f t="shared" si="15"/>
        <v>0</v>
      </c>
      <c r="D31" s="624">
        <f t="shared" si="15"/>
        <v>0</v>
      </c>
      <c r="E31" s="624">
        <f t="shared" si="15"/>
        <v>7.0000000000000007E-2</v>
      </c>
      <c r="F31" s="624">
        <f t="shared" si="15"/>
        <v>32.69</v>
      </c>
      <c r="G31" s="624">
        <f t="shared" si="15"/>
        <v>0.71</v>
      </c>
      <c r="H31" s="624">
        <f t="shared" si="15"/>
        <v>33.47</v>
      </c>
      <c r="P31" s="614"/>
      <c r="Q31" s="614"/>
      <c r="R31" s="614"/>
      <c r="S31" s="614"/>
      <c r="T31" s="614"/>
      <c r="U31" s="614"/>
      <c r="W31" s="614"/>
      <c r="X31" s="614"/>
      <c r="Y31" s="614"/>
      <c r="Z31" s="614"/>
      <c r="AA31" s="614"/>
      <c r="AB31" s="614"/>
      <c r="AE31" s="614">
        <f>'B ceļi'!T93</f>
        <v>0</v>
      </c>
      <c r="AF31" s="614">
        <f>'B ceļi'!U93</f>
        <v>0</v>
      </c>
      <c r="AG31" s="614">
        <f>'B ceļi'!V93</f>
        <v>7.0000000000000007E-2</v>
      </c>
      <c r="AH31" s="614">
        <f>'B ceļi'!W93</f>
        <v>26.679999999999996</v>
      </c>
      <c r="AI31" s="614">
        <f>'B ceļi'!X93</f>
        <v>0.25</v>
      </c>
      <c r="AJ31" s="614">
        <f>'B ceļi'!Y93</f>
        <v>26.999999999999996</v>
      </c>
      <c r="AL31" s="614">
        <f>'B ceļi'!AA93</f>
        <v>0</v>
      </c>
      <c r="AM31" s="614">
        <f>'B ceļi'!AB93</f>
        <v>0</v>
      </c>
      <c r="AN31" s="614">
        <f>'B ceļi'!AC93</f>
        <v>0</v>
      </c>
      <c r="AO31" s="614">
        <f>'B ceļi'!AD93</f>
        <v>0.46</v>
      </c>
      <c r="AP31" s="614">
        <f>'B ceļi'!AE93</f>
        <v>0</v>
      </c>
      <c r="AQ31" s="614">
        <f>'B ceļi'!AF93</f>
        <v>0.46</v>
      </c>
      <c r="AT31" s="614">
        <f>'C ceļi'!T67</f>
        <v>0</v>
      </c>
      <c r="AU31" s="614">
        <f>'C ceļi'!U67</f>
        <v>0</v>
      </c>
      <c r="AV31" s="614">
        <f>'C ceļi'!V67</f>
        <v>0</v>
      </c>
      <c r="AW31" s="614">
        <f>'C ceļi'!W67</f>
        <v>6.01</v>
      </c>
      <c r="AX31" s="614">
        <f>'C ceļi'!X67</f>
        <v>0.45999999999999996</v>
      </c>
      <c r="AY31" s="614">
        <f>'C ceļi'!Y67</f>
        <v>6.47</v>
      </c>
      <c r="BA31" s="614">
        <f>'C ceļi'!AA67</f>
        <v>0</v>
      </c>
      <c r="BB31" s="614">
        <f>'C ceļi'!AB67</f>
        <v>0</v>
      </c>
      <c r="BC31" s="614">
        <f>'C ceļi'!AC67</f>
        <v>0</v>
      </c>
      <c r="BD31" s="614">
        <f>'C ceļi'!AD67</f>
        <v>0</v>
      </c>
      <c r="BE31" s="614">
        <f>'C ceļi'!AE67</f>
        <v>0</v>
      </c>
      <c r="BF31" s="614">
        <f>'C ceļi'!AF67</f>
        <v>0</v>
      </c>
      <c r="BJ31" s="624">
        <f t="shared" si="21"/>
        <v>0</v>
      </c>
      <c r="BK31" s="624">
        <f t="shared" si="16"/>
        <v>0</v>
      </c>
      <c r="BL31" s="624">
        <f t="shared" si="17"/>
        <v>7.0000000000000007E-2</v>
      </c>
      <c r="BM31" s="624">
        <f t="shared" si="18"/>
        <v>32.229999999999997</v>
      </c>
      <c r="BN31" s="624">
        <f t="shared" si="19"/>
        <v>0.71</v>
      </c>
      <c r="BO31" s="624">
        <f t="shared" si="20"/>
        <v>33.01</v>
      </c>
    </row>
    <row r="32" spans="2:67" x14ac:dyDescent="0.25">
      <c r="C32" s="633"/>
      <c r="D32" s="633"/>
      <c r="E32" s="633"/>
      <c r="F32" s="633"/>
      <c r="G32" s="633"/>
      <c r="H32" s="633"/>
      <c r="BJ32" s="633"/>
      <c r="BK32" s="633"/>
      <c r="BL32" s="633"/>
      <c r="BM32" s="633"/>
      <c r="BN32" s="633"/>
      <c r="BO32" s="633"/>
    </row>
    <row r="33" spans="2:67" x14ac:dyDescent="0.25">
      <c r="B33" t="s">
        <v>1114</v>
      </c>
      <c r="C33" s="633"/>
      <c r="D33" s="633"/>
      <c r="E33" s="633"/>
      <c r="F33" s="633"/>
      <c r="G33" s="633"/>
      <c r="H33" s="633"/>
      <c r="P33" t="s">
        <v>1115</v>
      </c>
      <c r="W33" t="s">
        <v>1097</v>
      </c>
      <c r="AE33" t="s">
        <v>1116</v>
      </c>
      <c r="AL33" t="s">
        <v>1097</v>
      </c>
      <c r="AT33" t="s">
        <v>1117</v>
      </c>
      <c r="BA33" t="s">
        <v>1097</v>
      </c>
      <c r="BI33" t="s">
        <v>1134</v>
      </c>
      <c r="BJ33" s="633"/>
      <c r="BK33" s="633"/>
      <c r="BL33" s="633"/>
      <c r="BM33" s="633"/>
      <c r="BN33" s="633"/>
      <c r="BO33" s="633"/>
    </row>
    <row r="34" spans="2:67" ht="23.25" x14ac:dyDescent="0.25">
      <c r="B34" s="102"/>
      <c r="C34" s="671" t="s">
        <v>1092</v>
      </c>
      <c r="D34" s="671" t="s">
        <v>1093</v>
      </c>
      <c r="E34" s="671" t="s">
        <v>1094</v>
      </c>
      <c r="F34" s="671" t="s">
        <v>1095</v>
      </c>
      <c r="G34" s="671" t="s">
        <v>1096</v>
      </c>
      <c r="H34" s="265" t="s">
        <v>269</v>
      </c>
      <c r="O34" s="102"/>
      <c r="P34" s="625" t="s">
        <v>1092</v>
      </c>
      <c r="Q34" s="625" t="s">
        <v>1093</v>
      </c>
      <c r="R34" s="625" t="s">
        <v>1094</v>
      </c>
      <c r="S34" s="625" t="s">
        <v>1095</v>
      </c>
      <c r="T34" s="625" t="s">
        <v>1096</v>
      </c>
      <c r="U34" s="627" t="s">
        <v>269</v>
      </c>
      <c r="V34" s="102"/>
      <c r="W34" s="625" t="s">
        <v>1092</v>
      </c>
      <c r="X34" s="625" t="s">
        <v>1093</v>
      </c>
      <c r="Y34" s="625" t="s">
        <v>1094</v>
      </c>
      <c r="Z34" s="625" t="s">
        <v>1095</v>
      </c>
      <c r="AA34" s="625" t="s">
        <v>1096</v>
      </c>
      <c r="AB34" s="627" t="s">
        <v>269</v>
      </c>
      <c r="AD34" s="102"/>
      <c r="AE34" s="625" t="s">
        <v>1092</v>
      </c>
      <c r="AF34" s="625" t="s">
        <v>1093</v>
      </c>
      <c r="AG34" s="625" t="s">
        <v>1094</v>
      </c>
      <c r="AH34" s="625" t="s">
        <v>1095</v>
      </c>
      <c r="AI34" s="625" t="s">
        <v>1096</v>
      </c>
      <c r="AJ34" s="627" t="s">
        <v>269</v>
      </c>
      <c r="AK34" s="102"/>
      <c r="AL34" s="625" t="s">
        <v>1092</v>
      </c>
      <c r="AM34" s="625" t="s">
        <v>1093</v>
      </c>
      <c r="AN34" s="625" t="s">
        <v>1094</v>
      </c>
      <c r="AO34" s="625" t="s">
        <v>1095</v>
      </c>
      <c r="AP34" s="625" t="s">
        <v>1096</v>
      </c>
      <c r="AQ34" s="627" t="s">
        <v>269</v>
      </c>
      <c r="AS34" s="102"/>
      <c r="AT34" s="625" t="s">
        <v>1092</v>
      </c>
      <c r="AU34" s="625" t="s">
        <v>1093</v>
      </c>
      <c r="AV34" s="625" t="s">
        <v>1094</v>
      </c>
      <c r="AW34" s="625" t="s">
        <v>1095</v>
      </c>
      <c r="AX34" s="625" t="s">
        <v>1096</v>
      </c>
      <c r="AY34" s="627" t="s">
        <v>269</v>
      </c>
      <c r="AZ34" s="102"/>
      <c r="BA34" s="625" t="s">
        <v>1092</v>
      </c>
      <c r="BB34" s="625" t="s">
        <v>1093</v>
      </c>
      <c r="BC34" s="625" t="s">
        <v>1094</v>
      </c>
      <c r="BD34" s="625" t="s">
        <v>1095</v>
      </c>
      <c r="BE34" s="625" t="s">
        <v>1096</v>
      </c>
      <c r="BF34" s="627" t="s">
        <v>269</v>
      </c>
      <c r="BI34" s="102"/>
      <c r="BJ34" s="671" t="s">
        <v>1092</v>
      </c>
      <c r="BK34" s="671" t="s">
        <v>1093</v>
      </c>
      <c r="BL34" s="671" t="s">
        <v>1094</v>
      </c>
      <c r="BM34" s="671" t="s">
        <v>1095</v>
      </c>
      <c r="BN34" s="671" t="s">
        <v>1096</v>
      </c>
      <c r="BO34" s="265" t="s">
        <v>269</v>
      </c>
    </row>
    <row r="35" spans="2:67" x14ac:dyDescent="0.25">
      <c r="B35" s="628" t="s">
        <v>844</v>
      </c>
      <c r="C35" s="671" t="s">
        <v>231</v>
      </c>
      <c r="D35" s="671" t="s">
        <v>231</v>
      </c>
      <c r="E35" s="671" t="s">
        <v>231</v>
      </c>
      <c r="F35" s="671" t="s">
        <v>231</v>
      </c>
      <c r="G35" s="671" t="s">
        <v>231</v>
      </c>
      <c r="H35" s="672" t="s">
        <v>231</v>
      </c>
      <c r="O35" s="628" t="s">
        <v>844</v>
      </c>
      <c r="P35" s="625" t="s">
        <v>231</v>
      </c>
      <c r="Q35" s="625" t="s">
        <v>231</v>
      </c>
      <c r="R35" s="625" t="s">
        <v>231</v>
      </c>
      <c r="S35" s="625" t="s">
        <v>231</v>
      </c>
      <c r="T35" s="625" t="s">
        <v>231</v>
      </c>
      <c r="U35" s="626" t="s">
        <v>231</v>
      </c>
      <c r="V35" s="628"/>
      <c r="W35" s="625" t="s">
        <v>231</v>
      </c>
      <c r="X35" s="625" t="s">
        <v>231</v>
      </c>
      <c r="Y35" s="625" t="s">
        <v>231</v>
      </c>
      <c r="Z35" s="625" t="s">
        <v>231</v>
      </c>
      <c r="AA35" s="625" t="s">
        <v>231</v>
      </c>
      <c r="AB35" s="626" t="s">
        <v>231</v>
      </c>
      <c r="AD35" s="628" t="s">
        <v>844</v>
      </c>
      <c r="AE35" s="625" t="s">
        <v>231</v>
      </c>
      <c r="AF35" s="625" t="s">
        <v>231</v>
      </c>
      <c r="AG35" s="625" t="s">
        <v>231</v>
      </c>
      <c r="AH35" s="625" t="s">
        <v>231</v>
      </c>
      <c r="AI35" s="625" t="s">
        <v>231</v>
      </c>
      <c r="AJ35" s="626" t="s">
        <v>231</v>
      </c>
      <c r="AK35" s="628"/>
      <c r="AL35" s="625" t="s">
        <v>231</v>
      </c>
      <c r="AM35" s="625" t="s">
        <v>231</v>
      </c>
      <c r="AN35" s="625" t="s">
        <v>231</v>
      </c>
      <c r="AO35" s="625" t="s">
        <v>231</v>
      </c>
      <c r="AP35" s="625" t="s">
        <v>231</v>
      </c>
      <c r="AQ35" s="626" t="s">
        <v>231</v>
      </c>
      <c r="AS35" s="628" t="s">
        <v>844</v>
      </c>
      <c r="AT35" s="625" t="s">
        <v>231</v>
      </c>
      <c r="AU35" s="625" t="s">
        <v>231</v>
      </c>
      <c r="AV35" s="625" t="s">
        <v>231</v>
      </c>
      <c r="AW35" s="625" t="s">
        <v>231</v>
      </c>
      <c r="AX35" s="625" t="s">
        <v>231</v>
      </c>
      <c r="AY35" s="626" t="s">
        <v>231</v>
      </c>
      <c r="AZ35" s="628"/>
      <c r="BA35" s="625" t="s">
        <v>231</v>
      </c>
      <c r="BB35" s="625" t="s">
        <v>231</v>
      </c>
      <c r="BC35" s="625" t="s">
        <v>231</v>
      </c>
      <c r="BD35" s="625" t="s">
        <v>231</v>
      </c>
      <c r="BE35" s="625" t="s">
        <v>231</v>
      </c>
      <c r="BF35" s="626" t="s">
        <v>231</v>
      </c>
      <c r="BI35" s="628" t="s">
        <v>844</v>
      </c>
      <c r="BJ35" s="671" t="s">
        <v>231</v>
      </c>
      <c r="BK35" s="671" t="s">
        <v>231</v>
      </c>
      <c r="BL35" s="671" t="s">
        <v>231</v>
      </c>
      <c r="BM35" s="671" t="s">
        <v>231</v>
      </c>
      <c r="BN35" s="671" t="s">
        <v>231</v>
      </c>
      <c r="BO35" s="672" t="s">
        <v>231</v>
      </c>
    </row>
    <row r="36" spans="2:67" x14ac:dyDescent="0.25">
      <c r="B36" s="616" t="s">
        <v>847</v>
      </c>
      <c r="C36" s="624">
        <f t="shared" ref="C36:H40" si="22">P36+AE36+AT36</f>
        <v>0</v>
      </c>
      <c r="D36" s="624">
        <f t="shared" si="22"/>
        <v>0</v>
      </c>
      <c r="E36" s="624">
        <f t="shared" si="22"/>
        <v>0</v>
      </c>
      <c r="F36" s="624">
        <f t="shared" si="22"/>
        <v>0</v>
      </c>
      <c r="G36" s="624">
        <f t="shared" si="22"/>
        <v>0</v>
      </c>
      <c r="H36" s="624">
        <f t="shared" si="22"/>
        <v>0</v>
      </c>
      <c r="O36" s="616" t="s">
        <v>847</v>
      </c>
      <c r="P36" s="614">
        <f>'A ceļi'!T55</f>
        <v>0</v>
      </c>
      <c r="Q36" s="614">
        <f>'A ceļi'!U55</f>
        <v>0</v>
      </c>
      <c r="R36" s="614">
        <f>'A ceļi'!V55</f>
        <v>0</v>
      </c>
      <c r="S36" s="614">
        <f>'A ceļi'!W55</f>
        <v>0</v>
      </c>
      <c r="T36" s="614">
        <f>'A ceļi'!X55</f>
        <v>0</v>
      </c>
      <c r="U36" s="614">
        <f>'A ceļi'!Y55</f>
        <v>0</v>
      </c>
      <c r="V36" s="616" t="s">
        <v>847</v>
      </c>
      <c r="W36" s="614">
        <f>'A ceļi'!AA55</f>
        <v>0</v>
      </c>
      <c r="X36" s="614">
        <f>'A ceļi'!AB55</f>
        <v>0</v>
      </c>
      <c r="Y36" s="614">
        <f>'A ceļi'!AC55</f>
        <v>0</v>
      </c>
      <c r="Z36" s="614">
        <f>'A ceļi'!AD55</f>
        <v>0</v>
      </c>
      <c r="AA36" s="614">
        <f>'A ceļi'!AE55</f>
        <v>0</v>
      </c>
      <c r="AB36" s="614">
        <f>'A ceļi'!AF55</f>
        <v>0</v>
      </c>
      <c r="AD36" s="616" t="s">
        <v>847</v>
      </c>
      <c r="AE36" s="614">
        <f>'B ceļi'!T238</f>
        <v>0</v>
      </c>
      <c r="AF36" s="614">
        <f>'B ceļi'!U238</f>
        <v>0</v>
      </c>
      <c r="AG36" s="614">
        <f>'B ceļi'!V238</f>
        <v>0</v>
      </c>
      <c r="AH36" s="614">
        <f>'B ceļi'!W238</f>
        <v>0</v>
      </c>
      <c r="AI36" s="614">
        <f>'B ceļi'!X238</f>
        <v>0</v>
      </c>
      <c r="AJ36" s="614">
        <f>'B ceļi'!Y238</f>
        <v>0</v>
      </c>
      <c r="AK36" s="616" t="s">
        <v>847</v>
      </c>
      <c r="AL36" s="614">
        <f>'B ceļi'!AA238</f>
        <v>0</v>
      </c>
      <c r="AM36" s="614">
        <f>'B ceļi'!AB238</f>
        <v>0</v>
      </c>
      <c r="AN36" s="614">
        <f>'B ceļi'!AC238</f>
        <v>0</v>
      </c>
      <c r="AO36" s="614">
        <f>'B ceļi'!AD238</f>
        <v>0</v>
      </c>
      <c r="AP36" s="614">
        <f>'B ceļi'!AE238</f>
        <v>0</v>
      </c>
      <c r="AQ36" s="614">
        <f>'B ceļi'!AF238</f>
        <v>0</v>
      </c>
      <c r="AS36" s="616" t="s">
        <v>847</v>
      </c>
      <c r="AT36" s="614">
        <f>'C ceļi'!T138</f>
        <v>0</v>
      </c>
      <c r="AU36" s="614">
        <f>'C ceļi'!U138</f>
        <v>0</v>
      </c>
      <c r="AV36" s="614">
        <f>'C ceļi'!V138</f>
        <v>0</v>
      </c>
      <c r="AW36" s="614">
        <f>'C ceļi'!W138</f>
        <v>0</v>
      </c>
      <c r="AX36" s="614">
        <f>'C ceļi'!X138</f>
        <v>0</v>
      </c>
      <c r="AY36" s="614">
        <f>'C ceļi'!Y138</f>
        <v>0</v>
      </c>
      <c r="AZ36" s="616" t="s">
        <v>847</v>
      </c>
      <c r="BA36" s="614">
        <f>'C ceļi'!AA138</f>
        <v>0</v>
      </c>
      <c r="BB36" s="614">
        <f>'C ceļi'!AB138</f>
        <v>0</v>
      </c>
      <c r="BC36" s="614">
        <f>'C ceļi'!AC138</f>
        <v>0</v>
      </c>
      <c r="BD36" s="614">
        <f>'C ceļi'!AD138</f>
        <v>0</v>
      </c>
      <c r="BE36" s="614">
        <f>'C ceļi'!AE138</f>
        <v>0</v>
      </c>
      <c r="BF36" s="614">
        <f>'C ceļi'!AF138</f>
        <v>0</v>
      </c>
      <c r="BI36" s="616" t="s">
        <v>847</v>
      </c>
      <c r="BJ36" s="624">
        <f>C36-W36-AL36-BA36</f>
        <v>0</v>
      </c>
      <c r="BK36" s="624">
        <f t="shared" ref="BK36:BK40" si="23">D36-X36-AM36-BB36</f>
        <v>0</v>
      </c>
      <c r="BL36" s="624">
        <f t="shared" ref="BL36:BL40" si="24">E36-Y36-AN36-BC36</f>
        <v>0</v>
      </c>
      <c r="BM36" s="624">
        <f t="shared" ref="BM36:BM40" si="25">F36-Z36-AO36-BD36</f>
        <v>0</v>
      </c>
      <c r="BN36" s="624">
        <f t="shared" ref="BN36:BN40" si="26">G36-AA36-AP36-BE36</f>
        <v>0</v>
      </c>
      <c r="BO36" s="624">
        <f t="shared" ref="BO36:BO40" si="27">H36-AB36-AQ36-BF36</f>
        <v>0</v>
      </c>
    </row>
    <row r="37" spans="2:67" x14ac:dyDescent="0.25">
      <c r="B37" s="617" t="s">
        <v>848</v>
      </c>
      <c r="C37" s="624">
        <f t="shared" si="22"/>
        <v>0</v>
      </c>
      <c r="D37" s="624">
        <f t="shared" si="22"/>
        <v>0</v>
      </c>
      <c r="E37" s="624">
        <f t="shared" si="22"/>
        <v>0</v>
      </c>
      <c r="F37" s="624">
        <f t="shared" si="22"/>
        <v>0</v>
      </c>
      <c r="G37" s="624">
        <f t="shared" si="22"/>
        <v>0</v>
      </c>
      <c r="H37" s="624">
        <f t="shared" si="22"/>
        <v>0</v>
      </c>
      <c r="O37" s="617" t="s">
        <v>848</v>
      </c>
      <c r="P37" s="614">
        <f>'A ceļi'!T56</f>
        <v>0</v>
      </c>
      <c r="Q37" s="614">
        <f>'A ceļi'!U56</f>
        <v>0</v>
      </c>
      <c r="R37" s="614">
        <f>'A ceļi'!V56</f>
        <v>0</v>
      </c>
      <c r="S37" s="614">
        <f>'A ceļi'!W56</f>
        <v>0</v>
      </c>
      <c r="T37" s="614">
        <f>'A ceļi'!X56</f>
        <v>0</v>
      </c>
      <c r="U37" s="614">
        <f>'A ceļi'!Y56</f>
        <v>0</v>
      </c>
      <c r="V37" s="617" t="s">
        <v>848</v>
      </c>
      <c r="W37" s="614">
        <f>'A ceļi'!AA56</f>
        <v>0</v>
      </c>
      <c r="X37" s="614">
        <f>'A ceļi'!AB56</f>
        <v>0</v>
      </c>
      <c r="Y37" s="614">
        <f>'A ceļi'!AC56</f>
        <v>0</v>
      </c>
      <c r="Z37" s="614">
        <f>'A ceļi'!AD56</f>
        <v>0</v>
      </c>
      <c r="AA37" s="614">
        <f>'A ceļi'!AE56</f>
        <v>0</v>
      </c>
      <c r="AB37" s="614">
        <f>'A ceļi'!AF56</f>
        <v>0</v>
      </c>
      <c r="AD37" s="617" t="s">
        <v>848</v>
      </c>
      <c r="AE37" s="614">
        <f>'B ceļi'!T239</f>
        <v>0</v>
      </c>
      <c r="AF37" s="614">
        <f>'B ceļi'!U239</f>
        <v>0</v>
      </c>
      <c r="AG37" s="614">
        <f>'B ceļi'!V239</f>
        <v>0</v>
      </c>
      <c r="AH37" s="614">
        <f>'B ceļi'!W239</f>
        <v>0</v>
      </c>
      <c r="AI37" s="614">
        <f>'B ceļi'!X239</f>
        <v>0</v>
      </c>
      <c r="AJ37" s="614">
        <f>'B ceļi'!Y239</f>
        <v>0</v>
      </c>
      <c r="AK37" s="617" t="s">
        <v>848</v>
      </c>
      <c r="AL37" s="614">
        <f>'B ceļi'!AA239</f>
        <v>0</v>
      </c>
      <c r="AM37" s="614">
        <f>'B ceļi'!AB239</f>
        <v>0</v>
      </c>
      <c r="AN37" s="614">
        <f>'B ceļi'!AC239</f>
        <v>0</v>
      </c>
      <c r="AO37" s="614">
        <f>'B ceļi'!AD239</f>
        <v>0</v>
      </c>
      <c r="AP37" s="614">
        <f>'B ceļi'!AE239</f>
        <v>0</v>
      </c>
      <c r="AQ37" s="614">
        <f>'B ceļi'!AF239</f>
        <v>0</v>
      </c>
      <c r="AS37" s="617" t="s">
        <v>848</v>
      </c>
      <c r="AT37" s="614">
        <f>'C ceļi'!T139</f>
        <v>0</v>
      </c>
      <c r="AU37" s="614">
        <f>'C ceļi'!U139</f>
        <v>0</v>
      </c>
      <c r="AV37" s="614">
        <f>'C ceļi'!V139</f>
        <v>0</v>
      </c>
      <c r="AW37" s="614">
        <f>'C ceļi'!W139</f>
        <v>0</v>
      </c>
      <c r="AX37" s="614">
        <f>'C ceļi'!X139</f>
        <v>0</v>
      </c>
      <c r="AY37" s="614">
        <f>'C ceļi'!Y139</f>
        <v>0</v>
      </c>
      <c r="AZ37" s="617" t="s">
        <v>848</v>
      </c>
      <c r="BA37" s="614">
        <f>'C ceļi'!AA139</f>
        <v>0</v>
      </c>
      <c r="BB37" s="614">
        <f>'C ceļi'!AB139</f>
        <v>0</v>
      </c>
      <c r="BC37" s="614">
        <f>'C ceļi'!AC139</f>
        <v>0</v>
      </c>
      <c r="BD37" s="614">
        <f>'C ceļi'!AD139</f>
        <v>0</v>
      </c>
      <c r="BE37" s="614">
        <f>'C ceļi'!AE139</f>
        <v>0</v>
      </c>
      <c r="BF37" s="614">
        <f>'C ceļi'!AF139</f>
        <v>0</v>
      </c>
      <c r="BI37" s="617" t="s">
        <v>848</v>
      </c>
      <c r="BJ37" s="624">
        <f t="shared" ref="BJ37:BJ40" si="28">C37-W37-AL37-BA37</f>
        <v>0</v>
      </c>
      <c r="BK37" s="624">
        <f t="shared" si="23"/>
        <v>0</v>
      </c>
      <c r="BL37" s="624">
        <f t="shared" si="24"/>
        <v>0</v>
      </c>
      <c r="BM37" s="624">
        <f t="shared" si="25"/>
        <v>0</v>
      </c>
      <c r="BN37" s="624">
        <f t="shared" si="26"/>
        <v>0</v>
      </c>
      <c r="BO37" s="624">
        <f t="shared" si="27"/>
        <v>0</v>
      </c>
    </row>
    <row r="38" spans="2:67" x14ac:dyDescent="0.25">
      <c r="B38" s="615" t="s">
        <v>845</v>
      </c>
      <c r="C38" s="624">
        <f t="shared" si="22"/>
        <v>0.40999999999999992</v>
      </c>
      <c r="D38" s="624">
        <f t="shared" si="22"/>
        <v>0</v>
      </c>
      <c r="E38" s="624">
        <f t="shared" si="22"/>
        <v>0</v>
      </c>
      <c r="F38" s="624">
        <f t="shared" si="22"/>
        <v>28.63</v>
      </c>
      <c r="G38" s="624">
        <f t="shared" si="22"/>
        <v>0</v>
      </c>
      <c r="H38" s="624">
        <f t="shared" si="22"/>
        <v>29.04</v>
      </c>
      <c r="O38" s="615" t="s">
        <v>845</v>
      </c>
      <c r="P38" s="614">
        <f>'A ceļi'!T57</f>
        <v>0</v>
      </c>
      <c r="Q38" s="614">
        <f>'A ceļi'!U57</f>
        <v>0</v>
      </c>
      <c r="R38" s="614">
        <f>'A ceļi'!V57</f>
        <v>0</v>
      </c>
      <c r="S38" s="614">
        <f>'A ceļi'!W57</f>
        <v>4.7</v>
      </c>
      <c r="T38" s="614">
        <f>'A ceļi'!X57</f>
        <v>0</v>
      </c>
      <c r="U38" s="614">
        <f>'A ceļi'!Y57</f>
        <v>4.7</v>
      </c>
      <c r="V38" s="615" t="s">
        <v>845</v>
      </c>
      <c r="W38" s="614">
        <f>'A ceļi'!AA57</f>
        <v>0</v>
      </c>
      <c r="X38" s="614">
        <f>'A ceļi'!AB57</f>
        <v>0</v>
      </c>
      <c r="Y38" s="614">
        <f>'A ceļi'!AC57</f>
        <v>0</v>
      </c>
      <c r="Z38" s="614">
        <f>'A ceļi'!AD57</f>
        <v>0</v>
      </c>
      <c r="AA38" s="614">
        <f>'A ceļi'!AE57</f>
        <v>0</v>
      </c>
      <c r="AB38" s="614">
        <f>'A ceļi'!AF57</f>
        <v>0</v>
      </c>
      <c r="AD38" s="615" t="s">
        <v>845</v>
      </c>
      <c r="AE38" s="614">
        <f>'B ceļi'!T240</f>
        <v>0.40999999999999992</v>
      </c>
      <c r="AF38" s="614">
        <f>'B ceļi'!U240</f>
        <v>0</v>
      </c>
      <c r="AG38" s="614">
        <f>'B ceļi'!V240</f>
        <v>0</v>
      </c>
      <c r="AH38" s="614">
        <f>'B ceļi'!W240</f>
        <v>23.93</v>
      </c>
      <c r="AI38" s="614">
        <f>'B ceļi'!X240</f>
        <v>0</v>
      </c>
      <c r="AJ38" s="614">
        <f>'B ceļi'!Y240</f>
        <v>24.34</v>
      </c>
      <c r="AK38" s="615" t="s">
        <v>845</v>
      </c>
      <c r="AL38" s="614">
        <f>'B ceļi'!AA240</f>
        <v>0</v>
      </c>
      <c r="AM38" s="614">
        <f>'B ceļi'!AB240</f>
        <v>0</v>
      </c>
      <c r="AN38" s="614">
        <f>'B ceļi'!AC240</f>
        <v>0</v>
      </c>
      <c r="AO38" s="614">
        <f>'B ceļi'!AD240</f>
        <v>0</v>
      </c>
      <c r="AP38" s="614">
        <f>'B ceļi'!AE240</f>
        <v>0</v>
      </c>
      <c r="AQ38" s="614">
        <f>'B ceļi'!AF240</f>
        <v>0</v>
      </c>
      <c r="AS38" s="615" t="s">
        <v>845</v>
      </c>
      <c r="AT38" s="614">
        <f>'C ceļi'!T140</f>
        <v>0</v>
      </c>
      <c r="AU38" s="614">
        <f>'C ceļi'!U140</f>
        <v>0</v>
      </c>
      <c r="AV38" s="614">
        <f>'C ceļi'!V140</f>
        <v>0</v>
      </c>
      <c r="AW38" s="614">
        <f>'C ceļi'!W140</f>
        <v>0</v>
      </c>
      <c r="AX38" s="614">
        <f>'C ceļi'!X140</f>
        <v>0</v>
      </c>
      <c r="AY38" s="614">
        <f>'C ceļi'!Y140</f>
        <v>0</v>
      </c>
      <c r="AZ38" s="615" t="s">
        <v>845</v>
      </c>
      <c r="BA38" s="614">
        <f>'C ceļi'!AA140</f>
        <v>0</v>
      </c>
      <c r="BB38" s="614">
        <f>'C ceļi'!AB140</f>
        <v>0</v>
      </c>
      <c r="BC38" s="614">
        <f>'C ceļi'!AC140</f>
        <v>0</v>
      </c>
      <c r="BD38" s="614">
        <f>'C ceļi'!AD140</f>
        <v>0</v>
      </c>
      <c r="BE38" s="614">
        <f>'C ceļi'!AE140</f>
        <v>0</v>
      </c>
      <c r="BF38" s="614">
        <f>'C ceļi'!AF140</f>
        <v>0</v>
      </c>
      <c r="BI38" s="615" t="s">
        <v>845</v>
      </c>
      <c r="BJ38" s="624">
        <f t="shared" si="28"/>
        <v>0.40999999999999992</v>
      </c>
      <c r="BK38" s="624">
        <f t="shared" si="23"/>
        <v>0</v>
      </c>
      <c r="BL38" s="624">
        <f t="shared" si="24"/>
        <v>0</v>
      </c>
      <c r="BM38" s="624">
        <f t="shared" si="25"/>
        <v>28.63</v>
      </c>
      <c r="BN38" s="624">
        <f t="shared" si="26"/>
        <v>0</v>
      </c>
      <c r="BO38" s="624">
        <f t="shared" si="27"/>
        <v>29.04</v>
      </c>
    </row>
    <row r="39" spans="2:67" x14ac:dyDescent="0.25">
      <c r="B39" s="616" t="s">
        <v>846</v>
      </c>
      <c r="C39" s="624">
        <f t="shared" si="22"/>
        <v>0</v>
      </c>
      <c r="D39" s="624">
        <f t="shared" si="22"/>
        <v>0</v>
      </c>
      <c r="E39" s="624">
        <f t="shared" si="22"/>
        <v>0</v>
      </c>
      <c r="F39" s="624">
        <f t="shared" si="22"/>
        <v>90.570000000000007</v>
      </c>
      <c r="G39" s="624">
        <f t="shared" si="22"/>
        <v>1.32</v>
      </c>
      <c r="H39" s="624">
        <f t="shared" si="22"/>
        <v>91.89</v>
      </c>
      <c r="O39" s="616" t="s">
        <v>846</v>
      </c>
      <c r="P39" s="614">
        <f>'A ceļi'!T58</f>
        <v>0</v>
      </c>
      <c r="Q39" s="614">
        <f>'A ceļi'!U58</f>
        <v>0</v>
      </c>
      <c r="R39" s="614">
        <f>'A ceļi'!V58</f>
        <v>0</v>
      </c>
      <c r="S39" s="614">
        <f>'A ceļi'!W58</f>
        <v>7.05</v>
      </c>
      <c r="T39" s="614">
        <f>'A ceļi'!X58</f>
        <v>0</v>
      </c>
      <c r="U39" s="614">
        <f>'A ceļi'!Y58</f>
        <v>7.05</v>
      </c>
      <c r="V39" s="616" t="s">
        <v>846</v>
      </c>
      <c r="W39" s="614">
        <f>'A ceļi'!AA58</f>
        <v>0</v>
      </c>
      <c r="X39" s="614">
        <f>'A ceļi'!AB58</f>
        <v>0</v>
      </c>
      <c r="Y39" s="614">
        <f>'A ceļi'!AC58</f>
        <v>0</v>
      </c>
      <c r="Z39" s="614">
        <f>'A ceļi'!AD58</f>
        <v>0</v>
      </c>
      <c r="AA39" s="614">
        <f>'A ceļi'!AE58</f>
        <v>0</v>
      </c>
      <c r="AB39" s="614">
        <f>'A ceļi'!AF58</f>
        <v>0</v>
      </c>
      <c r="AD39" s="616" t="s">
        <v>846</v>
      </c>
      <c r="AE39" s="614">
        <f>'B ceļi'!T241</f>
        <v>0</v>
      </c>
      <c r="AF39" s="614">
        <f>'B ceļi'!U241</f>
        <v>0</v>
      </c>
      <c r="AG39" s="614">
        <f>'B ceļi'!V241</f>
        <v>0</v>
      </c>
      <c r="AH39" s="614">
        <f>'B ceļi'!W241</f>
        <v>67.400000000000006</v>
      </c>
      <c r="AI39" s="614">
        <f>'B ceļi'!X241</f>
        <v>1.32</v>
      </c>
      <c r="AJ39" s="614">
        <f>'B ceļi'!Y241</f>
        <v>68.72</v>
      </c>
      <c r="AK39" s="616" t="s">
        <v>846</v>
      </c>
      <c r="AL39" s="614">
        <f>'B ceļi'!AA241</f>
        <v>0</v>
      </c>
      <c r="AM39" s="614">
        <f>'B ceļi'!AB241</f>
        <v>0</v>
      </c>
      <c r="AN39" s="614">
        <f>'B ceļi'!AC241</f>
        <v>0</v>
      </c>
      <c r="AO39" s="614">
        <f>'B ceļi'!AD241</f>
        <v>2.6100000000000003</v>
      </c>
      <c r="AP39" s="614">
        <f>'B ceļi'!AE241</f>
        <v>0</v>
      </c>
      <c r="AQ39" s="614">
        <f>'B ceļi'!AF241</f>
        <v>2.6100000000000003</v>
      </c>
      <c r="AS39" s="616" t="s">
        <v>846</v>
      </c>
      <c r="AT39" s="614">
        <f>'C ceļi'!T141</f>
        <v>0</v>
      </c>
      <c r="AU39" s="614">
        <f>'C ceļi'!U141</f>
        <v>0</v>
      </c>
      <c r="AV39" s="614">
        <f>'C ceļi'!V141</f>
        <v>0</v>
      </c>
      <c r="AW39" s="614">
        <f>'C ceļi'!W141</f>
        <v>16.12</v>
      </c>
      <c r="AX39" s="614">
        <f>'C ceļi'!X141</f>
        <v>0</v>
      </c>
      <c r="AY39" s="614">
        <f>'C ceļi'!Y141</f>
        <v>16.12</v>
      </c>
      <c r="AZ39" s="616" t="s">
        <v>846</v>
      </c>
      <c r="BA39" s="614">
        <f>'C ceļi'!AA141</f>
        <v>0</v>
      </c>
      <c r="BB39" s="614">
        <f>'C ceļi'!AB141</f>
        <v>0</v>
      </c>
      <c r="BC39" s="614">
        <f>'C ceļi'!AC141</f>
        <v>0</v>
      </c>
      <c r="BD39" s="614">
        <f>'C ceļi'!AD141</f>
        <v>0</v>
      </c>
      <c r="BE39" s="614">
        <f>'C ceļi'!AE141</f>
        <v>0</v>
      </c>
      <c r="BF39" s="614">
        <f>'C ceļi'!AF141</f>
        <v>0</v>
      </c>
      <c r="BI39" s="616" t="s">
        <v>846</v>
      </c>
      <c r="BJ39" s="624">
        <f t="shared" si="28"/>
        <v>0</v>
      </c>
      <c r="BK39" s="624">
        <f t="shared" si="23"/>
        <v>0</v>
      </c>
      <c r="BL39" s="624">
        <f t="shared" si="24"/>
        <v>0</v>
      </c>
      <c r="BM39" s="624">
        <f t="shared" si="25"/>
        <v>87.960000000000008</v>
      </c>
      <c r="BN39" s="624">
        <f t="shared" si="26"/>
        <v>1.32</v>
      </c>
      <c r="BO39" s="624">
        <f t="shared" si="27"/>
        <v>89.28</v>
      </c>
    </row>
    <row r="40" spans="2:67" x14ac:dyDescent="0.25">
      <c r="C40" s="624">
        <f t="shared" si="22"/>
        <v>0.40999999999999992</v>
      </c>
      <c r="D40" s="624">
        <f t="shared" si="22"/>
        <v>0</v>
      </c>
      <c r="E40" s="624">
        <f t="shared" si="22"/>
        <v>0</v>
      </c>
      <c r="F40" s="624">
        <f t="shared" si="22"/>
        <v>119.20000000000002</v>
      </c>
      <c r="G40" s="624">
        <f t="shared" si="22"/>
        <v>1.32</v>
      </c>
      <c r="H40" s="624">
        <f t="shared" si="22"/>
        <v>120.93</v>
      </c>
      <c r="P40" s="614">
        <f>'A ceļi'!T59</f>
        <v>0</v>
      </c>
      <c r="Q40" s="614">
        <f>'A ceļi'!U59</f>
        <v>0</v>
      </c>
      <c r="R40" s="614">
        <f>'A ceļi'!V59</f>
        <v>0</v>
      </c>
      <c r="S40" s="614">
        <f>'A ceļi'!W59</f>
        <v>11.75</v>
      </c>
      <c r="T40" s="614">
        <f>'A ceļi'!X59</f>
        <v>0</v>
      </c>
      <c r="U40" s="614">
        <f>'A ceļi'!Y59</f>
        <v>11.75</v>
      </c>
      <c r="W40" s="614">
        <f>'A ceļi'!AA59</f>
        <v>0</v>
      </c>
      <c r="X40" s="614">
        <f>'A ceļi'!AB59</f>
        <v>0</v>
      </c>
      <c r="Y40" s="614">
        <f>'A ceļi'!AC59</f>
        <v>0</v>
      </c>
      <c r="Z40" s="614">
        <f>'A ceļi'!AD59</f>
        <v>0</v>
      </c>
      <c r="AA40" s="614">
        <f>'A ceļi'!AE59</f>
        <v>0</v>
      </c>
      <c r="AB40" s="614">
        <f>'A ceļi'!AF59</f>
        <v>0</v>
      </c>
      <c r="AE40" s="614">
        <f>'B ceļi'!T242</f>
        <v>0.40999999999999992</v>
      </c>
      <c r="AF40" s="614">
        <f>'B ceļi'!U242</f>
        <v>0</v>
      </c>
      <c r="AG40" s="614">
        <f>'B ceļi'!V242</f>
        <v>0</v>
      </c>
      <c r="AH40" s="614">
        <f>'B ceļi'!W242</f>
        <v>91.330000000000013</v>
      </c>
      <c r="AI40" s="614">
        <f>'B ceļi'!X242</f>
        <v>1.32</v>
      </c>
      <c r="AJ40" s="614">
        <f>'B ceļi'!Y242</f>
        <v>93.06</v>
      </c>
      <c r="AL40" s="614">
        <f>'B ceļi'!AA242</f>
        <v>0</v>
      </c>
      <c r="AM40" s="614">
        <f>'B ceļi'!AB242</f>
        <v>0</v>
      </c>
      <c r="AN40" s="614">
        <f>'B ceļi'!AC242</f>
        <v>0</v>
      </c>
      <c r="AO40" s="614">
        <f>'B ceļi'!AD242</f>
        <v>2.6100000000000003</v>
      </c>
      <c r="AP40" s="614">
        <f>'B ceļi'!AE242</f>
        <v>0</v>
      </c>
      <c r="AQ40" s="614">
        <f>'B ceļi'!AF242</f>
        <v>2.6100000000000003</v>
      </c>
      <c r="AT40" s="614">
        <f>'C ceļi'!T142</f>
        <v>0</v>
      </c>
      <c r="AU40" s="614">
        <f>'C ceļi'!U142</f>
        <v>0</v>
      </c>
      <c r="AV40" s="614">
        <f>'C ceļi'!V142</f>
        <v>0</v>
      </c>
      <c r="AW40" s="614">
        <f>'C ceļi'!W142</f>
        <v>16.12</v>
      </c>
      <c r="AX40" s="614">
        <f>'C ceļi'!X142</f>
        <v>0</v>
      </c>
      <c r="AY40" s="614">
        <f>'C ceļi'!Y142</f>
        <v>16.12</v>
      </c>
      <c r="BA40" s="614">
        <f>'C ceļi'!AA142</f>
        <v>0</v>
      </c>
      <c r="BB40" s="614">
        <f>'C ceļi'!AB142</f>
        <v>0</v>
      </c>
      <c r="BC40" s="614">
        <f>'C ceļi'!AC142</f>
        <v>0</v>
      </c>
      <c r="BD40" s="614">
        <f>'C ceļi'!AD142</f>
        <v>0</v>
      </c>
      <c r="BE40" s="614">
        <f>'C ceļi'!AE142</f>
        <v>0</v>
      </c>
      <c r="BF40" s="614">
        <f>'C ceļi'!AF142</f>
        <v>0</v>
      </c>
      <c r="BJ40" s="624">
        <f t="shared" si="28"/>
        <v>0.40999999999999992</v>
      </c>
      <c r="BK40" s="624">
        <f t="shared" si="23"/>
        <v>0</v>
      </c>
      <c r="BL40" s="624">
        <f t="shared" si="24"/>
        <v>0</v>
      </c>
      <c r="BM40" s="624">
        <f t="shared" si="25"/>
        <v>116.59000000000002</v>
      </c>
      <c r="BN40" s="624">
        <f t="shared" si="26"/>
        <v>1.32</v>
      </c>
      <c r="BO40" s="624">
        <f t="shared" si="27"/>
        <v>118.32000000000001</v>
      </c>
    </row>
    <row r="41" spans="2:67" x14ac:dyDescent="0.25">
      <c r="C41" s="633"/>
      <c r="D41" s="633"/>
      <c r="E41" s="633"/>
      <c r="F41" s="633"/>
      <c r="G41" s="633"/>
      <c r="H41" s="633"/>
      <c r="BJ41" s="633"/>
      <c r="BK41" s="633"/>
      <c r="BL41" s="633"/>
      <c r="BM41" s="633"/>
      <c r="BN41" s="633"/>
      <c r="BO41" s="633"/>
    </row>
    <row r="42" spans="2:67" x14ac:dyDescent="0.25">
      <c r="B42" t="s">
        <v>1118</v>
      </c>
      <c r="C42" s="633"/>
      <c r="D42" s="633"/>
      <c r="E42" s="633"/>
      <c r="F42" s="633"/>
      <c r="G42" s="633"/>
      <c r="H42" s="633"/>
      <c r="P42" t="s">
        <v>1119</v>
      </c>
      <c r="W42" t="s">
        <v>1097</v>
      </c>
      <c r="AE42" t="s">
        <v>1120</v>
      </c>
      <c r="AL42" t="s">
        <v>1097</v>
      </c>
      <c r="AT42" t="s">
        <v>1121</v>
      </c>
      <c r="AW42" t="s">
        <v>1113</v>
      </c>
      <c r="BA42" t="s">
        <v>1097</v>
      </c>
      <c r="BI42" t="s">
        <v>1135</v>
      </c>
      <c r="BJ42" s="633"/>
      <c r="BK42" s="633"/>
      <c r="BL42" s="633"/>
      <c r="BM42" s="633"/>
      <c r="BN42" s="633"/>
      <c r="BO42" s="633"/>
    </row>
    <row r="43" spans="2:67" ht="23.25" x14ac:dyDescent="0.25">
      <c r="B43" s="102"/>
      <c r="C43" s="671" t="s">
        <v>1092</v>
      </c>
      <c r="D43" s="671" t="s">
        <v>1093</v>
      </c>
      <c r="E43" s="671" t="s">
        <v>1094</v>
      </c>
      <c r="F43" s="671" t="s">
        <v>1095</v>
      </c>
      <c r="G43" s="671" t="s">
        <v>1096</v>
      </c>
      <c r="H43" s="265" t="s">
        <v>269</v>
      </c>
      <c r="O43" s="102"/>
      <c r="P43" s="625" t="s">
        <v>1092</v>
      </c>
      <c r="Q43" s="625" t="s">
        <v>1093</v>
      </c>
      <c r="R43" s="625" t="s">
        <v>1094</v>
      </c>
      <c r="S43" s="625" t="s">
        <v>1095</v>
      </c>
      <c r="T43" s="625" t="s">
        <v>1096</v>
      </c>
      <c r="U43" s="627" t="s">
        <v>269</v>
      </c>
      <c r="V43" s="102"/>
      <c r="W43" s="625" t="s">
        <v>1092</v>
      </c>
      <c r="X43" s="625" t="s">
        <v>1093</v>
      </c>
      <c r="Y43" s="625" t="s">
        <v>1094</v>
      </c>
      <c r="Z43" s="625" t="s">
        <v>1095</v>
      </c>
      <c r="AA43" s="625" t="s">
        <v>1096</v>
      </c>
      <c r="AB43" s="627" t="s">
        <v>269</v>
      </c>
      <c r="AD43" s="102"/>
      <c r="AE43" s="625" t="s">
        <v>1092</v>
      </c>
      <c r="AF43" s="625" t="s">
        <v>1093</v>
      </c>
      <c r="AG43" s="625" t="s">
        <v>1094</v>
      </c>
      <c r="AH43" s="625" t="s">
        <v>1095</v>
      </c>
      <c r="AI43" s="625" t="s">
        <v>1096</v>
      </c>
      <c r="AJ43" s="627" t="s">
        <v>269</v>
      </c>
      <c r="AK43" s="102"/>
      <c r="AL43" s="625" t="s">
        <v>1092</v>
      </c>
      <c r="AM43" s="625" t="s">
        <v>1093</v>
      </c>
      <c r="AN43" s="625" t="s">
        <v>1094</v>
      </c>
      <c r="AO43" s="625" t="s">
        <v>1095</v>
      </c>
      <c r="AP43" s="625" t="s">
        <v>1096</v>
      </c>
      <c r="AQ43" s="627" t="s">
        <v>269</v>
      </c>
      <c r="AS43" s="102"/>
      <c r="AT43" s="625" t="s">
        <v>1092</v>
      </c>
      <c r="AU43" s="625" t="s">
        <v>1093</v>
      </c>
      <c r="AV43" s="625" t="s">
        <v>1094</v>
      </c>
      <c r="AW43" s="625" t="s">
        <v>1095</v>
      </c>
      <c r="AX43" s="625" t="s">
        <v>1096</v>
      </c>
      <c r="AY43" s="627" t="s">
        <v>269</v>
      </c>
      <c r="AZ43" s="102"/>
      <c r="BA43" s="625" t="s">
        <v>1092</v>
      </c>
      <c r="BB43" s="625" t="s">
        <v>1093</v>
      </c>
      <c r="BC43" s="625" t="s">
        <v>1094</v>
      </c>
      <c r="BD43" s="625" t="s">
        <v>1095</v>
      </c>
      <c r="BE43" s="625" t="s">
        <v>1096</v>
      </c>
      <c r="BF43" s="627" t="s">
        <v>269</v>
      </c>
      <c r="BI43" s="102"/>
      <c r="BJ43" s="671" t="s">
        <v>1092</v>
      </c>
      <c r="BK43" s="671" t="s">
        <v>1093</v>
      </c>
      <c r="BL43" s="671" t="s">
        <v>1094</v>
      </c>
      <c r="BM43" s="671" t="s">
        <v>1095</v>
      </c>
      <c r="BN43" s="671" t="s">
        <v>1096</v>
      </c>
      <c r="BO43" s="265" t="s">
        <v>269</v>
      </c>
    </row>
    <row r="44" spans="2:67" x14ac:dyDescent="0.25">
      <c r="B44" s="628" t="s">
        <v>844</v>
      </c>
      <c r="C44" s="671" t="s">
        <v>231</v>
      </c>
      <c r="D44" s="671" t="s">
        <v>231</v>
      </c>
      <c r="E44" s="671" t="s">
        <v>231</v>
      </c>
      <c r="F44" s="671" t="s">
        <v>231</v>
      </c>
      <c r="G44" s="671" t="s">
        <v>231</v>
      </c>
      <c r="H44" s="672" t="s">
        <v>231</v>
      </c>
      <c r="O44" s="628" t="s">
        <v>844</v>
      </c>
      <c r="P44" s="625" t="s">
        <v>231</v>
      </c>
      <c r="Q44" s="625" t="s">
        <v>231</v>
      </c>
      <c r="R44" s="625" t="s">
        <v>231</v>
      </c>
      <c r="S44" s="625" t="s">
        <v>231</v>
      </c>
      <c r="T44" s="625" t="s">
        <v>231</v>
      </c>
      <c r="U44" s="626" t="s">
        <v>231</v>
      </c>
      <c r="V44" s="628"/>
      <c r="W44" s="625" t="s">
        <v>231</v>
      </c>
      <c r="X44" s="625" t="s">
        <v>231</v>
      </c>
      <c r="Y44" s="625" t="s">
        <v>231</v>
      </c>
      <c r="Z44" s="625" t="s">
        <v>231</v>
      </c>
      <c r="AA44" s="625" t="s">
        <v>231</v>
      </c>
      <c r="AB44" s="626" t="s">
        <v>231</v>
      </c>
      <c r="AD44" s="628" t="s">
        <v>844</v>
      </c>
      <c r="AE44" s="625" t="s">
        <v>231</v>
      </c>
      <c r="AF44" s="625" t="s">
        <v>231</v>
      </c>
      <c r="AG44" s="625" t="s">
        <v>231</v>
      </c>
      <c r="AH44" s="625" t="s">
        <v>231</v>
      </c>
      <c r="AI44" s="625" t="s">
        <v>231</v>
      </c>
      <c r="AJ44" s="626" t="s">
        <v>231</v>
      </c>
      <c r="AK44" s="628"/>
      <c r="AL44" s="625" t="s">
        <v>231</v>
      </c>
      <c r="AM44" s="625" t="s">
        <v>231</v>
      </c>
      <c r="AN44" s="625" t="s">
        <v>231</v>
      </c>
      <c r="AO44" s="625" t="s">
        <v>231</v>
      </c>
      <c r="AP44" s="625" t="s">
        <v>231</v>
      </c>
      <c r="AQ44" s="626" t="s">
        <v>231</v>
      </c>
      <c r="AS44" s="628" t="s">
        <v>844</v>
      </c>
      <c r="AT44" s="625" t="s">
        <v>231</v>
      </c>
      <c r="AU44" s="625" t="s">
        <v>231</v>
      </c>
      <c r="AV44" s="625" t="s">
        <v>231</v>
      </c>
      <c r="AW44" s="625" t="s">
        <v>231</v>
      </c>
      <c r="AX44" s="625" t="s">
        <v>231</v>
      </c>
      <c r="AY44" s="626" t="s">
        <v>231</v>
      </c>
      <c r="AZ44" s="628"/>
      <c r="BA44" s="625" t="s">
        <v>231</v>
      </c>
      <c r="BB44" s="625" t="s">
        <v>231</v>
      </c>
      <c r="BC44" s="625" t="s">
        <v>231</v>
      </c>
      <c r="BD44" s="625" t="s">
        <v>231</v>
      </c>
      <c r="BE44" s="625" t="s">
        <v>231</v>
      </c>
      <c r="BF44" s="626" t="s">
        <v>231</v>
      </c>
      <c r="BI44" s="628" t="s">
        <v>844</v>
      </c>
      <c r="BJ44" s="671" t="s">
        <v>231</v>
      </c>
      <c r="BK44" s="671" t="s">
        <v>231</v>
      </c>
      <c r="BL44" s="671" t="s">
        <v>231</v>
      </c>
      <c r="BM44" s="671" t="s">
        <v>231</v>
      </c>
      <c r="BN44" s="671" t="s">
        <v>231</v>
      </c>
      <c r="BO44" s="672" t="s">
        <v>231</v>
      </c>
    </row>
    <row r="45" spans="2:67" x14ac:dyDescent="0.25">
      <c r="B45" s="616" t="s">
        <v>847</v>
      </c>
      <c r="C45" s="624">
        <f t="shared" ref="C45:H49" si="29">P45+AE45+AT45</f>
        <v>0</v>
      </c>
      <c r="D45" s="624">
        <f t="shared" si="29"/>
        <v>0</v>
      </c>
      <c r="E45" s="624">
        <f t="shared" si="29"/>
        <v>0</v>
      </c>
      <c r="F45" s="624">
        <f t="shared" si="29"/>
        <v>0</v>
      </c>
      <c r="G45" s="624">
        <f t="shared" si="29"/>
        <v>0</v>
      </c>
      <c r="H45" s="624">
        <f t="shared" si="29"/>
        <v>0</v>
      </c>
      <c r="O45" s="616" t="s">
        <v>847</v>
      </c>
      <c r="P45" s="614">
        <f>'A ceļi'!T78</f>
        <v>0</v>
      </c>
      <c r="Q45" s="614">
        <f>'A ceļi'!U78</f>
        <v>0</v>
      </c>
      <c r="R45" s="614">
        <f>'A ceļi'!V78</f>
        <v>0</v>
      </c>
      <c r="S45" s="614">
        <f>'A ceļi'!W78</f>
        <v>0</v>
      </c>
      <c r="T45" s="614">
        <f>'A ceļi'!X78</f>
        <v>0</v>
      </c>
      <c r="U45" s="614">
        <f>'A ceļi'!Y78</f>
        <v>0</v>
      </c>
      <c r="V45" s="616" t="s">
        <v>847</v>
      </c>
      <c r="W45" s="614">
        <f>'A ceļi'!AA78</f>
        <v>0</v>
      </c>
      <c r="X45" s="614">
        <f>'A ceļi'!AB78</f>
        <v>0</v>
      </c>
      <c r="Y45" s="614">
        <f>'A ceļi'!AC78</f>
        <v>0</v>
      </c>
      <c r="Z45" s="614">
        <f>'A ceļi'!AD78</f>
        <v>0</v>
      </c>
      <c r="AA45" s="614">
        <f>'A ceļi'!AE78</f>
        <v>0</v>
      </c>
      <c r="AB45" s="614">
        <f>'A ceļi'!AF78</f>
        <v>0</v>
      </c>
      <c r="AD45" s="616" t="s">
        <v>847</v>
      </c>
      <c r="AE45" s="614">
        <f>'B ceļi'!T315</f>
        <v>0</v>
      </c>
      <c r="AF45" s="614">
        <f>'B ceļi'!U315</f>
        <v>0</v>
      </c>
      <c r="AG45" s="614">
        <f>'B ceļi'!V315</f>
        <v>0</v>
      </c>
      <c r="AH45" s="614">
        <f>'B ceļi'!W315</f>
        <v>0</v>
      </c>
      <c r="AI45" s="614">
        <f>'B ceļi'!X315</f>
        <v>0</v>
      </c>
      <c r="AJ45" s="614">
        <f>'B ceļi'!Y315</f>
        <v>0</v>
      </c>
      <c r="AK45" s="616" t="s">
        <v>847</v>
      </c>
      <c r="AL45" s="614">
        <f>'B ceļi'!AA315</f>
        <v>0</v>
      </c>
      <c r="AM45" s="614">
        <f>'B ceļi'!AB315</f>
        <v>0</v>
      </c>
      <c r="AN45" s="614">
        <f>'B ceļi'!AC315</f>
        <v>0</v>
      </c>
      <c r="AO45" s="614">
        <f>'B ceļi'!AD315</f>
        <v>0</v>
      </c>
      <c r="AP45" s="614">
        <f>'B ceļi'!AE315</f>
        <v>0</v>
      </c>
      <c r="AQ45" s="614">
        <f>'B ceļi'!AF315</f>
        <v>0</v>
      </c>
      <c r="AS45" s="616" t="s">
        <v>847</v>
      </c>
      <c r="AT45" s="614"/>
      <c r="AU45" s="614"/>
      <c r="AV45" s="614"/>
      <c r="AW45" s="614"/>
      <c r="AX45" s="614"/>
      <c r="AY45" s="614"/>
      <c r="AZ45" s="616" t="s">
        <v>847</v>
      </c>
      <c r="BA45" s="614"/>
      <c r="BB45" s="614"/>
      <c r="BC45" s="614"/>
      <c r="BD45" s="614"/>
      <c r="BE45" s="614"/>
      <c r="BF45" s="614"/>
      <c r="BI45" s="616" t="s">
        <v>847</v>
      </c>
      <c r="BJ45" s="624">
        <f>C45-W45-AL45-BA45</f>
        <v>0</v>
      </c>
      <c r="BK45" s="624">
        <f t="shared" ref="BK45:BK49" si="30">D45-X45-AM45-BB45</f>
        <v>0</v>
      </c>
      <c r="BL45" s="624">
        <f t="shared" ref="BL45:BL49" si="31">E45-Y45-AN45-BC45</f>
        <v>0</v>
      </c>
      <c r="BM45" s="624">
        <f t="shared" ref="BM45:BM49" si="32">F45-Z45-AO45-BD45</f>
        <v>0</v>
      </c>
      <c r="BN45" s="624">
        <f t="shared" ref="BN45:BN49" si="33">G45-AA45-AP45-BE45</f>
        <v>0</v>
      </c>
      <c r="BO45" s="624">
        <f t="shared" ref="BO45:BO49" si="34">H45-AB45-AQ45-BF45</f>
        <v>0</v>
      </c>
    </row>
    <row r="46" spans="2:67" x14ac:dyDescent="0.25">
      <c r="B46" s="617" t="s">
        <v>848</v>
      </c>
      <c r="C46" s="624">
        <f t="shared" si="29"/>
        <v>0</v>
      </c>
      <c r="D46" s="624">
        <f t="shared" si="29"/>
        <v>0</v>
      </c>
      <c r="E46" s="624">
        <f t="shared" si="29"/>
        <v>0</v>
      </c>
      <c r="F46" s="624">
        <f t="shared" si="29"/>
        <v>0</v>
      </c>
      <c r="G46" s="624">
        <f t="shared" si="29"/>
        <v>0</v>
      </c>
      <c r="H46" s="624">
        <f t="shared" si="29"/>
        <v>0</v>
      </c>
      <c r="O46" s="617" t="s">
        <v>848</v>
      </c>
      <c r="P46" s="614">
        <f>'A ceļi'!T79</f>
        <v>0</v>
      </c>
      <c r="Q46" s="614">
        <f>'A ceļi'!U79</f>
        <v>0</v>
      </c>
      <c r="R46" s="614">
        <f>'A ceļi'!V79</f>
        <v>0</v>
      </c>
      <c r="S46" s="614">
        <f>'A ceļi'!W79</f>
        <v>0</v>
      </c>
      <c r="T46" s="614">
        <f>'A ceļi'!X79</f>
        <v>0</v>
      </c>
      <c r="U46" s="614">
        <f>'A ceļi'!Y79</f>
        <v>0</v>
      </c>
      <c r="V46" s="617" t="s">
        <v>848</v>
      </c>
      <c r="W46" s="614">
        <f>'A ceļi'!AA79</f>
        <v>0</v>
      </c>
      <c r="X46" s="614">
        <f>'A ceļi'!AB79</f>
        <v>0</v>
      </c>
      <c r="Y46" s="614">
        <f>'A ceļi'!AC79</f>
        <v>0</v>
      </c>
      <c r="Z46" s="614">
        <f>'A ceļi'!AD79</f>
        <v>0</v>
      </c>
      <c r="AA46" s="614">
        <f>'A ceļi'!AE79</f>
        <v>0</v>
      </c>
      <c r="AB46" s="614">
        <f>'A ceļi'!AF79</f>
        <v>0</v>
      </c>
      <c r="AD46" s="617" t="s">
        <v>848</v>
      </c>
      <c r="AE46" s="614">
        <f>'B ceļi'!T316</f>
        <v>0</v>
      </c>
      <c r="AF46" s="614">
        <f>'B ceļi'!U316</f>
        <v>0</v>
      </c>
      <c r="AG46" s="614">
        <f>'B ceļi'!V316</f>
        <v>0</v>
      </c>
      <c r="AH46" s="614">
        <f>'B ceļi'!W316</f>
        <v>0</v>
      </c>
      <c r="AI46" s="614">
        <f>'B ceļi'!X316</f>
        <v>0</v>
      </c>
      <c r="AJ46" s="614">
        <f>'B ceļi'!Y316</f>
        <v>0</v>
      </c>
      <c r="AK46" s="617" t="s">
        <v>848</v>
      </c>
      <c r="AL46" s="614">
        <f>'B ceļi'!AA316</f>
        <v>0</v>
      </c>
      <c r="AM46" s="614">
        <f>'B ceļi'!AB316</f>
        <v>0</v>
      </c>
      <c r="AN46" s="614">
        <f>'B ceļi'!AC316</f>
        <v>0</v>
      </c>
      <c r="AO46" s="614">
        <f>'B ceļi'!AD316</f>
        <v>0</v>
      </c>
      <c r="AP46" s="614">
        <f>'B ceļi'!AE316</f>
        <v>0</v>
      </c>
      <c r="AQ46" s="614">
        <f>'B ceļi'!AF316</f>
        <v>0</v>
      </c>
      <c r="AS46" s="617" t="s">
        <v>848</v>
      </c>
      <c r="AT46" s="614"/>
      <c r="AU46" s="614"/>
      <c r="AV46" s="614"/>
      <c r="AW46" s="614"/>
      <c r="AX46" s="614"/>
      <c r="AY46" s="614"/>
      <c r="AZ46" s="617" t="s">
        <v>848</v>
      </c>
      <c r="BA46" s="614"/>
      <c r="BB46" s="614"/>
      <c r="BC46" s="614"/>
      <c r="BD46" s="614"/>
      <c r="BE46" s="614"/>
      <c r="BF46" s="614"/>
      <c r="BI46" s="617" t="s">
        <v>848</v>
      </c>
      <c r="BJ46" s="624">
        <f t="shared" ref="BJ46:BJ49" si="35">C46-W46-AL46-BA46</f>
        <v>0</v>
      </c>
      <c r="BK46" s="624">
        <f t="shared" si="30"/>
        <v>0</v>
      </c>
      <c r="BL46" s="624">
        <f t="shared" si="31"/>
        <v>0</v>
      </c>
      <c r="BM46" s="624">
        <f t="shared" si="32"/>
        <v>0</v>
      </c>
      <c r="BN46" s="624">
        <f t="shared" si="33"/>
        <v>0</v>
      </c>
      <c r="BO46" s="624">
        <f t="shared" si="34"/>
        <v>0</v>
      </c>
    </row>
    <row r="47" spans="2:67" x14ac:dyDescent="0.25">
      <c r="B47" s="615" t="s">
        <v>845</v>
      </c>
      <c r="C47" s="624">
        <f t="shared" si="29"/>
        <v>0</v>
      </c>
      <c r="D47" s="624">
        <f t="shared" si="29"/>
        <v>0</v>
      </c>
      <c r="E47" s="624">
        <f t="shared" si="29"/>
        <v>0</v>
      </c>
      <c r="F47" s="624">
        <f t="shared" si="29"/>
        <v>12.55</v>
      </c>
      <c r="G47" s="624">
        <f t="shared" si="29"/>
        <v>0.19</v>
      </c>
      <c r="H47" s="624">
        <f t="shared" si="29"/>
        <v>12.740000000000002</v>
      </c>
      <c r="O47" s="615" t="s">
        <v>845</v>
      </c>
      <c r="P47" s="614">
        <f>'A ceļi'!T80</f>
        <v>0</v>
      </c>
      <c r="Q47" s="614">
        <f>'A ceļi'!U80</f>
        <v>0</v>
      </c>
      <c r="R47" s="614">
        <f>'A ceļi'!V80</f>
        <v>0</v>
      </c>
      <c r="S47" s="614">
        <f>'A ceļi'!W80</f>
        <v>6.21</v>
      </c>
      <c r="T47" s="614">
        <f>'A ceļi'!X80</f>
        <v>0</v>
      </c>
      <c r="U47" s="614">
        <f>'A ceļi'!Y80</f>
        <v>6.21</v>
      </c>
      <c r="V47" s="615" t="s">
        <v>845</v>
      </c>
      <c r="W47" s="614">
        <f>'A ceļi'!AA80</f>
        <v>0</v>
      </c>
      <c r="X47" s="614">
        <f>'A ceļi'!AB80</f>
        <v>0</v>
      </c>
      <c r="Y47" s="614">
        <f>'A ceļi'!AC80</f>
        <v>0</v>
      </c>
      <c r="Z47" s="614">
        <f>'A ceļi'!AD80</f>
        <v>0.47000000000000003</v>
      </c>
      <c r="AA47" s="614">
        <f>'A ceļi'!AE80</f>
        <v>0</v>
      </c>
      <c r="AB47" s="614">
        <f>'A ceļi'!AF80</f>
        <v>0.47000000000000003</v>
      </c>
      <c r="AD47" s="615" t="s">
        <v>845</v>
      </c>
      <c r="AE47" s="614">
        <f>'B ceļi'!T317</f>
        <v>0</v>
      </c>
      <c r="AF47" s="614">
        <f>'B ceļi'!U317</f>
        <v>0</v>
      </c>
      <c r="AG47" s="614">
        <f>'B ceļi'!V317</f>
        <v>0</v>
      </c>
      <c r="AH47" s="614">
        <f>'B ceļi'!W317</f>
        <v>6.3400000000000007</v>
      </c>
      <c r="AI47" s="614">
        <f>'B ceļi'!X317</f>
        <v>0.19</v>
      </c>
      <c r="AJ47" s="614">
        <f>'B ceļi'!Y317</f>
        <v>6.5300000000000011</v>
      </c>
      <c r="AK47" s="615" t="s">
        <v>845</v>
      </c>
      <c r="AL47" s="614">
        <f>'B ceļi'!AA317</f>
        <v>0</v>
      </c>
      <c r="AM47" s="614">
        <f>'B ceļi'!AB317</f>
        <v>0</v>
      </c>
      <c r="AN47" s="614">
        <f>'B ceļi'!AC317</f>
        <v>0</v>
      </c>
      <c r="AO47" s="614">
        <f>'B ceļi'!AD317</f>
        <v>0.64000000000000012</v>
      </c>
      <c r="AP47" s="614">
        <f>'B ceļi'!AE317</f>
        <v>0</v>
      </c>
      <c r="AQ47" s="614">
        <f>'B ceļi'!AF317</f>
        <v>0.64000000000000012</v>
      </c>
      <c r="AS47" s="615" t="s">
        <v>845</v>
      </c>
      <c r="AT47" s="614"/>
      <c r="AU47" s="614"/>
      <c r="AV47" s="614"/>
      <c r="AW47" s="614"/>
      <c r="AX47" s="614"/>
      <c r="AY47" s="614"/>
      <c r="AZ47" s="615" t="s">
        <v>845</v>
      </c>
      <c r="BA47" s="614"/>
      <c r="BB47" s="614"/>
      <c r="BC47" s="614"/>
      <c r="BD47" s="614"/>
      <c r="BE47" s="614"/>
      <c r="BF47" s="614"/>
      <c r="BI47" s="615" t="s">
        <v>845</v>
      </c>
      <c r="BJ47" s="624">
        <f t="shared" si="35"/>
        <v>0</v>
      </c>
      <c r="BK47" s="624">
        <f t="shared" si="30"/>
        <v>0</v>
      </c>
      <c r="BL47" s="624">
        <f t="shared" si="31"/>
        <v>0</v>
      </c>
      <c r="BM47" s="624">
        <f t="shared" si="32"/>
        <v>11.44</v>
      </c>
      <c r="BN47" s="624">
        <f t="shared" si="33"/>
        <v>0.19</v>
      </c>
      <c r="BO47" s="624">
        <f t="shared" si="34"/>
        <v>11.63</v>
      </c>
    </row>
    <row r="48" spans="2:67" x14ac:dyDescent="0.25">
      <c r="B48" s="616" t="s">
        <v>846</v>
      </c>
      <c r="C48" s="624">
        <f t="shared" si="29"/>
        <v>3.4200000000000004</v>
      </c>
      <c r="D48" s="624">
        <f t="shared" si="29"/>
        <v>0</v>
      </c>
      <c r="E48" s="624">
        <f t="shared" si="29"/>
        <v>0</v>
      </c>
      <c r="F48" s="624">
        <f t="shared" si="29"/>
        <v>11.210000000000006</v>
      </c>
      <c r="G48" s="624">
        <f t="shared" si="29"/>
        <v>6.11</v>
      </c>
      <c r="H48" s="624">
        <f t="shared" si="29"/>
        <v>20.740000000000006</v>
      </c>
      <c r="O48" s="616" t="s">
        <v>846</v>
      </c>
      <c r="P48" s="614">
        <f>'A ceļi'!T81</f>
        <v>0</v>
      </c>
      <c r="Q48" s="614">
        <f>'A ceļi'!U81</f>
        <v>0</v>
      </c>
      <c r="R48" s="614">
        <f>'A ceļi'!V81</f>
        <v>0</v>
      </c>
      <c r="S48" s="614">
        <f>'A ceļi'!W81</f>
        <v>0</v>
      </c>
      <c r="T48" s="614">
        <f>'A ceļi'!X81</f>
        <v>0</v>
      </c>
      <c r="U48" s="614">
        <f>'A ceļi'!Y81</f>
        <v>0</v>
      </c>
      <c r="V48" s="616" t="s">
        <v>846</v>
      </c>
      <c r="W48" s="614">
        <f>'A ceļi'!AA81</f>
        <v>0</v>
      </c>
      <c r="X48" s="614">
        <f>'A ceļi'!AB81</f>
        <v>0</v>
      </c>
      <c r="Y48" s="614">
        <f>'A ceļi'!AC81</f>
        <v>0</v>
      </c>
      <c r="Z48" s="614">
        <f>'A ceļi'!AD81</f>
        <v>0</v>
      </c>
      <c r="AA48" s="614">
        <f>'A ceļi'!AE81</f>
        <v>0</v>
      </c>
      <c r="AB48" s="614">
        <f>'A ceļi'!AF81</f>
        <v>0</v>
      </c>
      <c r="AD48" s="616" t="s">
        <v>846</v>
      </c>
      <c r="AE48" s="614">
        <f>'B ceļi'!T318</f>
        <v>3.4200000000000004</v>
      </c>
      <c r="AF48" s="614">
        <f>'B ceļi'!U318</f>
        <v>0</v>
      </c>
      <c r="AG48" s="614">
        <f>'B ceļi'!V318</f>
        <v>0</v>
      </c>
      <c r="AH48" s="614">
        <f>'B ceļi'!W318</f>
        <v>11.210000000000006</v>
      </c>
      <c r="AI48" s="614">
        <f>'B ceļi'!X318</f>
        <v>6.11</v>
      </c>
      <c r="AJ48" s="614">
        <f>'B ceļi'!Y318</f>
        <v>20.740000000000006</v>
      </c>
      <c r="AK48" s="616" t="s">
        <v>846</v>
      </c>
      <c r="AL48" s="614">
        <f>'B ceļi'!AA318</f>
        <v>0.18</v>
      </c>
      <c r="AM48" s="614">
        <f>'B ceļi'!AB318</f>
        <v>0</v>
      </c>
      <c r="AN48" s="614">
        <f>'B ceļi'!AC318</f>
        <v>0</v>
      </c>
      <c r="AO48" s="614">
        <f>'B ceļi'!AD318</f>
        <v>1.77</v>
      </c>
      <c r="AP48" s="614">
        <f>'B ceļi'!AE318</f>
        <v>0.5</v>
      </c>
      <c r="AQ48" s="614">
        <f>'B ceļi'!AF318</f>
        <v>2.4500000000000002</v>
      </c>
      <c r="AS48" s="616" t="s">
        <v>846</v>
      </c>
      <c r="AT48" s="614"/>
      <c r="AU48" s="614"/>
      <c r="AV48" s="614"/>
      <c r="AW48" s="614"/>
      <c r="AX48" s="614"/>
      <c r="AY48" s="614"/>
      <c r="AZ48" s="616" t="s">
        <v>846</v>
      </c>
      <c r="BA48" s="614"/>
      <c r="BB48" s="614"/>
      <c r="BC48" s="614"/>
      <c r="BD48" s="614"/>
      <c r="BE48" s="614"/>
      <c r="BF48" s="614"/>
      <c r="BI48" s="616" t="s">
        <v>846</v>
      </c>
      <c r="BJ48" s="624">
        <f t="shared" si="35"/>
        <v>3.24</v>
      </c>
      <c r="BK48" s="624">
        <f t="shared" si="30"/>
        <v>0</v>
      </c>
      <c r="BL48" s="624">
        <f t="shared" si="31"/>
        <v>0</v>
      </c>
      <c r="BM48" s="624">
        <f t="shared" si="32"/>
        <v>9.4400000000000066</v>
      </c>
      <c r="BN48" s="624">
        <f t="shared" si="33"/>
        <v>5.61</v>
      </c>
      <c r="BO48" s="624">
        <f t="shared" si="34"/>
        <v>18.290000000000006</v>
      </c>
    </row>
    <row r="49" spans="2:67" x14ac:dyDescent="0.25">
      <c r="C49" s="624">
        <f t="shared" si="29"/>
        <v>3.4200000000000004</v>
      </c>
      <c r="D49" s="624">
        <f t="shared" si="29"/>
        <v>0</v>
      </c>
      <c r="E49" s="624">
        <f t="shared" si="29"/>
        <v>0</v>
      </c>
      <c r="F49" s="624">
        <f t="shared" si="29"/>
        <v>23.760000000000009</v>
      </c>
      <c r="G49" s="624">
        <f t="shared" si="29"/>
        <v>6.3000000000000007</v>
      </c>
      <c r="H49" s="624">
        <f t="shared" si="29"/>
        <v>33.480000000000004</v>
      </c>
      <c r="P49" s="614">
        <f>'A ceļi'!T82</f>
        <v>0</v>
      </c>
      <c r="Q49" s="614">
        <f>'A ceļi'!U82</f>
        <v>0</v>
      </c>
      <c r="R49" s="614">
        <f>'A ceļi'!V82</f>
        <v>0</v>
      </c>
      <c r="S49" s="614">
        <f>'A ceļi'!W82</f>
        <v>6.21</v>
      </c>
      <c r="T49" s="614">
        <f>'A ceļi'!X82</f>
        <v>0</v>
      </c>
      <c r="U49" s="614">
        <f>'A ceļi'!Y82</f>
        <v>6.21</v>
      </c>
      <c r="W49" s="614">
        <f>'A ceļi'!AA82</f>
        <v>0</v>
      </c>
      <c r="X49" s="614">
        <f>'A ceļi'!AB82</f>
        <v>0</v>
      </c>
      <c r="Y49" s="614">
        <f>'A ceļi'!AC82</f>
        <v>0</v>
      </c>
      <c r="Z49" s="614">
        <f>'A ceļi'!AD82</f>
        <v>0.47000000000000003</v>
      </c>
      <c r="AA49" s="614">
        <f>'A ceļi'!AE82</f>
        <v>0</v>
      </c>
      <c r="AB49" s="614">
        <f>'A ceļi'!AF82</f>
        <v>0.47000000000000003</v>
      </c>
      <c r="AE49" s="614">
        <f>'B ceļi'!T319</f>
        <v>3.4200000000000004</v>
      </c>
      <c r="AF49" s="614">
        <f>'B ceļi'!U319</f>
        <v>0</v>
      </c>
      <c r="AG49" s="614">
        <f>'B ceļi'!V319</f>
        <v>0</v>
      </c>
      <c r="AH49" s="614">
        <f>'B ceļi'!W319</f>
        <v>17.550000000000008</v>
      </c>
      <c r="AI49" s="614">
        <f>'B ceļi'!X319</f>
        <v>6.3000000000000007</v>
      </c>
      <c r="AJ49" s="614">
        <f>'B ceļi'!Y319</f>
        <v>27.270000000000007</v>
      </c>
      <c r="AL49" s="614">
        <f>'B ceļi'!AA319</f>
        <v>0.18</v>
      </c>
      <c r="AM49" s="614">
        <f>'B ceļi'!AB319</f>
        <v>0</v>
      </c>
      <c r="AN49" s="614">
        <f>'B ceļi'!AC319</f>
        <v>0</v>
      </c>
      <c r="AO49" s="614">
        <f>'B ceļi'!AD319</f>
        <v>2.41</v>
      </c>
      <c r="AP49" s="614">
        <f>'B ceļi'!AE319</f>
        <v>0.5</v>
      </c>
      <c r="AQ49" s="614">
        <f>'B ceļi'!AF319</f>
        <v>3.0900000000000003</v>
      </c>
      <c r="AT49" s="614"/>
      <c r="AU49" s="614"/>
      <c r="AV49" s="614"/>
      <c r="AW49" s="614"/>
      <c r="AX49" s="614"/>
      <c r="AY49" s="614"/>
      <c r="BA49" s="614"/>
      <c r="BB49" s="614"/>
      <c r="BC49" s="614"/>
      <c r="BD49" s="614"/>
      <c r="BE49" s="614"/>
      <c r="BF49" s="614"/>
      <c r="BJ49" s="624">
        <f t="shared" si="35"/>
        <v>3.24</v>
      </c>
      <c r="BK49" s="624">
        <f t="shared" si="30"/>
        <v>0</v>
      </c>
      <c r="BL49" s="624">
        <f t="shared" si="31"/>
        <v>0</v>
      </c>
      <c r="BM49" s="624">
        <f t="shared" si="32"/>
        <v>20.88000000000001</v>
      </c>
      <c r="BN49" s="624">
        <f t="shared" si="33"/>
        <v>5.8000000000000007</v>
      </c>
      <c r="BO49" s="624">
        <f t="shared" si="34"/>
        <v>29.920000000000005</v>
      </c>
    </row>
    <row r="50" spans="2:67" x14ac:dyDescent="0.25">
      <c r="C50" s="633"/>
      <c r="D50" s="633"/>
      <c r="E50" s="633"/>
      <c r="F50" s="633"/>
      <c r="G50" s="633"/>
      <c r="H50" s="633"/>
      <c r="BJ50" s="633"/>
      <c r="BK50" s="633"/>
      <c r="BL50" s="633"/>
      <c r="BM50" s="633"/>
      <c r="BN50" s="633"/>
      <c r="BO50" s="633"/>
    </row>
    <row r="51" spans="2:67" x14ac:dyDescent="0.25">
      <c r="B51" t="s">
        <v>1122</v>
      </c>
      <c r="C51" s="633"/>
      <c r="D51" s="633"/>
      <c r="E51" s="633"/>
      <c r="F51" s="633"/>
      <c r="G51" s="633"/>
      <c r="H51" s="633"/>
      <c r="P51" t="s">
        <v>1123</v>
      </c>
      <c r="W51" t="s">
        <v>1097</v>
      </c>
      <c r="AE51" t="s">
        <v>1124</v>
      </c>
      <c r="AL51" t="s">
        <v>1097</v>
      </c>
      <c r="AT51" t="s">
        <v>1125</v>
      </c>
      <c r="BA51" t="s">
        <v>1097</v>
      </c>
      <c r="BI51" t="s">
        <v>1136</v>
      </c>
      <c r="BJ51" s="633"/>
      <c r="BK51" s="633"/>
      <c r="BL51" s="633"/>
      <c r="BM51" s="633"/>
      <c r="BN51" s="633"/>
      <c r="BO51" s="633"/>
    </row>
    <row r="52" spans="2:67" ht="23.25" x14ac:dyDescent="0.25">
      <c r="B52" s="102"/>
      <c r="C52" s="671" t="s">
        <v>1092</v>
      </c>
      <c r="D52" s="671" t="s">
        <v>1093</v>
      </c>
      <c r="E52" s="671" t="s">
        <v>1094</v>
      </c>
      <c r="F52" s="671" t="s">
        <v>1095</v>
      </c>
      <c r="G52" s="671" t="s">
        <v>1096</v>
      </c>
      <c r="H52" s="265" t="s">
        <v>269</v>
      </c>
      <c r="O52" s="102"/>
      <c r="P52" s="625" t="s">
        <v>1092</v>
      </c>
      <c r="Q52" s="625" t="s">
        <v>1093</v>
      </c>
      <c r="R52" s="625" t="s">
        <v>1094</v>
      </c>
      <c r="S52" s="625" t="s">
        <v>1095</v>
      </c>
      <c r="T52" s="625" t="s">
        <v>1096</v>
      </c>
      <c r="U52" s="627" t="s">
        <v>269</v>
      </c>
      <c r="V52" s="102"/>
      <c r="W52" s="625" t="s">
        <v>1092</v>
      </c>
      <c r="X52" s="625" t="s">
        <v>1093</v>
      </c>
      <c r="Y52" s="625" t="s">
        <v>1094</v>
      </c>
      <c r="Z52" s="625" t="s">
        <v>1095</v>
      </c>
      <c r="AA52" s="625" t="s">
        <v>1096</v>
      </c>
      <c r="AB52" s="627" t="s">
        <v>269</v>
      </c>
      <c r="AD52" s="102"/>
      <c r="AE52" s="625" t="s">
        <v>1092</v>
      </c>
      <c r="AF52" s="625" t="s">
        <v>1093</v>
      </c>
      <c r="AG52" s="625" t="s">
        <v>1094</v>
      </c>
      <c r="AH52" s="625" t="s">
        <v>1095</v>
      </c>
      <c r="AI52" s="625" t="s">
        <v>1096</v>
      </c>
      <c r="AJ52" s="627" t="s">
        <v>269</v>
      </c>
      <c r="AK52" s="102"/>
      <c r="AL52" s="625" t="s">
        <v>1092</v>
      </c>
      <c r="AM52" s="625" t="s">
        <v>1093</v>
      </c>
      <c r="AN52" s="625" t="s">
        <v>1094</v>
      </c>
      <c r="AO52" s="625" t="s">
        <v>1095</v>
      </c>
      <c r="AP52" s="625" t="s">
        <v>1096</v>
      </c>
      <c r="AQ52" s="627" t="s">
        <v>269</v>
      </c>
      <c r="AS52" s="102"/>
      <c r="AT52" s="625" t="s">
        <v>1092</v>
      </c>
      <c r="AU52" s="625" t="s">
        <v>1093</v>
      </c>
      <c r="AV52" s="625" t="s">
        <v>1094</v>
      </c>
      <c r="AW52" s="625" t="s">
        <v>1095</v>
      </c>
      <c r="AX52" s="625" t="s">
        <v>1096</v>
      </c>
      <c r="AY52" s="627" t="s">
        <v>269</v>
      </c>
      <c r="AZ52" s="102"/>
      <c r="BA52" s="625" t="s">
        <v>1092</v>
      </c>
      <c r="BB52" s="625" t="s">
        <v>1093</v>
      </c>
      <c r="BC52" s="625" t="s">
        <v>1094</v>
      </c>
      <c r="BD52" s="625" t="s">
        <v>1095</v>
      </c>
      <c r="BE52" s="625" t="s">
        <v>1096</v>
      </c>
      <c r="BF52" s="627" t="s">
        <v>269</v>
      </c>
      <c r="BI52" s="102"/>
      <c r="BJ52" s="671" t="s">
        <v>1092</v>
      </c>
      <c r="BK52" s="671" t="s">
        <v>1093</v>
      </c>
      <c r="BL52" s="671" t="s">
        <v>1094</v>
      </c>
      <c r="BM52" s="671" t="s">
        <v>1095</v>
      </c>
      <c r="BN52" s="671" t="s">
        <v>1096</v>
      </c>
      <c r="BO52" s="265" t="s">
        <v>269</v>
      </c>
    </row>
    <row r="53" spans="2:67" x14ac:dyDescent="0.25">
      <c r="B53" s="628" t="s">
        <v>844</v>
      </c>
      <c r="C53" s="671" t="s">
        <v>231</v>
      </c>
      <c r="D53" s="671" t="s">
        <v>231</v>
      </c>
      <c r="E53" s="671" t="s">
        <v>231</v>
      </c>
      <c r="F53" s="671" t="s">
        <v>231</v>
      </c>
      <c r="G53" s="671" t="s">
        <v>231</v>
      </c>
      <c r="H53" s="672" t="s">
        <v>231</v>
      </c>
      <c r="O53" s="628" t="s">
        <v>844</v>
      </c>
      <c r="P53" s="625" t="s">
        <v>231</v>
      </c>
      <c r="Q53" s="625" t="s">
        <v>231</v>
      </c>
      <c r="R53" s="625" t="s">
        <v>231</v>
      </c>
      <c r="S53" s="625" t="s">
        <v>231</v>
      </c>
      <c r="T53" s="625" t="s">
        <v>231</v>
      </c>
      <c r="U53" s="626" t="s">
        <v>231</v>
      </c>
      <c r="V53" s="628"/>
      <c r="W53" s="625" t="s">
        <v>231</v>
      </c>
      <c r="X53" s="625" t="s">
        <v>231</v>
      </c>
      <c r="Y53" s="625" t="s">
        <v>231</v>
      </c>
      <c r="Z53" s="625" t="s">
        <v>231</v>
      </c>
      <c r="AA53" s="625" t="s">
        <v>231</v>
      </c>
      <c r="AB53" s="626" t="s">
        <v>231</v>
      </c>
      <c r="AD53" s="628" t="s">
        <v>844</v>
      </c>
      <c r="AE53" s="625" t="s">
        <v>231</v>
      </c>
      <c r="AF53" s="625" t="s">
        <v>231</v>
      </c>
      <c r="AG53" s="625" t="s">
        <v>231</v>
      </c>
      <c r="AH53" s="625" t="s">
        <v>231</v>
      </c>
      <c r="AI53" s="625" t="s">
        <v>231</v>
      </c>
      <c r="AJ53" s="626" t="s">
        <v>231</v>
      </c>
      <c r="AK53" s="628"/>
      <c r="AL53" s="625" t="s">
        <v>231</v>
      </c>
      <c r="AM53" s="625" t="s">
        <v>231</v>
      </c>
      <c r="AN53" s="625" t="s">
        <v>231</v>
      </c>
      <c r="AO53" s="625" t="s">
        <v>231</v>
      </c>
      <c r="AP53" s="625" t="s">
        <v>231</v>
      </c>
      <c r="AQ53" s="626" t="s">
        <v>231</v>
      </c>
      <c r="AS53" s="628" t="s">
        <v>844</v>
      </c>
      <c r="AT53" s="625" t="s">
        <v>231</v>
      </c>
      <c r="AU53" s="625" t="s">
        <v>231</v>
      </c>
      <c r="AV53" s="625" t="s">
        <v>231</v>
      </c>
      <c r="AW53" s="625" t="s">
        <v>231</v>
      </c>
      <c r="AX53" s="625" t="s">
        <v>231</v>
      </c>
      <c r="AY53" s="626" t="s">
        <v>231</v>
      </c>
      <c r="AZ53" s="628"/>
      <c r="BA53" s="625" t="s">
        <v>231</v>
      </c>
      <c r="BB53" s="625" t="s">
        <v>231</v>
      </c>
      <c r="BC53" s="625" t="s">
        <v>231</v>
      </c>
      <c r="BD53" s="625" t="s">
        <v>231</v>
      </c>
      <c r="BE53" s="625" t="s">
        <v>231</v>
      </c>
      <c r="BF53" s="626" t="s">
        <v>231</v>
      </c>
      <c r="BI53" s="628" t="s">
        <v>844</v>
      </c>
      <c r="BJ53" s="671" t="s">
        <v>231</v>
      </c>
      <c r="BK53" s="671" t="s">
        <v>231</v>
      </c>
      <c r="BL53" s="671" t="s">
        <v>231</v>
      </c>
      <c r="BM53" s="671" t="s">
        <v>231</v>
      </c>
      <c r="BN53" s="671" t="s">
        <v>231</v>
      </c>
      <c r="BO53" s="672" t="s">
        <v>231</v>
      </c>
    </row>
    <row r="54" spans="2:67" x14ac:dyDescent="0.25">
      <c r="B54" s="616" t="s">
        <v>847</v>
      </c>
      <c r="C54" s="624">
        <f t="shared" ref="C54:H58" si="36">P54+AE54+AT54</f>
        <v>0</v>
      </c>
      <c r="D54" s="624">
        <f t="shared" si="36"/>
        <v>0</v>
      </c>
      <c r="E54" s="624">
        <f t="shared" si="36"/>
        <v>0</v>
      </c>
      <c r="F54" s="624">
        <f t="shared" si="36"/>
        <v>0</v>
      </c>
      <c r="G54" s="624">
        <f t="shared" si="36"/>
        <v>0</v>
      </c>
      <c r="H54" s="624">
        <f t="shared" si="36"/>
        <v>0</v>
      </c>
      <c r="O54" s="616" t="s">
        <v>847</v>
      </c>
      <c r="P54" s="614">
        <f>'A ceļi'!T106</f>
        <v>0</v>
      </c>
      <c r="Q54" s="614">
        <f>'A ceļi'!U106</f>
        <v>0</v>
      </c>
      <c r="R54" s="614">
        <f>'A ceļi'!V106</f>
        <v>0</v>
      </c>
      <c r="S54" s="614">
        <f>'A ceļi'!W106</f>
        <v>0</v>
      </c>
      <c r="T54" s="614">
        <f>'A ceļi'!X106</f>
        <v>0</v>
      </c>
      <c r="U54" s="614">
        <f>'A ceļi'!Y106</f>
        <v>0</v>
      </c>
      <c r="V54" s="616" t="s">
        <v>847</v>
      </c>
      <c r="W54" s="614">
        <f>'A ceļi'!AA106</f>
        <v>0</v>
      </c>
      <c r="X54" s="614">
        <f>'A ceļi'!AB106</f>
        <v>0</v>
      </c>
      <c r="Y54" s="614">
        <f>'A ceļi'!AC106</f>
        <v>0</v>
      </c>
      <c r="Z54" s="614">
        <f>'A ceļi'!AD106</f>
        <v>0</v>
      </c>
      <c r="AA54" s="614">
        <f>'A ceļi'!AE106</f>
        <v>0</v>
      </c>
      <c r="AB54" s="614">
        <f>'A ceļi'!AF106</f>
        <v>0</v>
      </c>
      <c r="AD54" s="616" t="s">
        <v>847</v>
      </c>
      <c r="AE54" s="614">
        <f>'B ceļi'!T414</f>
        <v>0</v>
      </c>
      <c r="AF54" s="614">
        <f>'B ceļi'!U414</f>
        <v>0</v>
      </c>
      <c r="AG54" s="614">
        <f>'B ceļi'!V414</f>
        <v>0</v>
      </c>
      <c r="AH54" s="614">
        <f>'B ceļi'!W414</f>
        <v>0</v>
      </c>
      <c r="AI54" s="614">
        <f>'B ceļi'!X414</f>
        <v>0</v>
      </c>
      <c r="AJ54" s="614">
        <f>'B ceļi'!Y414</f>
        <v>0</v>
      </c>
      <c r="AK54" s="616" t="s">
        <v>847</v>
      </c>
      <c r="AL54" s="614">
        <f>'B ceļi'!AA414</f>
        <v>0</v>
      </c>
      <c r="AM54" s="614">
        <f>'B ceļi'!AB414</f>
        <v>0</v>
      </c>
      <c r="AN54" s="614">
        <f>'B ceļi'!AC414</f>
        <v>0</v>
      </c>
      <c r="AO54" s="614">
        <f>'B ceļi'!AD414</f>
        <v>0</v>
      </c>
      <c r="AP54" s="614">
        <f>'B ceļi'!AE414</f>
        <v>0</v>
      </c>
      <c r="AQ54" s="614">
        <f>'B ceļi'!AF414</f>
        <v>0</v>
      </c>
      <c r="AS54" s="616" t="s">
        <v>847</v>
      </c>
      <c r="AT54" s="614">
        <f>'C ceļi'!T183</f>
        <v>0</v>
      </c>
      <c r="AU54" s="614">
        <f>'C ceļi'!U183</f>
        <v>0</v>
      </c>
      <c r="AV54" s="614">
        <f>'C ceļi'!V183</f>
        <v>0</v>
      </c>
      <c r="AW54" s="614">
        <f>'C ceļi'!W183</f>
        <v>0</v>
      </c>
      <c r="AX54" s="614">
        <f>'C ceļi'!X183</f>
        <v>0</v>
      </c>
      <c r="AY54" s="614">
        <f>'C ceļi'!Y183</f>
        <v>0</v>
      </c>
      <c r="AZ54" s="616" t="s">
        <v>847</v>
      </c>
      <c r="BA54" s="614">
        <f>'C ceļi'!AA183</f>
        <v>0</v>
      </c>
      <c r="BB54" s="614">
        <f>'C ceļi'!AB183</f>
        <v>0</v>
      </c>
      <c r="BC54" s="614">
        <f>'C ceļi'!AC183</f>
        <v>0</v>
      </c>
      <c r="BD54" s="614">
        <f>'C ceļi'!AD183</f>
        <v>0</v>
      </c>
      <c r="BE54" s="614">
        <f>'C ceļi'!AE183</f>
        <v>0</v>
      </c>
      <c r="BF54" s="614">
        <f>'C ceļi'!AF183</f>
        <v>0</v>
      </c>
      <c r="BI54" s="616" t="s">
        <v>847</v>
      </c>
      <c r="BJ54" s="624">
        <f>C54-W54-AL54-BA54</f>
        <v>0</v>
      </c>
      <c r="BK54" s="624">
        <f t="shared" ref="BK54:BK58" si="37">D54-X54-AM54-BB54</f>
        <v>0</v>
      </c>
      <c r="BL54" s="624">
        <f t="shared" ref="BL54:BL58" si="38">E54-Y54-AN54-BC54</f>
        <v>0</v>
      </c>
      <c r="BM54" s="624">
        <f t="shared" ref="BM54:BM58" si="39">F54-Z54-AO54-BD54</f>
        <v>0</v>
      </c>
      <c r="BN54" s="624">
        <f t="shared" ref="BN54:BN58" si="40">G54-AA54-AP54-BE54</f>
        <v>0</v>
      </c>
      <c r="BO54" s="624">
        <f t="shared" ref="BO54:BO58" si="41">H54-AB54-AQ54-BF54</f>
        <v>0</v>
      </c>
    </row>
    <row r="55" spans="2:67" x14ac:dyDescent="0.25">
      <c r="B55" s="617" t="s">
        <v>848</v>
      </c>
      <c r="C55" s="624">
        <f t="shared" si="36"/>
        <v>0</v>
      </c>
      <c r="D55" s="624">
        <f t="shared" si="36"/>
        <v>0</v>
      </c>
      <c r="E55" s="624">
        <f t="shared" si="36"/>
        <v>0</v>
      </c>
      <c r="F55" s="624">
        <f t="shared" si="36"/>
        <v>0</v>
      </c>
      <c r="G55" s="624">
        <f t="shared" si="36"/>
        <v>0</v>
      </c>
      <c r="H55" s="624">
        <f t="shared" si="36"/>
        <v>0</v>
      </c>
      <c r="O55" s="617" t="s">
        <v>848</v>
      </c>
      <c r="P55" s="614">
        <f>'A ceļi'!T107</f>
        <v>0</v>
      </c>
      <c r="Q55" s="614">
        <f>'A ceļi'!U107</f>
        <v>0</v>
      </c>
      <c r="R55" s="614">
        <f>'A ceļi'!V107</f>
        <v>0</v>
      </c>
      <c r="S55" s="614">
        <f>'A ceļi'!W107</f>
        <v>0</v>
      </c>
      <c r="T55" s="614">
        <f>'A ceļi'!X107</f>
        <v>0</v>
      </c>
      <c r="U55" s="614">
        <f>'A ceļi'!Y107</f>
        <v>0</v>
      </c>
      <c r="V55" s="617" t="s">
        <v>848</v>
      </c>
      <c r="W55" s="614">
        <f>'A ceļi'!AA107</f>
        <v>0</v>
      </c>
      <c r="X55" s="614">
        <f>'A ceļi'!AB107</f>
        <v>0</v>
      </c>
      <c r="Y55" s="614">
        <f>'A ceļi'!AC107</f>
        <v>0</v>
      </c>
      <c r="Z55" s="614">
        <f>'A ceļi'!AD107</f>
        <v>0</v>
      </c>
      <c r="AA55" s="614">
        <f>'A ceļi'!AE107</f>
        <v>0</v>
      </c>
      <c r="AB55" s="614">
        <f>'A ceļi'!AF107</f>
        <v>0</v>
      </c>
      <c r="AD55" s="617" t="s">
        <v>848</v>
      </c>
      <c r="AE55" s="614">
        <f>'B ceļi'!T415</f>
        <v>0</v>
      </c>
      <c r="AF55" s="614">
        <f>'B ceļi'!U415</f>
        <v>0</v>
      </c>
      <c r="AG55" s="614">
        <f>'B ceļi'!V415</f>
        <v>0</v>
      </c>
      <c r="AH55" s="614">
        <f>'B ceļi'!W415</f>
        <v>0</v>
      </c>
      <c r="AI55" s="614">
        <f>'B ceļi'!X415</f>
        <v>0</v>
      </c>
      <c r="AJ55" s="614">
        <f>'B ceļi'!Y415</f>
        <v>0</v>
      </c>
      <c r="AK55" s="617" t="s">
        <v>848</v>
      </c>
      <c r="AL55" s="614">
        <f>'B ceļi'!AA415</f>
        <v>0</v>
      </c>
      <c r="AM55" s="614">
        <f>'B ceļi'!AB415</f>
        <v>0</v>
      </c>
      <c r="AN55" s="614">
        <f>'B ceļi'!AC415</f>
        <v>0</v>
      </c>
      <c r="AO55" s="614">
        <f>'B ceļi'!AD415</f>
        <v>0</v>
      </c>
      <c r="AP55" s="614">
        <f>'B ceļi'!AE415</f>
        <v>0</v>
      </c>
      <c r="AQ55" s="614">
        <f>'B ceļi'!AF415</f>
        <v>0</v>
      </c>
      <c r="AS55" s="617" t="s">
        <v>848</v>
      </c>
      <c r="AT55" s="614">
        <f>'C ceļi'!T184</f>
        <v>0</v>
      </c>
      <c r="AU55" s="614">
        <f>'C ceļi'!U184</f>
        <v>0</v>
      </c>
      <c r="AV55" s="614">
        <f>'C ceļi'!V184</f>
        <v>0</v>
      </c>
      <c r="AW55" s="614">
        <f>'C ceļi'!W184</f>
        <v>0</v>
      </c>
      <c r="AX55" s="614">
        <f>'C ceļi'!X184</f>
        <v>0</v>
      </c>
      <c r="AY55" s="614">
        <f>'C ceļi'!Y184</f>
        <v>0</v>
      </c>
      <c r="AZ55" s="617" t="s">
        <v>848</v>
      </c>
      <c r="BA55" s="614">
        <f>'C ceļi'!AA184</f>
        <v>0</v>
      </c>
      <c r="BB55" s="614">
        <f>'C ceļi'!AB184</f>
        <v>0</v>
      </c>
      <c r="BC55" s="614">
        <f>'C ceļi'!AC184</f>
        <v>0</v>
      </c>
      <c r="BD55" s="614">
        <f>'C ceļi'!AD184</f>
        <v>0</v>
      </c>
      <c r="BE55" s="614">
        <f>'C ceļi'!AE184</f>
        <v>0</v>
      </c>
      <c r="BF55" s="614">
        <f>'C ceļi'!AF184</f>
        <v>0</v>
      </c>
      <c r="BI55" s="617" t="s">
        <v>848</v>
      </c>
      <c r="BJ55" s="624">
        <f t="shared" ref="BJ55:BJ58" si="42">C55-W55-AL55-BA55</f>
        <v>0</v>
      </c>
      <c r="BK55" s="624">
        <f t="shared" si="37"/>
        <v>0</v>
      </c>
      <c r="BL55" s="624">
        <f t="shared" si="38"/>
        <v>0</v>
      </c>
      <c r="BM55" s="624">
        <f t="shared" si="39"/>
        <v>0</v>
      </c>
      <c r="BN55" s="624">
        <f t="shared" si="40"/>
        <v>0</v>
      </c>
      <c r="BO55" s="624">
        <f t="shared" si="41"/>
        <v>0</v>
      </c>
    </row>
    <row r="56" spans="2:67" x14ac:dyDescent="0.25">
      <c r="B56" s="615" t="s">
        <v>845</v>
      </c>
      <c r="C56" s="624">
        <f t="shared" si="36"/>
        <v>8.6</v>
      </c>
      <c r="D56" s="624">
        <f t="shared" si="36"/>
        <v>0</v>
      </c>
      <c r="E56" s="624">
        <f t="shared" si="36"/>
        <v>0</v>
      </c>
      <c r="F56" s="624">
        <f t="shared" si="36"/>
        <v>21.18</v>
      </c>
      <c r="G56" s="624">
        <f t="shared" si="36"/>
        <v>0</v>
      </c>
      <c r="H56" s="624">
        <f t="shared" si="36"/>
        <v>29.78</v>
      </c>
      <c r="O56" s="615" t="s">
        <v>845</v>
      </c>
      <c r="P56" s="614">
        <f>'A ceļi'!T108</f>
        <v>5.94</v>
      </c>
      <c r="Q56" s="614">
        <f>'A ceļi'!U108</f>
        <v>0</v>
      </c>
      <c r="R56" s="614">
        <f>'A ceļi'!V108</f>
        <v>0</v>
      </c>
      <c r="S56" s="614">
        <f>'A ceļi'!W108</f>
        <v>4.3100000000000005</v>
      </c>
      <c r="T56" s="614">
        <f>'A ceļi'!X108</f>
        <v>0</v>
      </c>
      <c r="U56" s="614">
        <f>'A ceļi'!Y108</f>
        <v>10.25</v>
      </c>
      <c r="V56" s="615" t="s">
        <v>845</v>
      </c>
      <c r="W56" s="614">
        <f>'A ceļi'!AA108</f>
        <v>0</v>
      </c>
      <c r="X56" s="614">
        <f>'A ceļi'!AB108</f>
        <v>0</v>
      </c>
      <c r="Y56" s="614">
        <f>'A ceļi'!AC108</f>
        <v>0</v>
      </c>
      <c r="Z56" s="614">
        <f>'A ceļi'!AD108</f>
        <v>0</v>
      </c>
      <c r="AA56" s="614">
        <f>'A ceļi'!AE108</f>
        <v>0</v>
      </c>
      <c r="AB56" s="614">
        <f>'A ceļi'!AF108</f>
        <v>0</v>
      </c>
      <c r="AD56" s="615" t="s">
        <v>845</v>
      </c>
      <c r="AE56" s="614">
        <f>'B ceļi'!T416</f>
        <v>2.62</v>
      </c>
      <c r="AF56" s="614">
        <f>'B ceļi'!U416</f>
        <v>0</v>
      </c>
      <c r="AG56" s="614">
        <f>'B ceļi'!V416</f>
        <v>0</v>
      </c>
      <c r="AH56" s="614">
        <f>'B ceļi'!W416</f>
        <v>16.87</v>
      </c>
      <c r="AI56" s="614">
        <f>'B ceļi'!X416</f>
        <v>0</v>
      </c>
      <c r="AJ56" s="614">
        <f>'B ceļi'!Y416</f>
        <v>19.490000000000002</v>
      </c>
      <c r="AK56" s="615" t="s">
        <v>845</v>
      </c>
      <c r="AL56" s="614">
        <f>'B ceļi'!AA416</f>
        <v>0</v>
      </c>
      <c r="AM56" s="614">
        <f>'B ceļi'!AB416</f>
        <v>0</v>
      </c>
      <c r="AN56" s="614">
        <f>'B ceļi'!AC416</f>
        <v>0</v>
      </c>
      <c r="AO56" s="614">
        <f>'B ceļi'!AD416</f>
        <v>0</v>
      </c>
      <c r="AP56" s="614">
        <f>'B ceļi'!AE416</f>
        <v>0</v>
      </c>
      <c r="AQ56" s="614">
        <f>'B ceļi'!AF416</f>
        <v>0</v>
      </c>
      <c r="AS56" s="615" t="s">
        <v>845</v>
      </c>
      <c r="AT56" s="614">
        <f>'C ceļi'!T185</f>
        <v>0.04</v>
      </c>
      <c r="AU56" s="614">
        <f>'C ceļi'!U185</f>
        <v>0</v>
      </c>
      <c r="AV56" s="614">
        <f>'C ceļi'!V185</f>
        <v>0</v>
      </c>
      <c r="AW56" s="614">
        <f>'C ceļi'!W185</f>
        <v>0</v>
      </c>
      <c r="AX56" s="614">
        <f>'C ceļi'!X185</f>
        <v>0</v>
      </c>
      <c r="AY56" s="614">
        <f>'C ceļi'!Y185</f>
        <v>0.04</v>
      </c>
      <c r="AZ56" s="615" t="s">
        <v>845</v>
      </c>
      <c r="BA56" s="614">
        <f>'C ceļi'!AA185</f>
        <v>0</v>
      </c>
      <c r="BB56" s="614">
        <f>'C ceļi'!AB185</f>
        <v>0</v>
      </c>
      <c r="BC56" s="614">
        <f>'C ceļi'!AC185</f>
        <v>0</v>
      </c>
      <c r="BD56" s="614">
        <f>'C ceļi'!AD185</f>
        <v>0</v>
      </c>
      <c r="BE56" s="614">
        <f>'C ceļi'!AE185</f>
        <v>0</v>
      </c>
      <c r="BF56" s="614">
        <f>'C ceļi'!AF185</f>
        <v>0</v>
      </c>
      <c r="BI56" s="615" t="s">
        <v>845</v>
      </c>
      <c r="BJ56" s="624">
        <f t="shared" si="42"/>
        <v>8.6</v>
      </c>
      <c r="BK56" s="624">
        <f t="shared" si="37"/>
        <v>0</v>
      </c>
      <c r="BL56" s="624">
        <f t="shared" si="38"/>
        <v>0</v>
      </c>
      <c r="BM56" s="624">
        <f t="shared" si="39"/>
        <v>21.18</v>
      </c>
      <c r="BN56" s="624">
        <f t="shared" si="40"/>
        <v>0</v>
      </c>
      <c r="BO56" s="624">
        <f t="shared" si="41"/>
        <v>29.78</v>
      </c>
    </row>
    <row r="57" spans="2:67" x14ac:dyDescent="0.25">
      <c r="B57" s="616" t="s">
        <v>846</v>
      </c>
      <c r="C57" s="624">
        <f t="shared" si="36"/>
        <v>3.1000000000000005</v>
      </c>
      <c r="D57" s="624">
        <f t="shared" si="36"/>
        <v>0</v>
      </c>
      <c r="E57" s="624">
        <f t="shared" si="36"/>
        <v>0.92</v>
      </c>
      <c r="F57" s="624">
        <f t="shared" si="36"/>
        <v>71.53</v>
      </c>
      <c r="G57" s="624">
        <f t="shared" si="36"/>
        <v>3.5599999999999996</v>
      </c>
      <c r="H57" s="624">
        <f t="shared" si="36"/>
        <v>79.11</v>
      </c>
      <c r="O57" s="616" t="s">
        <v>846</v>
      </c>
      <c r="P57" s="614">
        <f>'A ceļi'!T109</f>
        <v>0</v>
      </c>
      <c r="Q57" s="614">
        <f>'A ceļi'!U109</f>
        <v>0</v>
      </c>
      <c r="R57" s="614">
        <f>'A ceļi'!V109</f>
        <v>0</v>
      </c>
      <c r="S57" s="614">
        <f>'A ceļi'!W109</f>
        <v>2.85</v>
      </c>
      <c r="T57" s="614">
        <f>'A ceļi'!X109</f>
        <v>0</v>
      </c>
      <c r="U57" s="614">
        <f>'A ceļi'!Y109</f>
        <v>2.85</v>
      </c>
      <c r="V57" s="616" t="s">
        <v>846</v>
      </c>
      <c r="W57" s="614">
        <f>'A ceļi'!AA109</f>
        <v>0</v>
      </c>
      <c r="X57" s="614">
        <f>'A ceļi'!AB109</f>
        <v>0</v>
      </c>
      <c r="Y57" s="614">
        <f>'A ceļi'!AC109</f>
        <v>0</v>
      </c>
      <c r="Z57" s="614">
        <f>'A ceļi'!AD109</f>
        <v>0</v>
      </c>
      <c r="AA57" s="614">
        <f>'A ceļi'!AE109</f>
        <v>0</v>
      </c>
      <c r="AB57" s="614">
        <f>'A ceļi'!AF109</f>
        <v>0</v>
      </c>
      <c r="AD57" s="616" t="s">
        <v>846</v>
      </c>
      <c r="AE57" s="614">
        <f>'B ceļi'!T417</f>
        <v>1.8300000000000003</v>
      </c>
      <c r="AF57" s="614">
        <f>'B ceļi'!U417</f>
        <v>0</v>
      </c>
      <c r="AG57" s="614">
        <f>'B ceļi'!V417</f>
        <v>0</v>
      </c>
      <c r="AH57" s="614">
        <f>'B ceļi'!W417</f>
        <v>60.78</v>
      </c>
      <c r="AI57" s="614">
        <f>'B ceļi'!X417</f>
        <v>0.16999999999999998</v>
      </c>
      <c r="AJ57" s="614">
        <f>'B ceļi'!Y417</f>
        <v>62.78</v>
      </c>
      <c r="AK57" s="616" t="s">
        <v>846</v>
      </c>
      <c r="AL57" s="614">
        <f>'B ceļi'!AA417</f>
        <v>0</v>
      </c>
      <c r="AM57" s="614">
        <f>'B ceļi'!AB417</f>
        <v>0</v>
      </c>
      <c r="AN57" s="614">
        <f>'B ceļi'!AC417</f>
        <v>0</v>
      </c>
      <c r="AO57" s="614">
        <f>'B ceļi'!AD417</f>
        <v>0.2</v>
      </c>
      <c r="AP57" s="614">
        <f>'B ceļi'!AE417</f>
        <v>0</v>
      </c>
      <c r="AQ57" s="614">
        <f>'B ceļi'!AF417</f>
        <v>0.2</v>
      </c>
      <c r="AS57" s="616" t="s">
        <v>846</v>
      </c>
      <c r="AT57" s="614">
        <f>'C ceļi'!T186</f>
        <v>1.27</v>
      </c>
      <c r="AU57" s="614">
        <f>'C ceļi'!U186</f>
        <v>0</v>
      </c>
      <c r="AV57" s="614">
        <f>'C ceļi'!V186</f>
        <v>0.92</v>
      </c>
      <c r="AW57" s="614">
        <f>'C ceļi'!W186</f>
        <v>7.9</v>
      </c>
      <c r="AX57" s="614">
        <f>'C ceļi'!X186</f>
        <v>3.3899999999999997</v>
      </c>
      <c r="AY57" s="614">
        <f>'C ceļi'!Y186</f>
        <v>13.48</v>
      </c>
      <c r="AZ57" s="616" t="s">
        <v>846</v>
      </c>
      <c r="BA57" s="614">
        <f>'C ceļi'!AA186</f>
        <v>0</v>
      </c>
      <c r="BB57" s="614">
        <f>'C ceļi'!AB186</f>
        <v>0</v>
      </c>
      <c r="BC57" s="614">
        <f>'C ceļi'!AC186</f>
        <v>0</v>
      </c>
      <c r="BD57" s="614">
        <f>'C ceļi'!AD186</f>
        <v>0</v>
      </c>
      <c r="BE57" s="614">
        <f>'C ceļi'!AE186</f>
        <v>0</v>
      </c>
      <c r="BF57" s="614">
        <f>'C ceļi'!AF186</f>
        <v>0</v>
      </c>
      <c r="BI57" s="616" t="s">
        <v>846</v>
      </c>
      <c r="BJ57" s="624">
        <f t="shared" si="42"/>
        <v>3.1000000000000005</v>
      </c>
      <c r="BK57" s="624">
        <f t="shared" si="37"/>
        <v>0</v>
      </c>
      <c r="BL57" s="624">
        <f t="shared" si="38"/>
        <v>0.92</v>
      </c>
      <c r="BM57" s="624">
        <f t="shared" si="39"/>
        <v>71.33</v>
      </c>
      <c r="BN57" s="624">
        <f t="shared" si="40"/>
        <v>3.5599999999999996</v>
      </c>
      <c r="BO57" s="624">
        <f t="shared" si="41"/>
        <v>78.91</v>
      </c>
    </row>
    <row r="58" spans="2:67" x14ac:dyDescent="0.25">
      <c r="C58" s="624">
        <f t="shared" si="36"/>
        <v>11.700000000000001</v>
      </c>
      <c r="D58" s="624">
        <f t="shared" si="36"/>
        <v>0</v>
      </c>
      <c r="E58" s="624">
        <f t="shared" si="36"/>
        <v>0.92</v>
      </c>
      <c r="F58" s="624">
        <f t="shared" si="36"/>
        <v>92.710000000000008</v>
      </c>
      <c r="G58" s="624">
        <f t="shared" si="36"/>
        <v>3.5599999999999996</v>
      </c>
      <c r="H58" s="624">
        <f t="shared" si="36"/>
        <v>108.89</v>
      </c>
      <c r="P58" s="614">
        <f>'A ceļi'!T110</f>
        <v>5.94</v>
      </c>
      <c r="Q58" s="614">
        <f>'A ceļi'!U110</f>
        <v>0</v>
      </c>
      <c r="R58" s="614">
        <f>'A ceļi'!V110</f>
        <v>0</v>
      </c>
      <c r="S58" s="614">
        <f>'A ceļi'!W110</f>
        <v>7.16</v>
      </c>
      <c r="T58" s="614">
        <f>'A ceļi'!X110</f>
        <v>0</v>
      </c>
      <c r="U58" s="614">
        <f>'A ceļi'!Y110</f>
        <v>13.1</v>
      </c>
      <c r="W58" s="614">
        <f>'A ceļi'!AA110</f>
        <v>0</v>
      </c>
      <c r="X58" s="614">
        <f>'A ceļi'!AB110</f>
        <v>0</v>
      </c>
      <c r="Y58" s="614">
        <f>'A ceļi'!AC110</f>
        <v>0</v>
      </c>
      <c r="Z58" s="614">
        <f>'A ceļi'!AD110</f>
        <v>0</v>
      </c>
      <c r="AA58" s="614">
        <f>'A ceļi'!AE110</f>
        <v>0</v>
      </c>
      <c r="AB58" s="614">
        <f>'A ceļi'!AF110</f>
        <v>0</v>
      </c>
      <c r="AE58" s="614">
        <f>'B ceļi'!T418</f>
        <v>4.45</v>
      </c>
      <c r="AF58" s="614">
        <f>'B ceļi'!U418</f>
        <v>0</v>
      </c>
      <c r="AG58" s="614">
        <f>'B ceļi'!V418</f>
        <v>0</v>
      </c>
      <c r="AH58" s="614">
        <f>'B ceļi'!W418</f>
        <v>77.650000000000006</v>
      </c>
      <c r="AI58" s="614">
        <f>'B ceļi'!X418</f>
        <v>0.16999999999999998</v>
      </c>
      <c r="AJ58" s="614">
        <f>'B ceļi'!Y418</f>
        <v>82.27000000000001</v>
      </c>
      <c r="AL58" s="614">
        <f>'B ceļi'!AA418</f>
        <v>0</v>
      </c>
      <c r="AM58" s="614">
        <f>'B ceļi'!AB418</f>
        <v>0</v>
      </c>
      <c r="AN58" s="614">
        <f>'B ceļi'!AC418</f>
        <v>0</v>
      </c>
      <c r="AO58" s="614">
        <f>'B ceļi'!AD418</f>
        <v>0.2</v>
      </c>
      <c r="AP58" s="614">
        <f>'B ceļi'!AE418</f>
        <v>0</v>
      </c>
      <c r="AQ58" s="614">
        <f>'B ceļi'!AF418</f>
        <v>0.2</v>
      </c>
      <c r="AT58" s="614">
        <f>'C ceļi'!T187</f>
        <v>1.31</v>
      </c>
      <c r="AU58" s="614">
        <f>'C ceļi'!U187</f>
        <v>0</v>
      </c>
      <c r="AV58" s="614">
        <f>'C ceļi'!V187</f>
        <v>0.92</v>
      </c>
      <c r="AW58" s="614">
        <f>'C ceļi'!W187</f>
        <v>7.9</v>
      </c>
      <c r="AX58" s="614">
        <f>'C ceļi'!X187</f>
        <v>3.3899999999999997</v>
      </c>
      <c r="AY58" s="614">
        <f>'C ceļi'!Y187</f>
        <v>13.52</v>
      </c>
      <c r="BA58" s="614">
        <f>'C ceļi'!AA187</f>
        <v>0</v>
      </c>
      <c r="BB58" s="614">
        <f>'C ceļi'!AB187</f>
        <v>0</v>
      </c>
      <c r="BC58" s="614">
        <f>'C ceļi'!AC187</f>
        <v>0</v>
      </c>
      <c r="BD58" s="614">
        <f>'C ceļi'!AD187</f>
        <v>0</v>
      </c>
      <c r="BE58" s="614">
        <f>'C ceļi'!AE187</f>
        <v>0</v>
      </c>
      <c r="BF58" s="614">
        <f>'C ceļi'!AF187</f>
        <v>0</v>
      </c>
      <c r="BJ58" s="624">
        <f t="shared" si="42"/>
        <v>11.700000000000001</v>
      </c>
      <c r="BK58" s="624">
        <f t="shared" si="37"/>
        <v>0</v>
      </c>
      <c r="BL58" s="624">
        <f t="shared" si="38"/>
        <v>0.92</v>
      </c>
      <c r="BM58" s="624">
        <f t="shared" si="39"/>
        <v>92.51</v>
      </c>
      <c r="BN58" s="624">
        <f t="shared" si="40"/>
        <v>3.5599999999999996</v>
      </c>
      <c r="BO58" s="624">
        <f t="shared" si="41"/>
        <v>108.69</v>
      </c>
    </row>
    <row r="59" spans="2:67" x14ac:dyDescent="0.25">
      <c r="C59" s="633"/>
      <c r="D59" s="633"/>
      <c r="E59" s="633"/>
      <c r="F59" s="633"/>
      <c r="G59" s="633"/>
      <c r="H59" s="633"/>
      <c r="BJ59" s="633"/>
      <c r="BK59" s="633"/>
      <c r="BL59" s="633"/>
      <c r="BM59" s="633"/>
      <c r="BN59" s="633"/>
      <c r="BO59" s="633"/>
    </row>
    <row r="60" spans="2:67" x14ac:dyDescent="0.25">
      <c r="B60" t="s">
        <v>1126</v>
      </c>
      <c r="C60" s="633"/>
      <c r="D60" s="633"/>
      <c r="E60" s="633"/>
      <c r="F60" s="633"/>
      <c r="G60" s="633"/>
      <c r="H60" s="633"/>
      <c r="P60" t="s">
        <v>1127</v>
      </c>
      <c r="W60" t="s">
        <v>1097</v>
      </c>
      <c r="AE60" t="s">
        <v>1128</v>
      </c>
      <c r="AL60" t="s">
        <v>1097</v>
      </c>
      <c r="AT60" t="s">
        <v>1129</v>
      </c>
      <c r="BA60" t="s">
        <v>1097</v>
      </c>
      <c r="BI60" t="s">
        <v>1137</v>
      </c>
      <c r="BJ60" s="633"/>
      <c r="BK60" s="633"/>
      <c r="BL60" s="633"/>
      <c r="BM60" s="633"/>
      <c r="BN60" s="633"/>
      <c r="BO60" s="633"/>
    </row>
    <row r="61" spans="2:67" ht="23.25" x14ac:dyDescent="0.25">
      <c r="B61" s="102"/>
      <c r="C61" s="671" t="s">
        <v>1092</v>
      </c>
      <c r="D61" s="671" t="s">
        <v>1093</v>
      </c>
      <c r="E61" s="671" t="s">
        <v>1094</v>
      </c>
      <c r="F61" s="671" t="s">
        <v>1095</v>
      </c>
      <c r="G61" s="671" t="s">
        <v>1096</v>
      </c>
      <c r="H61" s="265" t="s">
        <v>269</v>
      </c>
      <c r="O61" s="102"/>
      <c r="P61" s="625" t="s">
        <v>1092</v>
      </c>
      <c r="Q61" s="625" t="s">
        <v>1093</v>
      </c>
      <c r="R61" s="625" t="s">
        <v>1094</v>
      </c>
      <c r="S61" s="625" t="s">
        <v>1095</v>
      </c>
      <c r="T61" s="625" t="s">
        <v>1096</v>
      </c>
      <c r="U61" s="627" t="s">
        <v>269</v>
      </c>
      <c r="V61" s="102"/>
      <c r="W61" s="625" t="s">
        <v>1092</v>
      </c>
      <c r="X61" s="625" t="s">
        <v>1093</v>
      </c>
      <c r="Y61" s="625" t="s">
        <v>1094</v>
      </c>
      <c r="Z61" s="625" t="s">
        <v>1095</v>
      </c>
      <c r="AA61" s="625" t="s">
        <v>1096</v>
      </c>
      <c r="AB61" s="627" t="s">
        <v>269</v>
      </c>
      <c r="AD61" s="102"/>
      <c r="AE61" s="625" t="s">
        <v>1092</v>
      </c>
      <c r="AF61" s="625" t="s">
        <v>1093</v>
      </c>
      <c r="AG61" s="625" t="s">
        <v>1094</v>
      </c>
      <c r="AH61" s="625" t="s">
        <v>1095</v>
      </c>
      <c r="AI61" s="625" t="s">
        <v>1096</v>
      </c>
      <c r="AJ61" s="627" t="s">
        <v>269</v>
      </c>
      <c r="AK61" s="102"/>
      <c r="AL61" s="625" t="s">
        <v>1092</v>
      </c>
      <c r="AM61" s="625" t="s">
        <v>1093</v>
      </c>
      <c r="AN61" s="625" t="s">
        <v>1094</v>
      </c>
      <c r="AO61" s="625" t="s">
        <v>1095</v>
      </c>
      <c r="AP61" s="625" t="s">
        <v>1096</v>
      </c>
      <c r="AQ61" s="627" t="s">
        <v>269</v>
      </c>
      <c r="AS61" s="102"/>
      <c r="AT61" s="625" t="s">
        <v>1092</v>
      </c>
      <c r="AU61" s="625" t="s">
        <v>1093</v>
      </c>
      <c r="AV61" s="625" t="s">
        <v>1094</v>
      </c>
      <c r="AW61" s="625" t="s">
        <v>1095</v>
      </c>
      <c r="AX61" s="625" t="s">
        <v>1096</v>
      </c>
      <c r="AY61" s="627" t="s">
        <v>269</v>
      </c>
      <c r="AZ61" s="102"/>
      <c r="BA61" s="625" t="s">
        <v>1092</v>
      </c>
      <c r="BB61" s="625" t="s">
        <v>1093</v>
      </c>
      <c r="BC61" s="625" t="s">
        <v>1094</v>
      </c>
      <c r="BD61" s="625" t="s">
        <v>1095</v>
      </c>
      <c r="BE61" s="625" t="s">
        <v>1096</v>
      </c>
      <c r="BF61" s="627" t="s">
        <v>269</v>
      </c>
      <c r="BI61" s="102"/>
      <c r="BJ61" s="671" t="s">
        <v>1092</v>
      </c>
      <c r="BK61" s="671" t="s">
        <v>1093</v>
      </c>
      <c r="BL61" s="671" t="s">
        <v>1094</v>
      </c>
      <c r="BM61" s="671" t="s">
        <v>1095</v>
      </c>
      <c r="BN61" s="671" t="s">
        <v>1096</v>
      </c>
      <c r="BO61" s="265" t="s">
        <v>269</v>
      </c>
    </row>
    <row r="62" spans="2:67" x14ac:dyDescent="0.25">
      <c r="B62" s="628" t="s">
        <v>844</v>
      </c>
      <c r="C62" s="671" t="s">
        <v>231</v>
      </c>
      <c r="D62" s="671" t="s">
        <v>231</v>
      </c>
      <c r="E62" s="671" t="s">
        <v>231</v>
      </c>
      <c r="F62" s="671" t="s">
        <v>231</v>
      </c>
      <c r="G62" s="671" t="s">
        <v>231</v>
      </c>
      <c r="H62" s="672" t="s">
        <v>231</v>
      </c>
      <c r="O62" s="628" t="s">
        <v>844</v>
      </c>
      <c r="P62" s="625" t="s">
        <v>231</v>
      </c>
      <c r="Q62" s="625" t="s">
        <v>231</v>
      </c>
      <c r="R62" s="625" t="s">
        <v>231</v>
      </c>
      <c r="S62" s="625" t="s">
        <v>231</v>
      </c>
      <c r="T62" s="625" t="s">
        <v>231</v>
      </c>
      <c r="U62" s="626" t="s">
        <v>231</v>
      </c>
      <c r="V62" s="628"/>
      <c r="W62" s="625" t="s">
        <v>231</v>
      </c>
      <c r="X62" s="625" t="s">
        <v>231</v>
      </c>
      <c r="Y62" s="625" t="s">
        <v>231</v>
      </c>
      <c r="Z62" s="625" t="s">
        <v>231</v>
      </c>
      <c r="AA62" s="625" t="s">
        <v>231</v>
      </c>
      <c r="AB62" s="626" t="s">
        <v>231</v>
      </c>
      <c r="AD62" s="628" t="s">
        <v>844</v>
      </c>
      <c r="AE62" s="625" t="s">
        <v>231</v>
      </c>
      <c r="AF62" s="625" t="s">
        <v>231</v>
      </c>
      <c r="AG62" s="625" t="s">
        <v>231</v>
      </c>
      <c r="AH62" s="625" t="s">
        <v>231</v>
      </c>
      <c r="AI62" s="625" t="s">
        <v>231</v>
      </c>
      <c r="AJ62" s="626" t="s">
        <v>231</v>
      </c>
      <c r="AK62" s="628"/>
      <c r="AL62" s="625" t="s">
        <v>231</v>
      </c>
      <c r="AM62" s="625" t="s">
        <v>231</v>
      </c>
      <c r="AN62" s="625" t="s">
        <v>231</v>
      </c>
      <c r="AO62" s="625" t="s">
        <v>231</v>
      </c>
      <c r="AP62" s="625" t="s">
        <v>231</v>
      </c>
      <c r="AQ62" s="626" t="s">
        <v>231</v>
      </c>
      <c r="AS62" s="628" t="s">
        <v>844</v>
      </c>
      <c r="AT62" s="625" t="s">
        <v>231</v>
      </c>
      <c r="AU62" s="625" t="s">
        <v>231</v>
      </c>
      <c r="AV62" s="625" t="s">
        <v>231</v>
      </c>
      <c r="AW62" s="625" t="s">
        <v>231</v>
      </c>
      <c r="AX62" s="625" t="s">
        <v>231</v>
      </c>
      <c r="AY62" s="626" t="s">
        <v>231</v>
      </c>
      <c r="AZ62" s="628"/>
      <c r="BA62" s="625" t="s">
        <v>231</v>
      </c>
      <c r="BB62" s="625" t="s">
        <v>231</v>
      </c>
      <c r="BC62" s="625" t="s">
        <v>231</v>
      </c>
      <c r="BD62" s="625" t="s">
        <v>231</v>
      </c>
      <c r="BE62" s="625" t="s">
        <v>231</v>
      </c>
      <c r="BF62" s="626" t="s">
        <v>231</v>
      </c>
      <c r="BI62" s="628" t="s">
        <v>844</v>
      </c>
      <c r="BJ62" s="671" t="s">
        <v>231</v>
      </c>
      <c r="BK62" s="671" t="s">
        <v>231</v>
      </c>
      <c r="BL62" s="671" t="s">
        <v>231</v>
      </c>
      <c r="BM62" s="671" t="s">
        <v>231</v>
      </c>
      <c r="BN62" s="671" t="s">
        <v>231</v>
      </c>
      <c r="BO62" s="672" t="s">
        <v>231</v>
      </c>
    </row>
    <row r="63" spans="2:67" x14ac:dyDescent="0.25">
      <c r="B63" s="616" t="s">
        <v>847</v>
      </c>
      <c r="C63" s="624">
        <f t="shared" ref="C63:H67" si="43">P63+AE63+AT63</f>
        <v>0</v>
      </c>
      <c r="D63" s="624">
        <f t="shared" si="43"/>
        <v>0</v>
      </c>
      <c r="E63" s="624">
        <f t="shared" si="43"/>
        <v>0</v>
      </c>
      <c r="F63" s="624">
        <f t="shared" si="43"/>
        <v>0</v>
      </c>
      <c r="G63" s="624">
        <f t="shared" si="43"/>
        <v>0</v>
      </c>
      <c r="H63" s="624">
        <f t="shared" si="43"/>
        <v>0</v>
      </c>
      <c r="O63" s="616" t="s">
        <v>847</v>
      </c>
      <c r="P63" s="614">
        <f>'A ceļi'!T126</f>
        <v>0</v>
      </c>
      <c r="Q63" s="614">
        <f>'A ceļi'!U126</f>
        <v>0</v>
      </c>
      <c r="R63" s="614">
        <f>'A ceļi'!V126</f>
        <v>0</v>
      </c>
      <c r="S63" s="614">
        <f>'A ceļi'!W126</f>
        <v>0</v>
      </c>
      <c r="T63" s="614">
        <f>'A ceļi'!X126</f>
        <v>0</v>
      </c>
      <c r="U63" s="614">
        <f>'A ceļi'!Y126</f>
        <v>0</v>
      </c>
      <c r="V63" s="616" t="s">
        <v>847</v>
      </c>
      <c r="W63" s="614">
        <f>'A ceļi'!AA126</f>
        <v>0</v>
      </c>
      <c r="X63" s="614">
        <f>'A ceļi'!AB126</f>
        <v>0</v>
      </c>
      <c r="Y63" s="614">
        <f>'A ceļi'!AC126</f>
        <v>0</v>
      </c>
      <c r="Z63" s="614">
        <f>'A ceļi'!AD126</f>
        <v>0</v>
      </c>
      <c r="AA63" s="614">
        <f>'A ceļi'!AE126</f>
        <v>0</v>
      </c>
      <c r="AB63" s="614">
        <f>'A ceļi'!AF126</f>
        <v>0</v>
      </c>
      <c r="AD63" s="616" t="s">
        <v>847</v>
      </c>
      <c r="AE63" s="614">
        <f>'B ceļi'!T452</f>
        <v>0</v>
      </c>
      <c r="AF63" s="614">
        <f>'B ceļi'!U452</f>
        <v>0</v>
      </c>
      <c r="AG63" s="614">
        <f>'B ceļi'!V452</f>
        <v>0</v>
      </c>
      <c r="AH63" s="614">
        <f>'B ceļi'!W452</f>
        <v>0</v>
      </c>
      <c r="AI63" s="614">
        <f>'B ceļi'!X452</f>
        <v>0</v>
      </c>
      <c r="AJ63" s="614">
        <f>'B ceļi'!Y452</f>
        <v>0</v>
      </c>
      <c r="AK63" s="616" t="s">
        <v>847</v>
      </c>
      <c r="AL63" s="614">
        <f>'B ceļi'!AA452</f>
        <v>0</v>
      </c>
      <c r="AM63" s="614">
        <f>'B ceļi'!AB452</f>
        <v>0</v>
      </c>
      <c r="AN63" s="614">
        <f>'B ceļi'!AC452</f>
        <v>0</v>
      </c>
      <c r="AO63" s="614">
        <f>'B ceļi'!AD452</f>
        <v>0</v>
      </c>
      <c r="AP63" s="614">
        <f>'B ceļi'!AE452</f>
        <v>0</v>
      </c>
      <c r="AQ63" s="614">
        <f>'B ceļi'!AF452</f>
        <v>0</v>
      </c>
      <c r="AS63" s="616" t="s">
        <v>847</v>
      </c>
      <c r="AT63" s="614">
        <f>'C ceļi'!T213</f>
        <v>0</v>
      </c>
      <c r="AU63" s="614">
        <f>'C ceļi'!U213</f>
        <v>0</v>
      </c>
      <c r="AV63" s="614">
        <f>'C ceļi'!V213</f>
        <v>0</v>
      </c>
      <c r="AW63" s="614">
        <f>'C ceļi'!W213</f>
        <v>0</v>
      </c>
      <c r="AX63" s="614">
        <f>'C ceļi'!X213</f>
        <v>0</v>
      </c>
      <c r="AY63" s="614">
        <f>'C ceļi'!Y213</f>
        <v>0</v>
      </c>
      <c r="AZ63" s="616" t="s">
        <v>847</v>
      </c>
      <c r="BA63" s="614">
        <f>'C ceļi'!AA213</f>
        <v>0</v>
      </c>
      <c r="BB63" s="614">
        <f>'C ceļi'!AB213</f>
        <v>0</v>
      </c>
      <c r="BC63" s="614">
        <f>'C ceļi'!AC213</f>
        <v>0</v>
      </c>
      <c r="BD63" s="614">
        <f>'C ceļi'!AD213</f>
        <v>0</v>
      </c>
      <c r="BE63" s="614">
        <f>'C ceļi'!AE213</f>
        <v>0</v>
      </c>
      <c r="BF63" s="614">
        <f>'C ceļi'!AF213</f>
        <v>0</v>
      </c>
      <c r="BI63" s="616" t="s">
        <v>847</v>
      </c>
      <c r="BJ63" s="624">
        <f>C63-W63-AL63-BA63</f>
        <v>0</v>
      </c>
      <c r="BK63" s="624">
        <f t="shared" ref="BK63:BK67" si="44">D63-X63-AM63-BB63</f>
        <v>0</v>
      </c>
      <c r="BL63" s="624">
        <f t="shared" ref="BL63:BL67" si="45">E63-Y63-AN63-BC63</f>
        <v>0</v>
      </c>
      <c r="BM63" s="624">
        <f t="shared" ref="BM63:BM67" si="46">F63-Z63-AO63-BD63</f>
        <v>0</v>
      </c>
      <c r="BN63" s="624">
        <f t="shared" ref="BN63:BN67" si="47">G63-AA63-AP63-BE63</f>
        <v>0</v>
      </c>
      <c r="BO63" s="624">
        <f t="shared" ref="BO63:BO67" si="48">H63-AB63-AQ63-BF63</f>
        <v>0</v>
      </c>
    </row>
    <row r="64" spans="2:67" x14ac:dyDescent="0.25">
      <c r="B64" s="617" t="s">
        <v>848</v>
      </c>
      <c r="C64" s="624">
        <f t="shared" si="43"/>
        <v>0</v>
      </c>
      <c r="D64" s="624">
        <f t="shared" si="43"/>
        <v>0</v>
      </c>
      <c r="E64" s="624">
        <f t="shared" si="43"/>
        <v>0</v>
      </c>
      <c r="F64" s="624">
        <f t="shared" si="43"/>
        <v>0</v>
      </c>
      <c r="G64" s="624">
        <f t="shared" si="43"/>
        <v>0</v>
      </c>
      <c r="H64" s="624">
        <f t="shared" si="43"/>
        <v>0</v>
      </c>
      <c r="O64" s="617" t="s">
        <v>848</v>
      </c>
      <c r="P64" s="614">
        <f>'A ceļi'!T127</f>
        <v>0</v>
      </c>
      <c r="Q64" s="614">
        <f>'A ceļi'!U127</f>
        <v>0</v>
      </c>
      <c r="R64" s="614">
        <f>'A ceļi'!V127</f>
        <v>0</v>
      </c>
      <c r="S64" s="614">
        <f>'A ceļi'!W127</f>
        <v>0</v>
      </c>
      <c r="T64" s="614">
        <f>'A ceļi'!X127</f>
        <v>0</v>
      </c>
      <c r="U64" s="614">
        <f>'A ceļi'!Y127</f>
        <v>0</v>
      </c>
      <c r="V64" s="617" t="s">
        <v>848</v>
      </c>
      <c r="W64" s="614">
        <f>'A ceļi'!AA127</f>
        <v>0</v>
      </c>
      <c r="X64" s="614">
        <f>'A ceļi'!AB127</f>
        <v>0</v>
      </c>
      <c r="Y64" s="614">
        <f>'A ceļi'!AC127</f>
        <v>0</v>
      </c>
      <c r="Z64" s="614">
        <f>'A ceļi'!AD127</f>
        <v>0</v>
      </c>
      <c r="AA64" s="614">
        <f>'A ceļi'!AE127</f>
        <v>0</v>
      </c>
      <c r="AB64" s="614">
        <f>'A ceļi'!AF127</f>
        <v>0</v>
      </c>
      <c r="AD64" s="617" t="s">
        <v>848</v>
      </c>
      <c r="AE64" s="614">
        <f>'B ceļi'!T453</f>
        <v>0</v>
      </c>
      <c r="AF64" s="614">
        <f>'B ceļi'!U453</f>
        <v>0</v>
      </c>
      <c r="AG64" s="614">
        <f>'B ceļi'!V453</f>
        <v>0</v>
      </c>
      <c r="AH64" s="614">
        <f>'B ceļi'!W453</f>
        <v>0</v>
      </c>
      <c r="AI64" s="614">
        <f>'B ceļi'!X453</f>
        <v>0</v>
      </c>
      <c r="AJ64" s="614">
        <f>'B ceļi'!Y453</f>
        <v>0</v>
      </c>
      <c r="AK64" s="617" t="s">
        <v>848</v>
      </c>
      <c r="AL64" s="614">
        <f>'B ceļi'!AA453</f>
        <v>0</v>
      </c>
      <c r="AM64" s="614">
        <f>'B ceļi'!AB453</f>
        <v>0</v>
      </c>
      <c r="AN64" s="614">
        <f>'B ceļi'!AC453</f>
        <v>0</v>
      </c>
      <c r="AO64" s="614">
        <f>'B ceļi'!AD453</f>
        <v>0</v>
      </c>
      <c r="AP64" s="614">
        <f>'B ceļi'!AE453</f>
        <v>0</v>
      </c>
      <c r="AQ64" s="614">
        <f>'B ceļi'!AF453</f>
        <v>0</v>
      </c>
      <c r="AS64" s="617" t="s">
        <v>848</v>
      </c>
      <c r="AT64" s="614">
        <f>'C ceļi'!T214</f>
        <v>0</v>
      </c>
      <c r="AU64" s="614">
        <f>'C ceļi'!U214</f>
        <v>0</v>
      </c>
      <c r="AV64" s="614">
        <f>'C ceļi'!V214</f>
        <v>0</v>
      </c>
      <c r="AW64" s="614">
        <f>'C ceļi'!W214</f>
        <v>0</v>
      </c>
      <c r="AX64" s="614">
        <f>'C ceļi'!X214</f>
        <v>0</v>
      </c>
      <c r="AY64" s="614">
        <f>'C ceļi'!Y214</f>
        <v>0</v>
      </c>
      <c r="AZ64" s="617" t="s">
        <v>848</v>
      </c>
      <c r="BA64" s="614">
        <f>'C ceļi'!AA214</f>
        <v>0</v>
      </c>
      <c r="BB64" s="614">
        <f>'C ceļi'!AB214</f>
        <v>0</v>
      </c>
      <c r="BC64" s="614">
        <f>'C ceļi'!AC214</f>
        <v>0</v>
      </c>
      <c r="BD64" s="614">
        <f>'C ceļi'!AD214</f>
        <v>0</v>
      </c>
      <c r="BE64" s="614">
        <f>'C ceļi'!AE214</f>
        <v>0</v>
      </c>
      <c r="BF64" s="614">
        <f>'C ceļi'!AF214</f>
        <v>0</v>
      </c>
      <c r="BI64" s="617" t="s">
        <v>848</v>
      </c>
      <c r="BJ64" s="624">
        <f t="shared" ref="BJ64:BJ67" si="49">C64-W64-AL64-BA64</f>
        <v>0</v>
      </c>
      <c r="BK64" s="624">
        <f t="shared" si="44"/>
        <v>0</v>
      </c>
      <c r="BL64" s="624">
        <f t="shared" si="45"/>
        <v>0</v>
      </c>
      <c r="BM64" s="624">
        <f t="shared" si="46"/>
        <v>0</v>
      </c>
      <c r="BN64" s="624">
        <f t="shared" si="47"/>
        <v>0</v>
      </c>
      <c r="BO64" s="624">
        <f t="shared" si="48"/>
        <v>0</v>
      </c>
    </row>
    <row r="65" spans="2:67" x14ac:dyDescent="0.25">
      <c r="B65" s="615" t="s">
        <v>845</v>
      </c>
      <c r="C65" s="624">
        <f t="shared" si="43"/>
        <v>1.04</v>
      </c>
      <c r="D65" s="624">
        <f t="shared" si="43"/>
        <v>0</v>
      </c>
      <c r="E65" s="624">
        <f t="shared" si="43"/>
        <v>0</v>
      </c>
      <c r="F65" s="624">
        <f t="shared" si="43"/>
        <v>3.24</v>
      </c>
      <c r="G65" s="624">
        <f t="shared" si="43"/>
        <v>0</v>
      </c>
      <c r="H65" s="624">
        <f t="shared" si="43"/>
        <v>4.28</v>
      </c>
      <c r="O65" s="615" t="s">
        <v>845</v>
      </c>
      <c r="P65" s="614">
        <f>'A ceļi'!T128</f>
        <v>0</v>
      </c>
      <c r="Q65" s="614">
        <f>'A ceļi'!U128</f>
        <v>0</v>
      </c>
      <c r="R65" s="614">
        <f>'A ceļi'!V128</f>
        <v>0</v>
      </c>
      <c r="S65" s="614">
        <f>'A ceļi'!W128</f>
        <v>1.9900000000000002</v>
      </c>
      <c r="T65" s="614">
        <f>'A ceļi'!X128</f>
        <v>0</v>
      </c>
      <c r="U65" s="614">
        <f>'A ceļi'!Y128</f>
        <v>1.9900000000000002</v>
      </c>
      <c r="V65" s="615" t="s">
        <v>845</v>
      </c>
      <c r="W65" s="614">
        <f>'A ceļi'!AA128</f>
        <v>0</v>
      </c>
      <c r="X65" s="614">
        <f>'A ceļi'!AB128</f>
        <v>0</v>
      </c>
      <c r="Y65" s="614">
        <f>'A ceļi'!AC128</f>
        <v>0</v>
      </c>
      <c r="Z65" s="614">
        <f>'A ceļi'!AD128</f>
        <v>0</v>
      </c>
      <c r="AA65" s="614">
        <f>'A ceļi'!AE128</f>
        <v>0</v>
      </c>
      <c r="AB65" s="614">
        <f>'A ceļi'!AF128</f>
        <v>0</v>
      </c>
      <c r="AD65" s="615" t="s">
        <v>845</v>
      </c>
      <c r="AE65" s="614">
        <f>'B ceļi'!T454</f>
        <v>1.04</v>
      </c>
      <c r="AF65" s="614">
        <f>'B ceļi'!U454</f>
        <v>0</v>
      </c>
      <c r="AG65" s="614">
        <f>'B ceļi'!V454</f>
        <v>0</v>
      </c>
      <c r="AH65" s="614">
        <f>'B ceļi'!W454</f>
        <v>1.25</v>
      </c>
      <c r="AI65" s="614">
        <f>'B ceļi'!X454</f>
        <v>0</v>
      </c>
      <c r="AJ65" s="614">
        <f>'B ceļi'!Y454</f>
        <v>2.29</v>
      </c>
      <c r="AK65" s="615" t="s">
        <v>845</v>
      </c>
      <c r="AL65" s="614">
        <f>'B ceļi'!AA454</f>
        <v>0</v>
      </c>
      <c r="AM65" s="614">
        <f>'B ceļi'!AB454</f>
        <v>0</v>
      </c>
      <c r="AN65" s="614">
        <f>'B ceļi'!AC454</f>
        <v>0</v>
      </c>
      <c r="AO65" s="614">
        <f>'B ceļi'!AD454</f>
        <v>0</v>
      </c>
      <c r="AP65" s="614">
        <f>'B ceļi'!AE454</f>
        <v>0</v>
      </c>
      <c r="AQ65" s="614">
        <f>'B ceļi'!AF454</f>
        <v>0</v>
      </c>
      <c r="AS65" s="615" t="s">
        <v>845</v>
      </c>
      <c r="AT65" s="614">
        <f>'C ceļi'!T215</f>
        <v>0</v>
      </c>
      <c r="AU65" s="614">
        <f>'C ceļi'!U215</f>
        <v>0</v>
      </c>
      <c r="AV65" s="614">
        <f>'C ceļi'!V215</f>
        <v>0</v>
      </c>
      <c r="AW65" s="614">
        <f>'C ceļi'!W215</f>
        <v>0</v>
      </c>
      <c r="AX65" s="614">
        <f>'C ceļi'!X215</f>
        <v>0</v>
      </c>
      <c r="AY65" s="614">
        <f>'C ceļi'!Y215</f>
        <v>0</v>
      </c>
      <c r="AZ65" s="615" t="s">
        <v>845</v>
      </c>
      <c r="BA65" s="614">
        <f>'C ceļi'!AA215</f>
        <v>0</v>
      </c>
      <c r="BB65" s="614">
        <f>'C ceļi'!AB215</f>
        <v>0</v>
      </c>
      <c r="BC65" s="614">
        <f>'C ceļi'!AC215</f>
        <v>0</v>
      </c>
      <c r="BD65" s="614">
        <f>'C ceļi'!AD215</f>
        <v>0</v>
      </c>
      <c r="BE65" s="614">
        <f>'C ceļi'!AE215</f>
        <v>0</v>
      </c>
      <c r="BF65" s="614">
        <f>'C ceļi'!AF215</f>
        <v>0</v>
      </c>
      <c r="BI65" s="615" t="s">
        <v>845</v>
      </c>
      <c r="BJ65" s="624">
        <f t="shared" si="49"/>
        <v>1.04</v>
      </c>
      <c r="BK65" s="624">
        <f t="shared" si="44"/>
        <v>0</v>
      </c>
      <c r="BL65" s="624">
        <f t="shared" si="45"/>
        <v>0</v>
      </c>
      <c r="BM65" s="624">
        <f t="shared" si="46"/>
        <v>3.24</v>
      </c>
      <c r="BN65" s="624">
        <f t="shared" si="47"/>
        <v>0</v>
      </c>
      <c r="BO65" s="624">
        <f t="shared" si="48"/>
        <v>4.28</v>
      </c>
    </row>
    <row r="66" spans="2:67" x14ac:dyDescent="0.25">
      <c r="B66" s="616" t="s">
        <v>846</v>
      </c>
      <c r="C66" s="624">
        <f t="shared" si="43"/>
        <v>0.19999999999999998</v>
      </c>
      <c r="D66" s="624">
        <f t="shared" si="43"/>
        <v>0</v>
      </c>
      <c r="E66" s="624">
        <f t="shared" si="43"/>
        <v>0</v>
      </c>
      <c r="F66" s="624">
        <f t="shared" si="43"/>
        <v>35.480000000000004</v>
      </c>
      <c r="G66" s="624">
        <f t="shared" si="43"/>
        <v>9.31</v>
      </c>
      <c r="H66" s="624">
        <f t="shared" si="43"/>
        <v>44.99</v>
      </c>
      <c r="O66" s="616" t="s">
        <v>846</v>
      </c>
      <c r="P66" s="614">
        <f>'A ceļi'!T129</f>
        <v>0.02</v>
      </c>
      <c r="Q66" s="614">
        <f>'A ceļi'!U129</f>
        <v>0</v>
      </c>
      <c r="R66" s="614">
        <f>'A ceļi'!V129</f>
        <v>0</v>
      </c>
      <c r="S66" s="614">
        <f>'A ceļi'!W129</f>
        <v>4.5199999999999996</v>
      </c>
      <c r="T66" s="614">
        <f>'A ceļi'!X129</f>
        <v>0</v>
      </c>
      <c r="U66" s="614">
        <f>'A ceļi'!Y129</f>
        <v>4.54</v>
      </c>
      <c r="V66" s="616" t="s">
        <v>846</v>
      </c>
      <c r="W66" s="614">
        <f>'A ceļi'!AA129</f>
        <v>0</v>
      </c>
      <c r="X66" s="614">
        <f>'A ceļi'!AB129</f>
        <v>0</v>
      </c>
      <c r="Y66" s="614">
        <f>'A ceļi'!AC129</f>
        <v>0</v>
      </c>
      <c r="Z66" s="614">
        <f>'A ceļi'!AD129</f>
        <v>0</v>
      </c>
      <c r="AA66" s="614">
        <f>'A ceļi'!AE129</f>
        <v>0</v>
      </c>
      <c r="AB66" s="614">
        <f>'A ceļi'!AF129</f>
        <v>0</v>
      </c>
      <c r="AD66" s="616" t="s">
        <v>846</v>
      </c>
      <c r="AE66" s="614">
        <f>'B ceļi'!T455</f>
        <v>0.18</v>
      </c>
      <c r="AF66" s="614">
        <f>'B ceļi'!U455</f>
        <v>0</v>
      </c>
      <c r="AG66" s="614">
        <f>'B ceļi'!V455</f>
        <v>0</v>
      </c>
      <c r="AH66" s="614">
        <f>'B ceļi'!W455</f>
        <v>26.730000000000004</v>
      </c>
      <c r="AI66" s="614">
        <f>'B ceļi'!X455</f>
        <v>2.9699999999999998</v>
      </c>
      <c r="AJ66" s="614">
        <f>'B ceļi'!Y455</f>
        <v>29.880000000000003</v>
      </c>
      <c r="AK66" s="616" t="s">
        <v>846</v>
      </c>
      <c r="AL66" s="614">
        <f>'B ceļi'!AA455</f>
        <v>0</v>
      </c>
      <c r="AM66" s="614">
        <f>'B ceļi'!AB455</f>
        <v>0</v>
      </c>
      <c r="AN66" s="614">
        <f>'B ceļi'!AC455</f>
        <v>0</v>
      </c>
      <c r="AO66" s="614">
        <f>'B ceļi'!AD455</f>
        <v>0</v>
      </c>
      <c r="AP66" s="614">
        <f>'B ceļi'!AE455</f>
        <v>0</v>
      </c>
      <c r="AQ66" s="614">
        <f>'B ceļi'!AF455</f>
        <v>0</v>
      </c>
      <c r="AS66" s="616" t="s">
        <v>846</v>
      </c>
      <c r="AT66" s="614">
        <f>'C ceļi'!T216</f>
        <v>0</v>
      </c>
      <c r="AU66" s="614">
        <f>'C ceļi'!U216</f>
        <v>0</v>
      </c>
      <c r="AV66" s="614">
        <f>'C ceļi'!V216</f>
        <v>0</v>
      </c>
      <c r="AW66" s="614">
        <f>'C ceļi'!W216</f>
        <v>4.2300000000000004</v>
      </c>
      <c r="AX66" s="614">
        <f>'C ceļi'!X216</f>
        <v>6.3400000000000007</v>
      </c>
      <c r="AY66" s="614">
        <f>'C ceļi'!Y216</f>
        <v>10.57</v>
      </c>
      <c r="AZ66" s="616" t="s">
        <v>846</v>
      </c>
      <c r="BA66" s="614">
        <f>'C ceļi'!AA216</f>
        <v>0</v>
      </c>
      <c r="BB66" s="614">
        <f>'C ceļi'!AB216</f>
        <v>0</v>
      </c>
      <c r="BC66" s="614">
        <f>'C ceļi'!AC216</f>
        <v>0</v>
      </c>
      <c r="BD66" s="614">
        <f>'C ceļi'!AD216</f>
        <v>0</v>
      </c>
      <c r="BE66" s="614">
        <f>'C ceļi'!AE216</f>
        <v>0</v>
      </c>
      <c r="BF66" s="614">
        <f>'C ceļi'!AF216</f>
        <v>0</v>
      </c>
      <c r="BI66" s="616" t="s">
        <v>846</v>
      </c>
      <c r="BJ66" s="624">
        <f t="shared" si="49"/>
        <v>0.19999999999999998</v>
      </c>
      <c r="BK66" s="624">
        <f t="shared" si="44"/>
        <v>0</v>
      </c>
      <c r="BL66" s="624">
        <f t="shared" si="45"/>
        <v>0</v>
      </c>
      <c r="BM66" s="624">
        <f t="shared" si="46"/>
        <v>35.480000000000004</v>
      </c>
      <c r="BN66" s="624">
        <f t="shared" si="47"/>
        <v>9.31</v>
      </c>
      <c r="BO66" s="624">
        <f t="shared" si="48"/>
        <v>44.99</v>
      </c>
    </row>
    <row r="67" spans="2:67" x14ac:dyDescent="0.25">
      <c r="C67" s="624">
        <f t="shared" si="43"/>
        <v>1.24</v>
      </c>
      <c r="D67" s="624">
        <f t="shared" si="43"/>
        <v>0</v>
      </c>
      <c r="E67" s="624">
        <f t="shared" si="43"/>
        <v>0</v>
      </c>
      <c r="F67" s="624">
        <f t="shared" si="43"/>
        <v>38.72</v>
      </c>
      <c r="G67" s="624">
        <f t="shared" si="43"/>
        <v>9.31</v>
      </c>
      <c r="H67" s="624">
        <f t="shared" si="43"/>
        <v>49.27</v>
      </c>
      <c r="P67" s="614">
        <f>'A ceļi'!T130</f>
        <v>0.02</v>
      </c>
      <c r="Q67" s="614">
        <f>'A ceļi'!U130</f>
        <v>0</v>
      </c>
      <c r="R67" s="614">
        <f>'A ceļi'!V130</f>
        <v>0</v>
      </c>
      <c r="S67" s="614">
        <f>'A ceļi'!W130</f>
        <v>6.51</v>
      </c>
      <c r="T67" s="614">
        <f>'A ceļi'!X130</f>
        <v>0</v>
      </c>
      <c r="U67" s="614">
        <f>'A ceļi'!Y130</f>
        <v>6.53</v>
      </c>
      <c r="W67" s="614">
        <f>'A ceļi'!AA130</f>
        <v>0</v>
      </c>
      <c r="X67" s="614">
        <f>'A ceļi'!AB130</f>
        <v>0</v>
      </c>
      <c r="Y67" s="614">
        <f>'A ceļi'!AC130</f>
        <v>0</v>
      </c>
      <c r="Z67" s="614">
        <f>'A ceļi'!AD130</f>
        <v>0</v>
      </c>
      <c r="AA67" s="614">
        <f>'A ceļi'!AE130</f>
        <v>0</v>
      </c>
      <c r="AB67" s="614">
        <f>'A ceļi'!AF130</f>
        <v>0</v>
      </c>
      <c r="AE67" s="614">
        <f>'B ceļi'!T456</f>
        <v>1.22</v>
      </c>
      <c r="AF67" s="614">
        <f>'B ceļi'!U456</f>
        <v>0</v>
      </c>
      <c r="AG67" s="614">
        <f>'B ceļi'!V456</f>
        <v>0</v>
      </c>
      <c r="AH67" s="614">
        <f>'B ceļi'!W456</f>
        <v>27.980000000000004</v>
      </c>
      <c r="AI67" s="614">
        <f>'B ceļi'!X456</f>
        <v>2.9699999999999998</v>
      </c>
      <c r="AJ67" s="614">
        <f>'B ceļi'!Y456</f>
        <v>32.17</v>
      </c>
      <c r="AL67" s="614">
        <f>'B ceļi'!AA456</f>
        <v>0</v>
      </c>
      <c r="AM67" s="614">
        <f>'B ceļi'!AB456</f>
        <v>0</v>
      </c>
      <c r="AN67" s="614">
        <f>'B ceļi'!AC456</f>
        <v>0</v>
      </c>
      <c r="AO67" s="614">
        <f>'B ceļi'!AD456</f>
        <v>0</v>
      </c>
      <c r="AP67" s="614">
        <f>'B ceļi'!AE456</f>
        <v>0</v>
      </c>
      <c r="AQ67" s="614">
        <f>'B ceļi'!AF456</f>
        <v>0</v>
      </c>
      <c r="AT67" s="614">
        <f>'C ceļi'!T217</f>
        <v>0</v>
      </c>
      <c r="AU67" s="614">
        <f>'C ceļi'!U217</f>
        <v>0</v>
      </c>
      <c r="AV67" s="614">
        <f>'C ceļi'!V217</f>
        <v>0</v>
      </c>
      <c r="AW67" s="614">
        <f>'C ceļi'!W217</f>
        <v>4.2300000000000004</v>
      </c>
      <c r="AX67" s="614">
        <f>'C ceļi'!X217</f>
        <v>6.3400000000000007</v>
      </c>
      <c r="AY67" s="614">
        <f>'C ceļi'!Y217</f>
        <v>10.57</v>
      </c>
      <c r="BA67" s="614">
        <f>'C ceļi'!AA217</f>
        <v>0</v>
      </c>
      <c r="BB67" s="614">
        <f>'C ceļi'!AB217</f>
        <v>0</v>
      </c>
      <c r="BC67" s="614">
        <f>'C ceļi'!AC217</f>
        <v>0</v>
      </c>
      <c r="BD67" s="614">
        <f>'C ceļi'!AD217</f>
        <v>0</v>
      </c>
      <c r="BE67" s="614">
        <f>'C ceļi'!AE217</f>
        <v>0</v>
      </c>
      <c r="BF67" s="614">
        <f>'C ceļi'!AF217</f>
        <v>0</v>
      </c>
      <c r="BJ67" s="624">
        <f t="shared" si="49"/>
        <v>1.24</v>
      </c>
      <c r="BK67" s="624">
        <f t="shared" si="44"/>
        <v>0</v>
      </c>
      <c r="BL67" s="624">
        <f t="shared" si="45"/>
        <v>0</v>
      </c>
      <c r="BM67" s="624">
        <f t="shared" si="46"/>
        <v>38.72</v>
      </c>
      <c r="BN67" s="624">
        <f t="shared" si="47"/>
        <v>9.31</v>
      </c>
      <c r="BO67" s="624">
        <f t="shared" si="48"/>
        <v>49.27</v>
      </c>
    </row>
    <row r="68" spans="2:67" x14ac:dyDescent="0.25">
      <c r="C68" s="633"/>
      <c r="D68" s="633"/>
      <c r="E68" s="633"/>
      <c r="F68" s="633"/>
      <c r="G68" s="633"/>
      <c r="H68" s="633"/>
      <c r="BJ68" s="633"/>
      <c r="BK68" s="633"/>
      <c r="BL68" s="633"/>
      <c r="BM68" s="633"/>
      <c r="BN68" s="633"/>
      <c r="BO68" s="633"/>
    </row>
    <row r="69" spans="2:67" x14ac:dyDescent="0.25">
      <c r="B69" s="637" t="s">
        <v>1130</v>
      </c>
      <c r="C69" s="673"/>
      <c r="D69" s="673"/>
      <c r="E69" s="673"/>
      <c r="F69" s="673"/>
      <c r="G69" s="673"/>
      <c r="H69" s="673"/>
      <c r="BI69" s="637" t="s">
        <v>1138</v>
      </c>
      <c r="BJ69" s="673"/>
      <c r="BK69" s="673"/>
      <c r="BL69" s="673"/>
      <c r="BM69" s="673"/>
      <c r="BN69" s="673"/>
      <c r="BO69" s="673"/>
    </row>
    <row r="70" spans="2:67" ht="23.25" x14ac:dyDescent="0.25">
      <c r="B70" s="102"/>
      <c r="C70" s="671" t="s">
        <v>1092</v>
      </c>
      <c r="D70" s="671" t="s">
        <v>1093</v>
      </c>
      <c r="E70" s="671" t="s">
        <v>1094</v>
      </c>
      <c r="F70" s="671" t="s">
        <v>1095</v>
      </c>
      <c r="G70" s="671" t="s">
        <v>1096</v>
      </c>
      <c r="H70" s="265" t="s">
        <v>269</v>
      </c>
      <c r="BI70" s="102"/>
      <c r="BJ70" s="671" t="s">
        <v>1092</v>
      </c>
      <c r="BK70" s="671" t="s">
        <v>1093</v>
      </c>
      <c r="BL70" s="671" t="s">
        <v>1094</v>
      </c>
      <c r="BM70" s="671" t="s">
        <v>1095</v>
      </c>
      <c r="BN70" s="671" t="s">
        <v>1096</v>
      </c>
      <c r="BO70" s="265" t="s">
        <v>269</v>
      </c>
    </row>
    <row r="71" spans="2:67" x14ac:dyDescent="0.25">
      <c r="B71" s="628" t="s">
        <v>844</v>
      </c>
      <c r="C71" s="671" t="s">
        <v>231</v>
      </c>
      <c r="D71" s="671" t="s">
        <v>231</v>
      </c>
      <c r="E71" s="671" t="s">
        <v>231</v>
      </c>
      <c r="F71" s="671" t="s">
        <v>231</v>
      </c>
      <c r="G71" s="671" t="s">
        <v>231</v>
      </c>
      <c r="H71" s="672" t="s">
        <v>231</v>
      </c>
      <c r="BI71" s="628" t="s">
        <v>844</v>
      </c>
      <c r="BJ71" s="671" t="s">
        <v>231</v>
      </c>
      <c r="BK71" s="671" t="s">
        <v>231</v>
      </c>
      <c r="BL71" s="671" t="s">
        <v>231</v>
      </c>
      <c r="BM71" s="671" t="s">
        <v>231</v>
      </c>
      <c r="BN71" s="671" t="s">
        <v>231</v>
      </c>
      <c r="BO71" s="672" t="s">
        <v>231</v>
      </c>
    </row>
    <row r="72" spans="2:67" x14ac:dyDescent="0.25">
      <c r="B72" s="616" t="s">
        <v>847</v>
      </c>
      <c r="C72" s="624">
        <f>C9+C18+C27+C36+C45+C54+C63</f>
        <v>0</v>
      </c>
      <c r="D72" s="624">
        <f t="shared" ref="D72:H72" si="50">D9+D18+D27+D36+D45+D54+D63</f>
        <v>0</v>
      </c>
      <c r="E72" s="624">
        <f t="shared" si="50"/>
        <v>0</v>
      </c>
      <c r="F72" s="624">
        <f t="shared" si="50"/>
        <v>0</v>
      </c>
      <c r="G72" s="624">
        <f t="shared" si="50"/>
        <v>0</v>
      </c>
      <c r="H72" s="624">
        <f t="shared" si="50"/>
        <v>0</v>
      </c>
      <c r="BI72" s="616" t="s">
        <v>847</v>
      </c>
      <c r="BJ72" s="624">
        <f>BJ9+BJ18+BJ27+BJ36+BJ45+BJ54+BJ63</f>
        <v>0</v>
      </c>
      <c r="BK72" s="624">
        <f t="shared" ref="BK72:BO72" si="51">BK9+BK18+BK27+BK36+BK45+BK54+BK63</f>
        <v>0</v>
      </c>
      <c r="BL72" s="624">
        <f t="shared" si="51"/>
        <v>0</v>
      </c>
      <c r="BM72" s="624">
        <f t="shared" si="51"/>
        <v>0</v>
      </c>
      <c r="BN72" s="624">
        <f t="shared" si="51"/>
        <v>0</v>
      </c>
      <c r="BO72" s="624">
        <f t="shared" si="51"/>
        <v>0</v>
      </c>
    </row>
    <row r="73" spans="2:67" x14ac:dyDescent="0.25">
      <c r="B73" s="617" t="s">
        <v>848</v>
      </c>
      <c r="C73" s="624">
        <f t="shared" ref="C73:H73" si="52">C10+C19+C28+C37+C46+C55+C64</f>
        <v>0</v>
      </c>
      <c r="D73" s="624">
        <f t="shared" si="52"/>
        <v>0</v>
      </c>
      <c r="E73" s="624">
        <f t="shared" si="52"/>
        <v>0</v>
      </c>
      <c r="F73" s="624">
        <f t="shared" si="52"/>
        <v>0</v>
      </c>
      <c r="G73" s="624">
        <f t="shared" si="52"/>
        <v>0</v>
      </c>
      <c r="H73" s="624">
        <f t="shared" si="52"/>
        <v>0</v>
      </c>
      <c r="BI73" s="617" t="s">
        <v>848</v>
      </c>
      <c r="BJ73" s="624">
        <f t="shared" ref="BJ73:BO73" si="53">BJ10+BJ19+BJ28+BJ37+BJ46+BJ55+BJ64</f>
        <v>0</v>
      </c>
      <c r="BK73" s="624">
        <f t="shared" si="53"/>
        <v>0</v>
      </c>
      <c r="BL73" s="624">
        <f t="shared" si="53"/>
        <v>0</v>
      </c>
      <c r="BM73" s="624">
        <f t="shared" si="53"/>
        <v>0</v>
      </c>
      <c r="BN73" s="624">
        <f t="shared" si="53"/>
        <v>0</v>
      </c>
      <c r="BO73" s="624">
        <f t="shared" si="53"/>
        <v>0</v>
      </c>
    </row>
    <row r="74" spans="2:67" x14ac:dyDescent="0.25">
      <c r="B74" s="615" t="s">
        <v>845</v>
      </c>
      <c r="C74" s="624">
        <f t="shared" ref="C74:H74" si="54">C11+C20+C29+C38+C47+C56+C65</f>
        <v>12.14</v>
      </c>
      <c r="D74" s="624">
        <f t="shared" si="54"/>
        <v>0</v>
      </c>
      <c r="E74" s="624">
        <f t="shared" si="54"/>
        <v>0</v>
      </c>
      <c r="F74" s="624">
        <f t="shared" si="54"/>
        <v>112.21999999999998</v>
      </c>
      <c r="G74" s="624">
        <f t="shared" si="54"/>
        <v>1.0099999999999998</v>
      </c>
      <c r="H74" s="624">
        <f t="shared" si="54"/>
        <v>125.37</v>
      </c>
      <c r="BI74" s="615" t="s">
        <v>845</v>
      </c>
      <c r="BJ74" s="624">
        <f t="shared" ref="BJ74:BO74" si="55">BJ11+BJ20+BJ29+BJ38+BJ47+BJ56+BJ65</f>
        <v>12.14</v>
      </c>
      <c r="BK74" s="624">
        <f t="shared" si="55"/>
        <v>0</v>
      </c>
      <c r="BL74" s="624">
        <f t="shared" si="55"/>
        <v>0</v>
      </c>
      <c r="BM74" s="624">
        <f t="shared" si="55"/>
        <v>105.44000000000001</v>
      </c>
      <c r="BN74" s="624">
        <f t="shared" si="55"/>
        <v>1.0099999999999998</v>
      </c>
      <c r="BO74" s="624">
        <f t="shared" si="55"/>
        <v>118.59</v>
      </c>
    </row>
    <row r="75" spans="2:67" x14ac:dyDescent="0.25">
      <c r="B75" s="616" t="s">
        <v>846</v>
      </c>
      <c r="C75" s="624">
        <f t="shared" ref="C75:H75" si="56">C12+C21+C30+C39+C48+C57+C66</f>
        <v>9.4600000000000009</v>
      </c>
      <c r="D75" s="624">
        <f t="shared" si="56"/>
        <v>0</v>
      </c>
      <c r="E75" s="624">
        <f t="shared" si="56"/>
        <v>0.99</v>
      </c>
      <c r="F75" s="624">
        <f t="shared" si="56"/>
        <v>327.29000000000002</v>
      </c>
      <c r="G75" s="624">
        <f t="shared" si="56"/>
        <v>26.72</v>
      </c>
      <c r="H75" s="624">
        <f t="shared" si="56"/>
        <v>364.46000000000004</v>
      </c>
      <c r="BI75" s="616" t="s">
        <v>846</v>
      </c>
      <c r="BJ75" s="624">
        <f t="shared" ref="BJ75:BO75" si="57">BJ12+BJ21+BJ30+BJ39+BJ48+BJ57+BJ66</f>
        <v>9.2800000000000011</v>
      </c>
      <c r="BK75" s="624">
        <f t="shared" si="57"/>
        <v>0</v>
      </c>
      <c r="BL75" s="624">
        <f t="shared" si="57"/>
        <v>0.99</v>
      </c>
      <c r="BM75" s="624">
        <f t="shared" si="57"/>
        <v>311.95999999999998</v>
      </c>
      <c r="BN75" s="624">
        <f t="shared" si="57"/>
        <v>25.29</v>
      </c>
      <c r="BO75" s="624">
        <f t="shared" si="57"/>
        <v>347.52</v>
      </c>
    </row>
    <row r="76" spans="2:67" x14ac:dyDescent="0.25">
      <c r="C76" s="624">
        <f t="shared" ref="C76:H76" si="58">C13+C22+C31+C40+C49+C58+C67</f>
        <v>21.599999999999998</v>
      </c>
      <c r="D76" s="624">
        <f t="shared" si="58"/>
        <v>0</v>
      </c>
      <c r="E76" s="624">
        <f t="shared" si="58"/>
        <v>0.99</v>
      </c>
      <c r="F76" s="624">
        <f t="shared" si="58"/>
        <v>439.5100000000001</v>
      </c>
      <c r="G76" s="624">
        <f t="shared" si="58"/>
        <v>27.729999999999997</v>
      </c>
      <c r="H76" s="624">
        <f t="shared" si="58"/>
        <v>489.83</v>
      </c>
      <c r="BJ76" s="624">
        <f t="shared" ref="BJ76:BO76" si="59">BJ13+BJ22+BJ31+BJ40+BJ49+BJ58+BJ67</f>
        <v>21.419999999999998</v>
      </c>
      <c r="BK76" s="624">
        <f t="shared" si="59"/>
        <v>0</v>
      </c>
      <c r="BL76" s="624">
        <f t="shared" si="59"/>
        <v>0.99</v>
      </c>
      <c r="BM76" s="624">
        <f t="shared" si="59"/>
        <v>417.4</v>
      </c>
      <c r="BN76" s="624">
        <f t="shared" si="59"/>
        <v>26.299999999999997</v>
      </c>
      <c r="BO76" s="624">
        <f t="shared" si="59"/>
        <v>466.10999999999996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46"/>
  <sheetViews>
    <sheetView zoomScaleNormal="100" zoomScaleSheetLayoutView="100" workbookViewId="0">
      <pane ySplit="3" topLeftCell="A4" activePane="bottomLeft" state="frozen"/>
      <selection pane="bottomLeft" sqref="A1:XFD1048576"/>
    </sheetView>
  </sheetViews>
  <sheetFormatPr defaultRowHeight="15" x14ac:dyDescent="0.25"/>
  <cols>
    <col min="1" max="1" width="4.140625" customWidth="1"/>
    <col min="2" max="2" width="21.5703125" customWidth="1"/>
    <col min="3" max="3" width="10.85546875" customWidth="1"/>
    <col min="4" max="6" width="9.28515625" bestFit="1" customWidth="1"/>
    <col min="7" max="7" width="9.28515625" customWidth="1"/>
    <col min="8" max="10" width="9.28515625" bestFit="1" customWidth="1"/>
    <col min="11" max="11" width="10.5703125" customWidth="1"/>
    <col min="12" max="13" width="9.28515625" bestFit="1" customWidth="1"/>
    <col min="14" max="14" width="10.28515625" customWidth="1"/>
    <col min="15" max="15" width="9.7109375" customWidth="1"/>
    <col min="16" max="16" width="10.5703125" customWidth="1"/>
    <col min="17" max="17" width="11.5703125" customWidth="1"/>
    <col min="18" max="18" width="12.42578125" customWidth="1"/>
  </cols>
  <sheetData>
    <row r="1" spans="1:32" s="32" customFormat="1" x14ac:dyDescent="0.2">
      <c r="A1" s="28"/>
      <c r="B1" s="28"/>
      <c r="C1" s="28"/>
      <c r="D1" s="802" t="s">
        <v>1043</v>
      </c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30"/>
      <c r="R1" s="31"/>
      <c r="T1" s="418" t="s">
        <v>847</v>
      </c>
      <c r="U1" s="419" t="s">
        <v>848</v>
      </c>
      <c r="V1" s="419" t="s">
        <v>845</v>
      </c>
      <c r="W1" s="419" t="s">
        <v>846</v>
      </c>
      <c r="X1" s="420" t="s">
        <v>854</v>
      </c>
      <c r="Z1" s="427" t="s">
        <v>845</v>
      </c>
      <c r="AA1" s="428" t="s">
        <v>846</v>
      </c>
    </row>
    <row r="2" spans="1:32" s="32" customFormat="1" ht="11.25" customHeight="1" x14ac:dyDescent="0.2">
      <c r="A2" s="33"/>
      <c r="B2" s="33"/>
      <c r="C2" s="33"/>
      <c r="D2" s="34"/>
      <c r="E2" s="34"/>
      <c r="F2" s="34"/>
      <c r="G2" s="34"/>
      <c r="H2" s="34"/>
      <c r="I2" s="34"/>
      <c r="J2" s="35"/>
      <c r="K2" s="35"/>
      <c r="L2" s="35"/>
      <c r="M2" s="35"/>
      <c r="N2" s="35"/>
      <c r="O2" s="35"/>
      <c r="P2" s="35"/>
      <c r="Q2" s="36"/>
      <c r="R2" s="37"/>
      <c r="T2" s="421"/>
      <c r="X2" s="422"/>
      <c r="Z2" s="429"/>
      <c r="AA2" s="430"/>
    </row>
    <row r="3" spans="1:32" s="32" customFormat="1" ht="15" customHeight="1" x14ac:dyDescent="0.2">
      <c r="A3" s="33"/>
      <c r="B3" s="33"/>
      <c r="C3" s="33"/>
      <c r="D3" s="803" t="s">
        <v>1042</v>
      </c>
      <c r="E3" s="803"/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30"/>
      <c r="R3" s="37"/>
      <c r="T3" s="423" t="s">
        <v>849</v>
      </c>
      <c r="U3" s="424" t="s">
        <v>850</v>
      </c>
      <c r="V3" s="424" t="s">
        <v>851</v>
      </c>
      <c r="W3" s="424" t="s">
        <v>852</v>
      </c>
      <c r="X3" s="425" t="s">
        <v>855</v>
      </c>
      <c r="Z3" s="431" t="s">
        <v>853</v>
      </c>
      <c r="AA3" s="426" t="s">
        <v>852</v>
      </c>
    </row>
    <row r="4" spans="1:32" s="32" customFormat="1" ht="11.25" x14ac:dyDescent="0.25">
      <c r="A4" s="33"/>
      <c r="B4" s="33"/>
      <c r="C4" s="33"/>
      <c r="D4" s="38"/>
      <c r="E4" s="29"/>
      <c r="F4" s="29"/>
      <c r="G4" s="29"/>
      <c r="H4" s="30"/>
      <c r="I4" s="28"/>
      <c r="J4" s="28"/>
      <c r="K4" s="28"/>
      <c r="L4" s="28"/>
      <c r="M4" s="28"/>
      <c r="N4" s="39"/>
      <c r="O4" s="39"/>
      <c r="P4" s="28"/>
      <c r="Q4" s="28"/>
      <c r="R4" s="37"/>
    </row>
    <row r="5" spans="1:32" s="40" customFormat="1" ht="5.25" customHeigh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1:32" s="40" customFormat="1" ht="12.75" customHeight="1" x14ac:dyDescent="0.2">
      <c r="A6" s="782" t="s">
        <v>244</v>
      </c>
      <c r="B6" s="790" t="s">
        <v>245</v>
      </c>
      <c r="C6" s="413"/>
      <c r="D6" s="793" t="s">
        <v>246</v>
      </c>
      <c r="E6" s="794"/>
      <c r="F6" s="794"/>
      <c r="G6" s="794"/>
      <c r="H6" s="794"/>
      <c r="I6" s="794"/>
      <c r="J6" s="794"/>
      <c r="K6" s="794"/>
      <c r="L6" s="794"/>
      <c r="M6" s="794"/>
      <c r="N6" s="794"/>
      <c r="O6" s="794"/>
      <c r="P6" s="784"/>
      <c r="Q6" s="795" t="s">
        <v>247</v>
      </c>
      <c r="R6" s="796"/>
    </row>
    <row r="7" spans="1:32" s="40" customFormat="1" ht="12.75" customHeight="1" x14ac:dyDescent="0.2">
      <c r="A7" s="782"/>
      <c r="B7" s="791"/>
      <c r="C7" s="395"/>
      <c r="D7" s="785" t="s">
        <v>248</v>
      </c>
      <c r="E7" s="785"/>
      <c r="F7" s="785"/>
      <c r="G7" s="785"/>
      <c r="H7" s="785"/>
      <c r="I7" s="788" t="s">
        <v>249</v>
      </c>
      <c r="J7" s="788"/>
      <c r="K7" s="788"/>
      <c r="L7" s="788"/>
      <c r="M7" s="788"/>
      <c r="N7" s="788"/>
      <c r="O7" s="788"/>
      <c r="P7" s="801" t="s">
        <v>250</v>
      </c>
      <c r="Q7" s="797"/>
      <c r="R7" s="798"/>
    </row>
    <row r="8" spans="1:32" s="40" customFormat="1" ht="15.2" customHeight="1" x14ac:dyDescent="0.2">
      <c r="A8" s="782"/>
      <c r="B8" s="791"/>
      <c r="C8" s="395"/>
      <c r="D8" s="785" t="s">
        <v>251</v>
      </c>
      <c r="E8" s="785"/>
      <c r="F8" s="786" t="s">
        <v>252</v>
      </c>
      <c r="G8" s="786" t="s">
        <v>881</v>
      </c>
      <c r="H8" s="782" t="s">
        <v>253</v>
      </c>
      <c r="I8" s="789" t="s">
        <v>254</v>
      </c>
      <c r="J8" s="788" t="s">
        <v>255</v>
      </c>
      <c r="K8" s="788"/>
      <c r="L8" s="787" t="s">
        <v>256</v>
      </c>
      <c r="M8" s="787" t="s">
        <v>257</v>
      </c>
      <c r="N8" s="787" t="s">
        <v>258</v>
      </c>
      <c r="O8" s="787" t="s">
        <v>259</v>
      </c>
      <c r="P8" s="799"/>
      <c r="Q8" s="799" t="s">
        <v>260</v>
      </c>
      <c r="R8" s="791" t="s">
        <v>261</v>
      </c>
    </row>
    <row r="9" spans="1:32" s="40" customFormat="1" ht="33.75" customHeight="1" x14ac:dyDescent="0.2">
      <c r="A9" s="782"/>
      <c r="B9" s="792"/>
      <c r="C9" s="432" t="s">
        <v>844</v>
      </c>
      <c r="D9" s="74" t="s">
        <v>262</v>
      </c>
      <c r="E9" s="74" t="s">
        <v>263</v>
      </c>
      <c r="F9" s="786"/>
      <c r="G9" s="786"/>
      <c r="H9" s="782"/>
      <c r="I9" s="789"/>
      <c r="J9" s="75" t="s">
        <v>231</v>
      </c>
      <c r="K9" s="75" t="s">
        <v>264</v>
      </c>
      <c r="L9" s="787"/>
      <c r="M9" s="787"/>
      <c r="N9" s="787"/>
      <c r="O9" s="787"/>
      <c r="P9" s="800"/>
      <c r="Q9" s="800"/>
      <c r="R9" s="792"/>
    </row>
    <row r="10" spans="1:32" s="41" customFormat="1" ht="12" customHeight="1" x14ac:dyDescent="0.25">
      <c r="A10" s="42">
        <v>1</v>
      </c>
      <c r="B10" s="42">
        <v>2</v>
      </c>
      <c r="C10" s="42"/>
      <c r="D10" s="42">
        <v>3</v>
      </c>
      <c r="E10" s="42">
        <v>4</v>
      </c>
      <c r="F10" s="42">
        <v>5</v>
      </c>
      <c r="G10" s="42">
        <v>5.0999999999999996</v>
      </c>
      <c r="H10" s="42">
        <v>6</v>
      </c>
      <c r="I10" s="43">
        <v>7</v>
      </c>
      <c r="J10" s="43">
        <v>8</v>
      </c>
      <c r="K10" s="43">
        <v>9</v>
      </c>
      <c r="L10" s="43">
        <v>10</v>
      </c>
      <c r="M10" s="43">
        <v>11</v>
      </c>
      <c r="N10" s="43">
        <v>12</v>
      </c>
      <c r="O10" s="43">
        <v>13</v>
      </c>
      <c r="P10" s="43">
        <v>14</v>
      </c>
      <c r="Q10" s="43">
        <v>15</v>
      </c>
      <c r="R10" s="42">
        <v>16</v>
      </c>
    </row>
    <row r="11" spans="1:32" s="1" customFormat="1" ht="11.25" x14ac:dyDescent="0.2">
      <c r="A11" s="697">
        <v>2</v>
      </c>
      <c r="B11" s="698" t="s">
        <v>265</v>
      </c>
      <c r="C11" s="474" t="s">
        <v>845</v>
      </c>
      <c r="D11" s="6">
        <v>0</v>
      </c>
      <c r="E11" s="6">
        <v>3.13</v>
      </c>
      <c r="F11" s="11">
        <f t="shared" ref="F11:F14" si="0">E11-D11</f>
        <v>3.13</v>
      </c>
      <c r="G11" s="11">
        <v>4.5</v>
      </c>
      <c r="H11" s="3" t="s">
        <v>0</v>
      </c>
      <c r="I11" s="22"/>
      <c r="J11" s="23"/>
      <c r="K11" s="22"/>
      <c r="L11" s="22"/>
      <c r="M11" s="22"/>
      <c r="N11" s="22"/>
      <c r="O11" s="22"/>
      <c r="P11" s="22"/>
      <c r="Q11" s="19">
        <v>80940040644</v>
      </c>
      <c r="R11" s="19">
        <v>80940040644</v>
      </c>
    </row>
    <row r="12" spans="1:32" s="1" customFormat="1" ht="11.25" x14ac:dyDescent="0.2">
      <c r="A12" s="699"/>
      <c r="B12" s="700"/>
      <c r="C12" s="474" t="s">
        <v>845</v>
      </c>
      <c r="D12" s="6">
        <v>3.13</v>
      </c>
      <c r="E12" s="6">
        <v>4.01</v>
      </c>
      <c r="F12" s="11">
        <f t="shared" si="0"/>
        <v>0.87999999999999989</v>
      </c>
      <c r="G12" s="11">
        <v>4.5</v>
      </c>
      <c r="H12" s="3" t="s">
        <v>0</v>
      </c>
      <c r="I12" s="22"/>
      <c r="J12" s="23"/>
      <c r="K12" s="22"/>
      <c r="L12" s="22"/>
      <c r="M12" s="22"/>
      <c r="N12" s="22"/>
      <c r="O12" s="22"/>
      <c r="P12" s="22"/>
      <c r="Q12" s="19">
        <v>80940050351</v>
      </c>
      <c r="R12" s="19">
        <v>80940050351</v>
      </c>
    </row>
    <row r="13" spans="1:32" s="1" customFormat="1" ht="22.5" x14ac:dyDescent="0.2">
      <c r="A13" s="699">
        <v>3</v>
      </c>
      <c r="B13" s="701" t="s">
        <v>266</v>
      </c>
      <c r="C13" s="476" t="s">
        <v>846</v>
      </c>
      <c r="D13" s="6">
        <v>0</v>
      </c>
      <c r="E13" s="6">
        <v>1.42</v>
      </c>
      <c r="F13" s="11">
        <f t="shared" si="0"/>
        <v>1.42</v>
      </c>
      <c r="G13" s="11">
        <v>5</v>
      </c>
      <c r="H13" s="15" t="s">
        <v>4</v>
      </c>
      <c r="I13" s="22"/>
      <c r="J13" s="23"/>
      <c r="K13" s="22"/>
      <c r="L13" s="22"/>
      <c r="M13" s="22"/>
      <c r="N13" s="22"/>
      <c r="O13" s="22"/>
      <c r="P13" s="22"/>
      <c r="Q13" s="19">
        <v>80940050295</v>
      </c>
      <c r="R13" s="19">
        <v>80940050295</v>
      </c>
    </row>
    <row r="14" spans="1:32" s="1" customFormat="1" x14ac:dyDescent="0.25">
      <c r="A14" s="19">
        <v>4</v>
      </c>
      <c r="B14" s="702" t="s">
        <v>267</v>
      </c>
      <c r="C14" s="405" t="s">
        <v>845</v>
      </c>
      <c r="D14" s="6">
        <v>0</v>
      </c>
      <c r="E14" s="6">
        <v>0.97</v>
      </c>
      <c r="F14" s="11">
        <f t="shared" si="0"/>
        <v>0.97</v>
      </c>
      <c r="G14" s="11">
        <v>6.5</v>
      </c>
      <c r="H14" s="3" t="s">
        <v>4</v>
      </c>
      <c r="I14" s="22"/>
      <c r="J14" s="23"/>
      <c r="K14" s="22"/>
      <c r="L14" s="22"/>
      <c r="M14" s="22"/>
      <c r="N14" s="22"/>
      <c r="O14" s="22"/>
      <c r="P14" s="22"/>
      <c r="Q14" s="19">
        <v>80940030348</v>
      </c>
      <c r="R14" s="19">
        <v>80940030348</v>
      </c>
      <c r="S14"/>
      <c r="T14"/>
      <c r="U14"/>
      <c r="V14"/>
      <c r="W14"/>
      <c r="X14"/>
      <c r="Y14"/>
      <c r="Z14"/>
      <c r="AA14" t="s">
        <v>1097</v>
      </c>
      <c r="AB14"/>
      <c r="AC14"/>
      <c r="AD14"/>
      <c r="AE14"/>
      <c r="AF14"/>
    </row>
    <row r="15" spans="1:32" s="1" customFormat="1" ht="22.5" x14ac:dyDescent="0.2">
      <c r="A15" s="10"/>
      <c r="B15" s="10"/>
      <c r="C15" s="10"/>
      <c r="D15" s="10"/>
      <c r="E15" s="13"/>
      <c r="F15" s="13"/>
      <c r="G15" s="695"/>
      <c r="H15" s="13"/>
      <c r="I15" s="10"/>
      <c r="J15" s="45"/>
      <c r="K15" s="10"/>
      <c r="L15" s="10"/>
      <c r="M15" s="10"/>
      <c r="N15" s="10"/>
      <c r="O15" s="10"/>
      <c r="P15" s="10"/>
      <c r="Q15" s="10"/>
      <c r="R15" s="10"/>
      <c r="S15" s="102"/>
      <c r="T15" s="625" t="s">
        <v>1092</v>
      </c>
      <c r="U15" s="625" t="s">
        <v>1093</v>
      </c>
      <c r="V15" s="625" t="s">
        <v>1094</v>
      </c>
      <c r="W15" s="625" t="s">
        <v>1095</v>
      </c>
      <c r="X15" s="625" t="s">
        <v>1096</v>
      </c>
      <c r="Y15" s="627" t="s">
        <v>269</v>
      </c>
      <c r="Z15" s="102"/>
      <c r="AA15" s="625" t="s">
        <v>1092</v>
      </c>
      <c r="AB15" s="625" t="s">
        <v>1093</v>
      </c>
      <c r="AC15" s="625" t="s">
        <v>1094</v>
      </c>
      <c r="AD15" s="625" t="s">
        <v>1095</v>
      </c>
      <c r="AE15" s="625" t="s">
        <v>1096</v>
      </c>
      <c r="AF15" s="627" t="s">
        <v>269</v>
      </c>
    </row>
    <row r="16" spans="1:32" s="1" customFormat="1" ht="11.25" x14ac:dyDescent="0.2">
      <c r="A16" s="46" t="s">
        <v>274</v>
      </c>
      <c r="B16" s="47"/>
      <c r="C16" s="47"/>
      <c r="D16" s="48"/>
      <c r="E16" s="49"/>
      <c r="F16" s="50">
        <f>SUM(F11:F14)</f>
        <v>6.3999999999999995</v>
      </c>
      <c r="G16" s="688"/>
      <c r="H16" s="51"/>
      <c r="I16" s="40"/>
      <c r="J16" s="52"/>
      <c r="K16" s="53" t="s">
        <v>268</v>
      </c>
      <c r="L16" s="54">
        <f>SUM(L11:L14)</f>
        <v>0</v>
      </c>
      <c r="M16" s="54">
        <f>SUM(M11:M14)</f>
        <v>0</v>
      </c>
      <c r="N16" s="55"/>
      <c r="O16" s="53" t="s">
        <v>269</v>
      </c>
      <c r="P16" s="54">
        <f>SUM(P11:P14)</f>
        <v>0</v>
      </c>
      <c r="Q16" s="55"/>
      <c r="S16" s="628" t="s">
        <v>844</v>
      </c>
      <c r="T16" s="625" t="s">
        <v>231</v>
      </c>
      <c r="U16" s="625" t="s">
        <v>231</v>
      </c>
      <c r="V16" s="625" t="s">
        <v>231</v>
      </c>
      <c r="W16" s="625" t="s">
        <v>231</v>
      </c>
      <c r="X16" s="625" t="s">
        <v>231</v>
      </c>
      <c r="Y16" s="626" t="s">
        <v>231</v>
      </c>
      <c r="Z16" s="628"/>
      <c r="AA16" s="625" t="s">
        <v>231</v>
      </c>
      <c r="AB16" s="625" t="s">
        <v>231</v>
      </c>
      <c r="AC16" s="625" t="s">
        <v>231</v>
      </c>
      <c r="AD16" s="625" t="s">
        <v>231</v>
      </c>
      <c r="AE16" s="625" t="s">
        <v>231</v>
      </c>
      <c r="AF16" s="626" t="s">
        <v>231</v>
      </c>
    </row>
    <row r="17" spans="1:32" s="1" customFormat="1" ht="11.25" x14ac:dyDescent="0.2">
      <c r="A17" s="56" t="s">
        <v>270</v>
      </c>
      <c r="B17" s="57"/>
      <c r="C17" s="57"/>
      <c r="D17" s="58"/>
      <c r="E17" s="59"/>
      <c r="F17" s="60">
        <f>F13+F14</f>
        <v>2.3899999999999997</v>
      </c>
      <c r="G17" s="81"/>
      <c r="H17" s="61"/>
      <c r="I17" s="62"/>
      <c r="J17" s="55"/>
      <c r="K17" s="63"/>
      <c r="L17" s="64"/>
      <c r="M17" s="64"/>
      <c r="N17" s="55"/>
      <c r="O17" s="55"/>
      <c r="P17" s="55"/>
      <c r="Q17" s="55"/>
      <c r="S17" s="616" t="s">
        <v>847</v>
      </c>
      <c r="T17" s="614">
        <f>SUMIFS(F10:F14,C10:C14,"A",H10:H14,"melnais")</f>
        <v>0</v>
      </c>
      <c r="U17" s="614">
        <f>SUMIFS(F10:F14,C10:C14,"A",H10:H14,"dubultā virsma")</f>
        <v>0</v>
      </c>
      <c r="V17" s="614">
        <f>SUMIFS(F10:F14,C10:C14,"A",H10:H14,"bruģis")</f>
        <v>0</v>
      </c>
      <c r="W17" s="614">
        <f>SUMIFS(F10:F14,C10:C14,"A",H10:H14,"grants")</f>
        <v>0</v>
      </c>
      <c r="X17" s="614">
        <f>SUMIFS(F10:F14,C10:C14,"A",H10:H14,"cits segums")</f>
        <v>0</v>
      </c>
      <c r="Y17" s="614">
        <f>SUMIFS(F10:F14,C10:C14,"A")</f>
        <v>0</v>
      </c>
      <c r="Z17" s="616" t="s">
        <v>847</v>
      </c>
      <c r="AA17" s="614">
        <f>SUMIFS(F10:F14,C10:C14,"A",H10:H14,"melnais", R10:R14,"Nepiederošs")</f>
        <v>0</v>
      </c>
      <c r="AB17" s="614">
        <f>SUMIFS(F10:F14,C10:C14,"A",H10:H14,"dubultā virsma", R10:R14,"Nepiederošs")</f>
        <v>0</v>
      </c>
      <c r="AC17" s="614">
        <f>SUMIFS(F10:F14,C10:C14,"A",H10:H14,"bruģis", R10:R14,"Nepiederošs")</f>
        <v>0</v>
      </c>
      <c r="AD17" s="614">
        <f>SUMIFS(F10:F14,C10:C14,"A",H10:H14,"grants", R10:R14,"Nepiederošs")</f>
        <v>0</v>
      </c>
      <c r="AE17" s="614">
        <f>SUMIFS(F10:F14,C10:C14,"A",H10:H14,"cits segums", R10:R14,"Nepiederošs")</f>
        <v>0</v>
      </c>
      <c r="AF17" s="614">
        <f>SUM(AA17:AE17)</f>
        <v>0</v>
      </c>
    </row>
    <row r="18" spans="1:32" s="1" customFormat="1" ht="11.25" x14ac:dyDescent="0.2">
      <c r="A18" s="56" t="s">
        <v>271</v>
      </c>
      <c r="B18" s="57"/>
      <c r="C18" s="57"/>
      <c r="D18" s="58"/>
      <c r="E18" s="59"/>
      <c r="F18" s="60">
        <v>0</v>
      </c>
      <c r="G18" s="81"/>
      <c r="H18" s="65"/>
      <c r="I18" s="40"/>
      <c r="J18" s="66"/>
      <c r="K18" s="67"/>
      <c r="L18" s="67"/>
      <c r="M18" s="67"/>
      <c r="N18" s="68"/>
      <c r="O18" s="55"/>
      <c r="P18" s="55"/>
      <c r="Q18" s="55"/>
      <c r="S18" s="617" t="s">
        <v>848</v>
      </c>
      <c r="T18" s="614">
        <f>SUMIFS(F10:F14,C10:C14,"B",H10:H14,"melnais")</f>
        <v>0</v>
      </c>
      <c r="U18" s="614">
        <f>SUMIFS(F10:F14,C10:C14,"B",H10:H14,"dubultā virsma")</f>
        <v>0</v>
      </c>
      <c r="V18" s="614">
        <f>SUMIFS(F10:F14,C10:C14,"B",H10:H14,"bruģis")</f>
        <v>0</v>
      </c>
      <c r="W18" s="614">
        <f>SUMIFS(F10:F14,C10:C14,"B",H10:H14,"grants")</f>
        <v>0</v>
      </c>
      <c r="X18" s="614">
        <f>SUMIFS(F10:F14,C10:C14,"B",H10:H14,"cits segums")</f>
        <v>0</v>
      </c>
      <c r="Y18" s="614">
        <f>SUMIFS(F10:F14,C10:C14,"B")</f>
        <v>0</v>
      </c>
      <c r="Z18" s="617" t="s">
        <v>848</v>
      </c>
      <c r="AA18" s="614">
        <f>SUMIFS(F10:F14,C10:C14,"B",H10:H14,"melnais", R10:R14,"Nepiederošs")</f>
        <v>0</v>
      </c>
      <c r="AB18" s="614">
        <f>SUMIFS(F10:F14,C10:C14,"B",H10:H14,"dubultā virsma", R10:R14,"Nepiederošs")</f>
        <v>0</v>
      </c>
      <c r="AC18" s="614">
        <f>SUMIFS(F10:F14,C10:C14,"B",H10:H14,"bruģis", R10:R14,"Nepiederošs")</f>
        <v>0</v>
      </c>
      <c r="AD18" s="614">
        <f>SUMIFS(F10:F14,C10:C14,"B",H10:H14,"grants", R10:R14,"Nepiederošs")</f>
        <v>0</v>
      </c>
      <c r="AE18" s="614">
        <f>SUMIFS(F10:F14,C10:C14,"B",H10:H14,"cits segums", R10:R14,"Nepiederošs")</f>
        <v>0</v>
      </c>
      <c r="AF18" s="614">
        <f t="shared" ref="AF18:AF20" si="1">SUM(AA18:AE18)</f>
        <v>0</v>
      </c>
    </row>
    <row r="19" spans="1:32" s="1" customFormat="1" ht="11.25" x14ac:dyDescent="0.2">
      <c r="A19" s="56" t="s">
        <v>272</v>
      </c>
      <c r="B19" s="57"/>
      <c r="C19" s="57"/>
      <c r="D19" s="58"/>
      <c r="E19" s="59"/>
      <c r="F19" s="60">
        <f>F11+F12</f>
        <v>4.01</v>
      </c>
      <c r="G19" s="81"/>
      <c r="H19" s="65"/>
      <c r="I19" s="65"/>
      <c r="J19" s="66"/>
      <c r="K19" s="67"/>
      <c r="L19" s="67"/>
      <c r="M19" s="67"/>
      <c r="N19" s="68"/>
      <c r="O19" s="55"/>
      <c r="P19" s="55"/>
      <c r="Q19" s="55"/>
      <c r="S19" s="615" t="s">
        <v>845</v>
      </c>
      <c r="T19" s="614">
        <f>SUMIFS(F10:F14,C10:C14,"C",H10:H14,"melnais")</f>
        <v>0.97</v>
      </c>
      <c r="U19" s="614">
        <f>SUMIFS(F10:F14,C10:C14,"C",H10:H14,"dubultā virsma")</f>
        <v>0</v>
      </c>
      <c r="V19" s="614">
        <f>SUMIFS(F10:F14,C10:C14,"C",H10:H14,"bruģis")</f>
        <v>0</v>
      </c>
      <c r="W19" s="614">
        <f>SUMIFS(F10:F14,C10:C14,"C",H10:H14,"grants")</f>
        <v>4.01</v>
      </c>
      <c r="X19" s="614">
        <f>SUMIFS(F10:F14,C10:C14,"C",H10:H14,"cits segums")</f>
        <v>0</v>
      </c>
      <c r="Y19" s="614">
        <f>SUMIFS(F10:F14,C10:C14,"C")</f>
        <v>4.9799999999999995</v>
      </c>
      <c r="Z19" s="615" t="s">
        <v>845</v>
      </c>
      <c r="AA19" s="614">
        <f>SUMIFS(F10:F14,C10:C14,"C",H10:H14,"melnais", R10:R14,"Nepiederošs")</f>
        <v>0</v>
      </c>
      <c r="AB19" s="614">
        <f>SUMIFS(F10:F14,C10:C14,"C",H10:H14,"dubultā virsma", R10:R14,"Nepiederošs")</f>
        <v>0</v>
      </c>
      <c r="AC19" s="614">
        <f>SUMIFS(F10:F14,C10:C14,"C",H10:H14,"bruģis", R10:R14,"Nepiederošs")</f>
        <v>0</v>
      </c>
      <c r="AD19" s="614">
        <f>SUMIFS(F10:F14,C10:C14,"C",H10:H14,"grants", R10:R14,"Nepiederošs")</f>
        <v>0</v>
      </c>
      <c r="AE19" s="614">
        <f>SUMIFS(F10:F14,C10:C14,"C",H10:H14,"cits segums", R10:R14,"Nepiederošs")</f>
        <v>0</v>
      </c>
      <c r="AF19" s="614">
        <f t="shared" si="1"/>
        <v>0</v>
      </c>
    </row>
    <row r="20" spans="1:32" s="1" customFormat="1" ht="11.25" x14ac:dyDescent="0.2">
      <c r="A20" s="56" t="s">
        <v>273</v>
      </c>
      <c r="B20" s="57"/>
      <c r="C20" s="57"/>
      <c r="D20" s="58"/>
      <c r="E20" s="59"/>
      <c r="F20" s="60">
        <v>0</v>
      </c>
      <c r="G20" s="81"/>
      <c r="H20" s="69"/>
      <c r="I20" s="65"/>
      <c r="J20" s="70"/>
      <c r="K20" s="67"/>
      <c r="L20" s="67"/>
      <c r="M20" s="67"/>
      <c r="N20" s="68"/>
      <c r="O20" s="55"/>
      <c r="P20" s="55"/>
      <c r="Q20" s="55"/>
      <c r="S20" s="616" t="s">
        <v>846</v>
      </c>
      <c r="T20" s="614">
        <f>SUMIFS(F10:F14,C10:C14,"D",H10:H14,"melnais")</f>
        <v>1.42</v>
      </c>
      <c r="U20" s="614">
        <f>SUMIFS(F10:F14,C10:C14,"D",H10:H14,"dubultā virsma")</f>
        <v>0</v>
      </c>
      <c r="V20" s="614">
        <f>SUMIFS(F10:F14,C10:C14,"D",H10:H14,"bruģis")</f>
        <v>0</v>
      </c>
      <c r="W20" s="614">
        <f>SUMIFS(F10:F14,C10:C14,"D",H10:H14,"grants")</f>
        <v>0</v>
      </c>
      <c r="X20" s="614">
        <f>SUMIFS(F10:F14,C10:C14,"D",H10:H14,"cits segums")</f>
        <v>0</v>
      </c>
      <c r="Y20" s="614">
        <f>SUMIFS(F10:F14,C10:C14,"D")</f>
        <v>1.42</v>
      </c>
      <c r="Z20" s="616" t="s">
        <v>846</v>
      </c>
      <c r="AA20" s="614">
        <f>SUMIFS(F10:F14,C10:C14,"D",H10:H14,"melnais", R10:R14,"Nepiederošs")</f>
        <v>0</v>
      </c>
      <c r="AB20" s="614">
        <f>SUMIFS(F10:F14,C10:C14,"D",H10:H14,"dubultā virsma", R10:R14,"Nepiederošs")</f>
        <v>0</v>
      </c>
      <c r="AC20" s="614">
        <f>SUMIFS(F10:F14,C10:C14,"D",H10:H14,"bruģis", R10:R14,"Nepiederošs")</f>
        <v>0</v>
      </c>
      <c r="AD20" s="614">
        <f>SUMIFS(F10:F14,C10:C14,"D",H10:H14,"grants", R10:R14,"Nepiederošs")</f>
        <v>0</v>
      </c>
      <c r="AE20" s="614">
        <f>SUMIFS(F10:F14,C10:C14,"D",H10:H14,"cits segums", R10:R14,"Nepiederošs")</f>
        <v>0</v>
      </c>
      <c r="AF20" s="614">
        <f t="shared" si="1"/>
        <v>0</v>
      </c>
    </row>
    <row r="21" spans="1:32" x14ac:dyDescent="0.25">
      <c r="T21" s="629">
        <f>SUM(T17:T20)</f>
        <v>2.3899999999999997</v>
      </c>
      <c r="U21" s="629">
        <f t="shared" ref="U21" si="2">SUM(U17:U20)</f>
        <v>0</v>
      </c>
      <c r="V21" s="629">
        <f t="shared" ref="V21" si="3">SUM(V17:V20)</f>
        <v>0</v>
      </c>
      <c r="W21" s="629">
        <f t="shared" ref="W21" si="4">SUM(W17:W20)</f>
        <v>4.01</v>
      </c>
      <c r="X21" s="629">
        <f t="shared" ref="X21" si="5">SUM(X17:X20)</f>
        <v>0</v>
      </c>
      <c r="Y21" s="629">
        <f t="shared" ref="Y21" si="6">SUM(Y17:Y20)</f>
        <v>6.3999999999999995</v>
      </c>
      <c r="AA21" s="629">
        <f>SUM(AA17:AA20)</f>
        <v>0</v>
      </c>
      <c r="AB21" s="629">
        <f t="shared" ref="AB21" si="7">SUM(AB17:AB20)</f>
        <v>0</v>
      </c>
      <c r="AC21" s="629">
        <f t="shared" ref="AC21" si="8">SUM(AC17:AC20)</f>
        <v>0</v>
      </c>
      <c r="AD21" s="629">
        <f t="shared" ref="AD21" si="9">SUM(AD17:AD20)</f>
        <v>0</v>
      </c>
      <c r="AE21" s="629">
        <f t="shared" ref="AE21" si="10">SUM(AE17:AE20)</f>
        <v>0</v>
      </c>
      <c r="AF21" s="629">
        <f t="shared" ref="AF21" si="11">SUM(AF17:AF20)</f>
        <v>0</v>
      </c>
    </row>
    <row r="22" spans="1:32" s="32" customFormat="1" ht="15" customHeight="1" x14ac:dyDescent="0.25">
      <c r="A22" s="33"/>
      <c r="B22" s="33"/>
      <c r="C22" s="33"/>
      <c r="D22" s="781" t="s">
        <v>1044</v>
      </c>
      <c r="E22" s="781"/>
      <c r="F22" s="781"/>
      <c r="G22" s="781"/>
      <c r="H22" s="781"/>
      <c r="I22" s="781"/>
      <c r="J22" s="781"/>
      <c r="K22" s="781"/>
      <c r="L22" s="781"/>
      <c r="M22" s="781"/>
      <c r="N22" s="781"/>
      <c r="O22" s="781"/>
      <c r="P22" s="781"/>
      <c r="Q22" s="30"/>
      <c r="R22" s="37"/>
    </row>
    <row r="23" spans="1:32" s="32" customFormat="1" ht="11.25" x14ac:dyDescent="0.25">
      <c r="A23" s="33"/>
      <c r="B23" s="33"/>
      <c r="C23" s="33"/>
      <c r="D23" s="38"/>
      <c r="E23" s="29"/>
      <c r="F23" s="29"/>
      <c r="G23" s="29"/>
      <c r="H23" s="30"/>
      <c r="I23" s="28"/>
      <c r="J23" s="28"/>
      <c r="K23" s="28"/>
      <c r="L23" s="28"/>
      <c r="M23" s="28"/>
      <c r="N23" s="39"/>
      <c r="O23" s="39"/>
      <c r="P23" s="28"/>
      <c r="Q23" s="28"/>
      <c r="R23" s="37"/>
    </row>
    <row r="24" spans="1:32" s="40" customFormat="1" ht="5.25" customHeight="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32" s="40" customFormat="1" ht="12.75" customHeight="1" x14ac:dyDescent="0.2">
      <c r="A25" s="782" t="s">
        <v>244</v>
      </c>
      <c r="B25" s="790" t="s">
        <v>245</v>
      </c>
      <c r="C25" s="413"/>
      <c r="D25" s="793" t="s">
        <v>246</v>
      </c>
      <c r="E25" s="794"/>
      <c r="F25" s="794"/>
      <c r="G25" s="794"/>
      <c r="H25" s="794"/>
      <c r="I25" s="794"/>
      <c r="J25" s="794"/>
      <c r="K25" s="794"/>
      <c r="L25" s="794"/>
      <c r="M25" s="794"/>
      <c r="N25" s="794"/>
      <c r="O25" s="794"/>
      <c r="P25" s="784"/>
      <c r="Q25" s="795" t="s">
        <v>247</v>
      </c>
      <c r="R25" s="796"/>
    </row>
    <row r="26" spans="1:32" s="40" customFormat="1" ht="12.75" customHeight="1" x14ac:dyDescent="0.2">
      <c r="A26" s="782"/>
      <c r="B26" s="791"/>
      <c r="C26" s="395"/>
      <c r="D26" s="785" t="s">
        <v>248</v>
      </c>
      <c r="E26" s="785"/>
      <c r="F26" s="785"/>
      <c r="G26" s="785"/>
      <c r="H26" s="785"/>
      <c r="I26" s="788" t="s">
        <v>249</v>
      </c>
      <c r="J26" s="788"/>
      <c r="K26" s="788"/>
      <c r="L26" s="788"/>
      <c r="M26" s="788"/>
      <c r="N26" s="788"/>
      <c r="O26" s="788"/>
      <c r="P26" s="801" t="s">
        <v>250</v>
      </c>
      <c r="Q26" s="797"/>
      <c r="R26" s="798"/>
    </row>
    <row r="27" spans="1:32" s="40" customFormat="1" ht="15.2" customHeight="1" x14ac:dyDescent="0.2">
      <c r="A27" s="782"/>
      <c r="B27" s="791"/>
      <c r="C27" s="395"/>
      <c r="D27" s="785" t="s">
        <v>251</v>
      </c>
      <c r="E27" s="785"/>
      <c r="F27" s="786" t="s">
        <v>252</v>
      </c>
      <c r="G27" s="786" t="s">
        <v>881</v>
      </c>
      <c r="H27" s="782" t="s">
        <v>253</v>
      </c>
      <c r="I27" s="789" t="s">
        <v>254</v>
      </c>
      <c r="J27" s="788" t="s">
        <v>255</v>
      </c>
      <c r="K27" s="788"/>
      <c r="L27" s="787" t="s">
        <v>256</v>
      </c>
      <c r="M27" s="787" t="s">
        <v>257</v>
      </c>
      <c r="N27" s="787" t="s">
        <v>258</v>
      </c>
      <c r="O27" s="787" t="s">
        <v>259</v>
      </c>
      <c r="P27" s="799"/>
      <c r="Q27" s="799" t="s">
        <v>260</v>
      </c>
      <c r="R27" s="791" t="s">
        <v>261</v>
      </c>
    </row>
    <row r="28" spans="1:32" s="40" customFormat="1" ht="33.75" customHeight="1" x14ac:dyDescent="0.2">
      <c r="A28" s="782"/>
      <c r="B28" s="792"/>
      <c r="C28" s="432" t="s">
        <v>844</v>
      </c>
      <c r="D28" s="74" t="s">
        <v>262</v>
      </c>
      <c r="E28" s="74" t="s">
        <v>263</v>
      </c>
      <c r="F28" s="786"/>
      <c r="G28" s="786"/>
      <c r="H28" s="782"/>
      <c r="I28" s="789"/>
      <c r="J28" s="75" t="s">
        <v>231</v>
      </c>
      <c r="K28" s="75" t="s">
        <v>264</v>
      </c>
      <c r="L28" s="787"/>
      <c r="M28" s="787"/>
      <c r="N28" s="787"/>
      <c r="O28" s="787"/>
      <c r="P28" s="800"/>
      <c r="Q28" s="800"/>
      <c r="R28" s="792"/>
    </row>
    <row r="29" spans="1:32" s="41" customFormat="1" ht="12" customHeight="1" x14ac:dyDescent="0.25">
      <c r="A29" s="276">
        <v>1</v>
      </c>
      <c r="B29" s="276">
        <v>2</v>
      </c>
      <c r="C29" s="276"/>
      <c r="D29" s="42">
        <v>3</v>
      </c>
      <c r="E29" s="42">
        <v>4</v>
      </c>
      <c r="F29" s="42">
        <v>5</v>
      </c>
      <c r="G29" s="42">
        <v>5.0999999999999996</v>
      </c>
      <c r="H29" s="42">
        <v>6</v>
      </c>
      <c r="I29" s="43">
        <v>7</v>
      </c>
      <c r="J29" s="43">
        <v>8</v>
      </c>
      <c r="K29" s="43">
        <v>9</v>
      </c>
      <c r="L29" s="43">
        <v>10</v>
      </c>
      <c r="M29" s="43">
        <v>11</v>
      </c>
      <c r="N29" s="43">
        <v>12</v>
      </c>
      <c r="O29" s="43">
        <v>13</v>
      </c>
      <c r="P29" s="43">
        <v>14</v>
      </c>
      <c r="Q29" s="43">
        <v>15</v>
      </c>
      <c r="R29" s="42">
        <v>16</v>
      </c>
    </row>
    <row r="30" spans="1:32" s="1" customFormat="1" ht="11.25" x14ac:dyDescent="0.2">
      <c r="A30" s="697">
        <v>1</v>
      </c>
      <c r="B30" s="698" t="s">
        <v>336</v>
      </c>
      <c r="C30" s="476" t="s">
        <v>845</v>
      </c>
      <c r="D30" s="21">
        <v>0</v>
      </c>
      <c r="E30" s="17">
        <v>0.42</v>
      </c>
      <c r="F30" s="17">
        <v>0.42</v>
      </c>
      <c r="G30" s="17">
        <v>6</v>
      </c>
      <c r="H30" s="16" t="s">
        <v>0</v>
      </c>
      <c r="I30" s="22"/>
      <c r="J30" s="23"/>
      <c r="K30" s="22"/>
      <c r="L30" s="22"/>
      <c r="M30" s="22"/>
      <c r="N30" s="22"/>
      <c r="O30" s="22"/>
      <c r="P30" s="22"/>
      <c r="Q30" s="19">
        <v>80640070840</v>
      </c>
      <c r="R30" s="19">
        <v>80640070840</v>
      </c>
    </row>
    <row r="31" spans="1:32" s="1" customFormat="1" ht="11.25" x14ac:dyDescent="0.2">
      <c r="A31" s="703"/>
      <c r="B31" s="704"/>
      <c r="C31" s="476" t="s">
        <v>845</v>
      </c>
      <c r="D31" s="11">
        <v>0.42</v>
      </c>
      <c r="E31" s="11">
        <v>0.53</v>
      </c>
      <c r="F31" s="11">
        <v>0.11</v>
      </c>
      <c r="G31" s="11">
        <v>6</v>
      </c>
      <c r="H31" s="86" t="s">
        <v>0</v>
      </c>
      <c r="I31" s="20"/>
      <c r="J31" s="20"/>
      <c r="K31" s="20"/>
      <c r="L31" s="20"/>
      <c r="M31" s="20"/>
      <c r="N31" s="20"/>
      <c r="O31" s="20"/>
      <c r="P31" s="20"/>
      <c r="Q31" s="19">
        <v>80420010384</v>
      </c>
      <c r="R31" s="19">
        <v>80420010384</v>
      </c>
    </row>
    <row r="32" spans="1:32" s="1" customFormat="1" ht="11.25" x14ac:dyDescent="0.2">
      <c r="A32" s="703"/>
      <c r="B32" s="704"/>
      <c r="C32" s="476" t="s">
        <v>845</v>
      </c>
      <c r="D32" s="6">
        <f>E31</f>
        <v>0.53</v>
      </c>
      <c r="E32" s="6">
        <f>D32+0.09</f>
        <v>0.62</v>
      </c>
      <c r="F32" s="6">
        <v>0.09</v>
      </c>
      <c r="G32" s="6">
        <v>6</v>
      </c>
      <c r="H32" s="16" t="s">
        <v>0</v>
      </c>
      <c r="I32" s="22"/>
      <c r="J32" s="23"/>
      <c r="K32" s="22"/>
      <c r="L32" s="22"/>
      <c r="M32" s="22"/>
      <c r="N32" s="22"/>
      <c r="O32" s="22"/>
      <c r="P32" s="22"/>
      <c r="Q32" s="23">
        <v>80420010011</v>
      </c>
      <c r="R32" s="453" t="s">
        <v>859</v>
      </c>
    </row>
    <row r="33" spans="1:32" s="1" customFormat="1" ht="11.25" x14ac:dyDescent="0.2">
      <c r="A33" s="699"/>
      <c r="B33" s="700"/>
      <c r="C33" s="476" t="s">
        <v>845</v>
      </c>
      <c r="D33" s="21">
        <v>0.62</v>
      </c>
      <c r="E33" s="17">
        <v>1.1299999999999999</v>
      </c>
      <c r="F33" s="17">
        <v>0.51</v>
      </c>
      <c r="G33" s="17">
        <v>6</v>
      </c>
      <c r="H33" s="16" t="s">
        <v>0</v>
      </c>
      <c r="I33" s="22"/>
      <c r="J33" s="23"/>
      <c r="K33" s="22"/>
      <c r="L33" s="22"/>
      <c r="M33" s="22"/>
      <c r="N33" s="22"/>
      <c r="O33" s="22"/>
      <c r="P33" s="22"/>
      <c r="Q33" s="19">
        <v>80640070316</v>
      </c>
      <c r="R33" s="19">
        <v>80640070316</v>
      </c>
    </row>
    <row r="34" spans="1:32" s="1" customFormat="1" x14ac:dyDescent="0.25">
      <c r="A34" s="598">
        <v>2</v>
      </c>
      <c r="B34" s="701" t="s">
        <v>337</v>
      </c>
      <c r="C34" s="415" t="s">
        <v>845</v>
      </c>
      <c r="D34" s="11">
        <v>0</v>
      </c>
      <c r="E34" s="11">
        <v>2.1800000000000002</v>
      </c>
      <c r="F34" s="11">
        <v>2.1800000000000002</v>
      </c>
      <c r="G34" s="11">
        <v>5</v>
      </c>
      <c r="H34" s="15" t="s">
        <v>0</v>
      </c>
      <c r="I34" s="19"/>
      <c r="J34" s="19"/>
      <c r="K34" s="19"/>
      <c r="L34" s="19"/>
      <c r="M34" s="19"/>
      <c r="N34" s="19"/>
      <c r="O34" s="19"/>
      <c r="P34" s="19"/>
      <c r="Q34" s="19">
        <v>80420040255</v>
      </c>
      <c r="R34" s="19">
        <v>80420040255</v>
      </c>
      <c r="S34"/>
      <c r="T34"/>
      <c r="U34"/>
      <c r="V34"/>
      <c r="W34"/>
      <c r="X34"/>
      <c r="Y34"/>
      <c r="Z34"/>
      <c r="AA34" t="s">
        <v>1097</v>
      </c>
      <c r="AB34"/>
      <c r="AC34"/>
      <c r="AD34"/>
      <c r="AE34"/>
      <c r="AF34"/>
    </row>
    <row r="35" spans="1:32" s="1" customFormat="1" ht="22.5" x14ac:dyDescent="0.2">
      <c r="H35" s="2"/>
      <c r="I35" s="10"/>
      <c r="J35" s="10"/>
      <c r="K35" s="10"/>
      <c r="S35" s="102"/>
      <c r="T35" s="625" t="s">
        <v>1092</v>
      </c>
      <c r="U35" s="625" t="s">
        <v>1093</v>
      </c>
      <c r="V35" s="625" t="s">
        <v>1094</v>
      </c>
      <c r="W35" s="625" t="s">
        <v>1095</v>
      </c>
      <c r="X35" s="625" t="s">
        <v>1096</v>
      </c>
      <c r="Y35" s="627" t="s">
        <v>269</v>
      </c>
      <c r="Z35" s="102"/>
      <c r="AA35" s="625" t="s">
        <v>1092</v>
      </c>
      <c r="AB35" s="625" t="s">
        <v>1093</v>
      </c>
      <c r="AC35" s="625" t="s">
        <v>1094</v>
      </c>
      <c r="AD35" s="625" t="s">
        <v>1095</v>
      </c>
      <c r="AE35" s="625" t="s">
        <v>1096</v>
      </c>
      <c r="AF35" s="627" t="s">
        <v>269</v>
      </c>
    </row>
    <row r="36" spans="1:32" s="1" customFormat="1" ht="11.25" x14ac:dyDescent="0.2">
      <c r="A36" s="46" t="s">
        <v>338</v>
      </c>
      <c r="B36" s="47"/>
      <c r="C36" s="47"/>
      <c r="D36" s="48"/>
      <c r="E36" s="49"/>
      <c r="F36" s="50">
        <f>SUM(F30:F34)</f>
        <v>3.31</v>
      </c>
      <c r="G36" s="688"/>
      <c r="H36" s="51"/>
      <c r="I36" s="40"/>
      <c r="J36" s="52"/>
      <c r="K36" s="53" t="s">
        <v>268</v>
      </c>
      <c r="L36" s="50">
        <f>SUM(L30:L34)</f>
        <v>0</v>
      </c>
      <c r="M36" s="50">
        <f>SUM(M30:M34)</f>
        <v>0</v>
      </c>
      <c r="N36" s="55"/>
      <c r="O36" s="53" t="s">
        <v>269</v>
      </c>
      <c r="P36" s="50">
        <f>SUM(P30:P34)</f>
        <v>0</v>
      </c>
      <c r="Q36" s="55"/>
      <c r="S36" s="628" t="s">
        <v>844</v>
      </c>
      <c r="T36" s="625" t="s">
        <v>231</v>
      </c>
      <c r="U36" s="625" t="s">
        <v>231</v>
      </c>
      <c r="V36" s="625" t="s">
        <v>231</v>
      </c>
      <c r="W36" s="625" t="s">
        <v>231</v>
      </c>
      <c r="X36" s="625" t="s">
        <v>231</v>
      </c>
      <c r="Y36" s="626" t="s">
        <v>231</v>
      </c>
      <c r="Z36" s="628"/>
      <c r="AA36" s="625" t="s">
        <v>231</v>
      </c>
      <c r="AB36" s="625" t="s">
        <v>231</v>
      </c>
      <c r="AC36" s="625" t="s">
        <v>231</v>
      </c>
      <c r="AD36" s="625" t="s">
        <v>231</v>
      </c>
      <c r="AE36" s="625" t="s">
        <v>231</v>
      </c>
      <c r="AF36" s="626" t="s">
        <v>231</v>
      </c>
    </row>
    <row r="37" spans="1:32" s="1" customFormat="1" ht="11.25" x14ac:dyDescent="0.2">
      <c r="A37" s="56" t="s">
        <v>270</v>
      </c>
      <c r="B37" s="57"/>
      <c r="C37" s="57"/>
      <c r="D37" s="58"/>
      <c r="E37" s="59"/>
      <c r="F37" s="60">
        <v>0</v>
      </c>
      <c r="G37" s="81"/>
      <c r="H37" s="61"/>
      <c r="I37" s="603"/>
      <c r="J37" s="55"/>
      <c r="K37" s="63"/>
      <c r="L37" s="64"/>
      <c r="M37" s="64"/>
      <c r="N37" s="55"/>
      <c r="O37" s="55"/>
      <c r="P37" s="55"/>
      <c r="Q37" s="55"/>
      <c r="S37" s="616" t="s">
        <v>847</v>
      </c>
      <c r="T37" s="614">
        <f>SUMIFS(F30:F34,C30:C34,"A",H30:H34,"melnais")</f>
        <v>0</v>
      </c>
      <c r="U37" s="614">
        <f>SUMIFS(F30:F34,C30:C34,"A",H30:H34,"dubultā virsma")</f>
        <v>0</v>
      </c>
      <c r="V37" s="614">
        <f>SUMIFS(F30:F34,C30:C34,"A",H30:H34,"bruģis")</f>
        <v>0</v>
      </c>
      <c r="W37" s="614">
        <f>SUMIFS(F30:F34,C30:C34,"A",H30:H34,"grants")</f>
        <v>0</v>
      </c>
      <c r="X37" s="614">
        <f>SUMIFS(F30:F34,C30:C34,"A",H30:H34,"cits segums")</f>
        <v>0</v>
      </c>
      <c r="Y37" s="614">
        <f>SUMIFS(F30:F34,C30:C34,"A")</f>
        <v>0</v>
      </c>
      <c r="Z37" s="616" t="s">
        <v>847</v>
      </c>
      <c r="AA37" s="614">
        <f>SUMIFS(F30:F34,C30:C34,"A",H30:H34,"melnais", R30:R34,"Nepiederošs")</f>
        <v>0</v>
      </c>
      <c r="AB37" s="614">
        <f>SUMIFS(F30:F34,C30:C34,"A",H30:H34,"dubultā virsma", R30:R34,"Nepiederošs")</f>
        <v>0</v>
      </c>
      <c r="AC37" s="614">
        <f>SUMIFS(F30:F34,C30:C34,"A",H30:H34,"bruģis", R30:R34,"Nepiederošs")</f>
        <v>0</v>
      </c>
      <c r="AD37" s="614">
        <f>SUMIFS(F30:F34,C30:C34,"A",H30:H34,"grants", R30:R34,"Nepiederošs")</f>
        <v>0</v>
      </c>
      <c r="AE37" s="614">
        <f>SUMIFS(F30:F34,C30:C34,"A",H30:H34,"cits segums", R30:R34,"Nepiederošs")</f>
        <v>0</v>
      </c>
      <c r="AF37" s="614">
        <f>SUM(AA37:AE37)</f>
        <v>0</v>
      </c>
    </row>
    <row r="38" spans="1:32" s="1" customFormat="1" ht="11.25" x14ac:dyDescent="0.2">
      <c r="A38" s="56" t="s">
        <v>271</v>
      </c>
      <c r="B38" s="57"/>
      <c r="C38" s="57"/>
      <c r="D38" s="58"/>
      <c r="E38" s="59"/>
      <c r="F38" s="60">
        <f>F22</f>
        <v>0</v>
      </c>
      <c r="G38" s="81"/>
      <c r="H38" s="65"/>
      <c r="I38" s="40"/>
      <c r="J38" s="66"/>
      <c r="K38" s="67"/>
      <c r="L38" s="67"/>
      <c r="M38" s="67"/>
      <c r="N38" s="68"/>
      <c r="O38" s="55"/>
      <c r="P38" s="55"/>
      <c r="Q38" s="55"/>
      <c r="S38" s="617" t="s">
        <v>848</v>
      </c>
      <c r="T38" s="614">
        <f>SUMIFS(F30:F34,C30:C34,"B",H30:H34,"melnais")</f>
        <v>0</v>
      </c>
      <c r="U38" s="614">
        <f>SUMIFS(F30:F34,C30:C34,"B",H30:H34,"dubultā virsma")</f>
        <v>0</v>
      </c>
      <c r="V38" s="614">
        <f>SUMIFS(F30:F34,C30:C34,"B",H30:H34,"bruģis")</f>
        <v>0</v>
      </c>
      <c r="W38" s="614">
        <f>SUMIFS(F30:F34,C30:C34,"B",H30:H34,"grants")</f>
        <v>0</v>
      </c>
      <c r="X38" s="614">
        <f>SUMIFS(F30:F34,C30:C34,"B",H30:H34,"cits segums")</f>
        <v>0</v>
      </c>
      <c r="Y38" s="614">
        <f>SUMIFS(F30:F34,C30:C34,"B")</f>
        <v>0</v>
      </c>
      <c r="Z38" s="617" t="s">
        <v>848</v>
      </c>
      <c r="AA38" s="614">
        <f>SUMIFS(F30:F34,C30:C34,"B",H30:H34,"melnais", R30:R34,"Nepiederošs")</f>
        <v>0</v>
      </c>
      <c r="AB38" s="614">
        <f>SUMIFS(F30:F34,C30:C34,"B",H30:H34,"dubultā virsma", R30:R34,"Nepiederošs")</f>
        <v>0</v>
      </c>
      <c r="AC38" s="614">
        <f>SUMIFS(F30:F34,C30:C34,"B",H30:H34,"bruģis", R30:R34,"Nepiederošs")</f>
        <v>0</v>
      </c>
      <c r="AD38" s="614">
        <f>SUMIFS(F30:F34,C30:C34,"B",H30:H34,"grants", R30:R34,"Nepiederošs")</f>
        <v>0</v>
      </c>
      <c r="AE38" s="614">
        <f>SUMIFS(F30:F34,C30:C34,"B",H30:H34,"cits segums", R30:R34,"Nepiederošs")</f>
        <v>0</v>
      </c>
      <c r="AF38" s="614">
        <f t="shared" ref="AF38:AF40" si="12">SUM(AA38:AE38)</f>
        <v>0</v>
      </c>
    </row>
    <row r="39" spans="1:32" s="1" customFormat="1" ht="11.25" x14ac:dyDescent="0.2">
      <c r="A39" s="56" t="s">
        <v>272</v>
      </c>
      <c r="B39" s="57"/>
      <c r="C39" s="57"/>
      <c r="D39" s="58"/>
      <c r="E39" s="59"/>
      <c r="F39" s="60">
        <f>F36-F37-F40-F38</f>
        <v>3.31</v>
      </c>
      <c r="G39" s="81"/>
      <c r="H39" s="65"/>
      <c r="I39" s="65"/>
      <c r="J39" s="66"/>
      <c r="K39" s="67"/>
      <c r="L39" s="67"/>
      <c r="M39" s="67"/>
      <c r="N39" s="68"/>
      <c r="O39" s="55"/>
      <c r="P39" s="55"/>
      <c r="Q39" s="55"/>
      <c r="S39" s="615" t="s">
        <v>845</v>
      </c>
      <c r="T39" s="614">
        <f>SUMIFS(F30:F34,C30:C34,"C",H30:H34,"melnais")</f>
        <v>0</v>
      </c>
      <c r="U39" s="614">
        <f>SUMIFS(F30:F34,C30:C34,"C",H30:H34,"dubultā virsma")</f>
        <v>0</v>
      </c>
      <c r="V39" s="614">
        <f>SUMIFS(F30:F34,C30:C34,"C",H30:H34,"bruģis")</f>
        <v>0</v>
      </c>
      <c r="W39" s="614">
        <f>SUMIFS(F30:F34,C30:C34,"C",H30:H34,"grants")</f>
        <v>3.31</v>
      </c>
      <c r="X39" s="614">
        <f>SUMIFS(F30:F34,C30:C34,"C",H30:H34,"cits segums")</f>
        <v>0</v>
      </c>
      <c r="Y39" s="614">
        <f>SUMIFS(F30:F34,C30:C34,"C")</f>
        <v>3.31</v>
      </c>
      <c r="Z39" s="615" t="s">
        <v>845</v>
      </c>
      <c r="AA39" s="614">
        <f>SUMIFS(F30:F34,C30:C34,"C",H30:H34,"melnais", R30:R34,"Nepiederošs")</f>
        <v>0</v>
      </c>
      <c r="AB39" s="614">
        <f>SUMIFS(F30:F34,C30:C34,"C",H30:H34,"dubultā virsma", R30:R34,"Nepiederošs")</f>
        <v>0</v>
      </c>
      <c r="AC39" s="614">
        <f>SUMIFS(F30:F34,C30:C34,"C",H30:H34,"bruģis", R30:R34,"Nepiederošs")</f>
        <v>0</v>
      </c>
      <c r="AD39" s="614">
        <f>SUMIFS(F30:F34,C30:C34,"C",H30:H34,"grants", R30:R34,"Nepiederošs")</f>
        <v>0.09</v>
      </c>
      <c r="AE39" s="614">
        <f>SUMIFS(F30:F34,C30:C34,"C",H30:H34,"cits segums", R30:R34,"Nepiederošs")</f>
        <v>0</v>
      </c>
      <c r="AF39" s="614">
        <f t="shared" si="12"/>
        <v>0.09</v>
      </c>
    </row>
    <row r="40" spans="1:32" s="1" customFormat="1" ht="11.25" x14ac:dyDescent="0.2">
      <c r="A40" s="56" t="s">
        <v>273</v>
      </c>
      <c r="B40" s="57"/>
      <c r="C40" s="57"/>
      <c r="D40" s="58"/>
      <c r="E40" s="59"/>
      <c r="F40" s="60">
        <v>0</v>
      </c>
      <c r="G40" s="81"/>
      <c r="H40" s="69"/>
      <c r="I40" s="65"/>
      <c r="J40" s="70"/>
      <c r="K40" s="67"/>
      <c r="L40" s="67"/>
      <c r="M40" s="67"/>
      <c r="N40" s="68"/>
      <c r="O40" s="55"/>
      <c r="P40" s="55"/>
      <c r="Q40" s="55"/>
      <c r="S40" s="616" t="s">
        <v>846</v>
      </c>
      <c r="T40" s="614">
        <f>SUMIFS(F30:F34,C30:C34,"D",H30:H34,"melnais")</f>
        <v>0</v>
      </c>
      <c r="U40" s="614">
        <f>SUMIFS(F30:F34,C30:C34,"D",H30:H34,"dubultā virsma")</f>
        <v>0</v>
      </c>
      <c r="V40" s="614">
        <f>SUMIFS(F30:F34,C30:C34,"D",H30:H34,"bruģis")</f>
        <v>0</v>
      </c>
      <c r="W40" s="614">
        <f>SUMIFS(F30:F34,C30:C34,"D",H30:H34,"grants")</f>
        <v>0</v>
      </c>
      <c r="X40" s="614">
        <f>SUMIFS(F30:F34,C30:C34,"D",H30:H34,"cits segums")</f>
        <v>0</v>
      </c>
      <c r="Y40" s="614">
        <f>SUMIFS(F30:F34,C30:C34,"D")</f>
        <v>0</v>
      </c>
      <c r="Z40" s="616" t="s">
        <v>846</v>
      </c>
      <c r="AA40" s="614">
        <f>SUMIFS(F30:F34,C30:C34,"D",H30:H34,"melnais", R30:R34,"Nepiederošs")</f>
        <v>0</v>
      </c>
      <c r="AB40" s="614">
        <f>SUMIFS(F30:F34,C30:C34,"D",H30:H34,"dubultā virsma", R30:R34,"Nepiederošs")</f>
        <v>0</v>
      </c>
      <c r="AC40" s="614">
        <f>SUMIFS(F30:F34,C30:C34,"D",H30:H34,"bruģis", R30:R34,"Nepiederošs")</f>
        <v>0</v>
      </c>
      <c r="AD40" s="614">
        <f>SUMIFS(F30:F34,C30:C34,"D",H30:H34,"grants", R30:R34,"Nepiederošs")</f>
        <v>0</v>
      </c>
      <c r="AE40" s="614">
        <f>SUMIFS(F30:F34,C30:C34,"D",H30:H34,"cits segums", R30:R34,"Nepiederošs")</f>
        <v>0</v>
      </c>
      <c r="AF40" s="614">
        <f t="shared" si="12"/>
        <v>0</v>
      </c>
    </row>
    <row r="41" spans="1:32" x14ac:dyDescent="0.25">
      <c r="T41" s="629">
        <f>SUM(T37:T40)</f>
        <v>0</v>
      </c>
      <c r="U41" s="629">
        <f t="shared" ref="U41" si="13">SUM(U37:U40)</f>
        <v>0</v>
      </c>
      <c r="V41" s="629">
        <f t="shared" ref="V41" si="14">SUM(V37:V40)</f>
        <v>0</v>
      </c>
      <c r="W41" s="629">
        <f t="shared" ref="W41" si="15">SUM(W37:W40)</f>
        <v>3.31</v>
      </c>
      <c r="X41" s="629">
        <f t="shared" ref="X41" si="16">SUM(X37:X40)</f>
        <v>0</v>
      </c>
      <c r="Y41" s="629">
        <f t="shared" ref="Y41" si="17">SUM(Y37:Y40)</f>
        <v>3.31</v>
      </c>
      <c r="AA41" s="629">
        <f>SUM(AA37:AA40)</f>
        <v>0</v>
      </c>
      <c r="AB41" s="629">
        <f t="shared" ref="AB41" si="18">SUM(AB37:AB40)</f>
        <v>0</v>
      </c>
      <c r="AC41" s="629">
        <f t="shared" ref="AC41" si="19">SUM(AC37:AC40)</f>
        <v>0</v>
      </c>
      <c r="AD41" s="629">
        <f t="shared" ref="AD41" si="20">SUM(AD37:AD40)</f>
        <v>0.09</v>
      </c>
      <c r="AE41" s="629">
        <f t="shared" ref="AE41" si="21">SUM(AE37:AE40)</f>
        <v>0</v>
      </c>
      <c r="AF41" s="629">
        <f t="shared" ref="AF41" si="22">SUM(AF37:AF40)</f>
        <v>0.09</v>
      </c>
    </row>
    <row r="42" spans="1:32" s="32" customFormat="1" ht="15" customHeight="1" x14ac:dyDescent="0.25">
      <c r="A42" s="33"/>
      <c r="B42" s="33"/>
      <c r="C42" s="33"/>
      <c r="D42" s="781" t="s">
        <v>1045</v>
      </c>
      <c r="E42" s="781"/>
      <c r="F42" s="781"/>
      <c r="G42" s="781"/>
      <c r="H42" s="781"/>
      <c r="I42" s="781"/>
      <c r="J42" s="781"/>
      <c r="K42" s="781"/>
      <c r="L42" s="781"/>
      <c r="M42" s="781"/>
      <c r="N42" s="781"/>
      <c r="O42" s="781"/>
      <c r="P42" s="781"/>
      <c r="Q42" s="30"/>
      <c r="R42" s="37"/>
    </row>
    <row r="43" spans="1:32" s="32" customFormat="1" ht="11.25" x14ac:dyDescent="0.25">
      <c r="A43" s="33"/>
      <c r="B43" s="33"/>
      <c r="C43" s="33"/>
      <c r="D43" s="38"/>
      <c r="E43" s="29"/>
      <c r="F43" s="29"/>
      <c r="G43" s="29"/>
      <c r="H43" s="30"/>
      <c r="I43" s="28"/>
      <c r="J43" s="28"/>
      <c r="K43" s="28"/>
      <c r="L43" s="28"/>
      <c r="M43" s="28"/>
      <c r="N43" s="39"/>
      <c r="O43" s="39"/>
      <c r="P43" s="28"/>
      <c r="Q43" s="28"/>
      <c r="R43" s="37"/>
    </row>
    <row r="44" spans="1:32" s="40" customFormat="1" ht="5.25" customHeight="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</row>
    <row r="45" spans="1:32" s="40" customFormat="1" ht="12.75" customHeight="1" x14ac:dyDescent="0.2">
      <c r="A45" s="782" t="s">
        <v>244</v>
      </c>
      <c r="B45" s="783" t="s">
        <v>245</v>
      </c>
      <c r="C45" s="394"/>
      <c r="D45" s="784" t="s">
        <v>246</v>
      </c>
      <c r="E45" s="785"/>
      <c r="F45" s="785"/>
      <c r="G45" s="785"/>
      <c r="H45" s="785"/>
      <c r="I45" s="785"/>
      <c r="J45" s="785"/>
      <c r="K45" s="785"/>
      <c r="L45" s="785"/>
      <c r="M45" s="785"/>
      <c r="N45" s="785"/>
      <c r="O45" s="785"/>
      <c r="P45" s="785"/>
      <c r="Q45" s="786" t="s">
        <v>247</v>
      </c>
      <c r="R45" s="786"/>
    </row>
    <row r="46" spans="1:32" s="40" customFormat="1" ht="12.75" customHeight="1" x14ac:dyDescent="0.2">
      <c r="A46" s="782"/>
      <c r="B46" s="783"/>
      <c r="C46" s="395"/>
      <c r="D46" s="784" t="s">
        <v>248</v>
      </c>
      <c r="E46" s="785"/>
      <c r="F46" s="785"/>
      <c r="G46" s="785"/>
      <c r="H46" s="785"/>
      <c r="I46" s="788" t="s">
        <v>249</v>
      </c>
      <c r="J46" s="788"/>
      <c r="K46" s="788"/>
      <c r="L46" s="788"/>
      <c r="M46" s="788"/>
      <c r="N46" s="788"/>
      <c r="O46" s="788"/>
      <c r="P46" s="787" t="s">
        <v>250</v>
      </c>
      <c r="Q46" s="786"/>
      <c r="R46" s="786"/>
    </row>
    <row r="47" spans="1:32" s="40" customFormat="1" ht="15.2" customHeight="1" x14ac:dyDescent="0.2">
      <c r="A47" s="782"/>
      <c r="B47" s="783"/>
      <c r="C47" s="395"/>
      <c r="D47" s="784" t="s">
        <v>251</v>
      </c>
      <c r="E47" s="785"/>
      <c r="F47" s="786" t="s">
        <v>252</v>
      </c>
      <c r="G47" s="786" t="s">
        <v>881</v>
      </c>
      <c r="H47" s="782" t="s">
        <v>253</v>
      </c>
      <c r="I47" s="789" t="s">
        <v>254</v>
      </c>
      <c r="J47" s="788" t="s">
        <v>255</v>
      </c>
      <c r="K47" s="788"/>
      <c r="L47" s="787" t="s">
        <v>256</v>
      </c>
      <c r="M47" s="787" t="s">
        <v>257</v>
      </c>
      <c r="N47" s="787" t="s">
        <v>258</v>
      </c>
      <c r="O47" s="787" t="s">
        <v>259</v>
      </c>
      <c r="P47" s="787"/>
      <c r="Q47" s="787" t="s">
        <v>260</v>
      </c>
      <c r="R47" s="782" t="s">
        <v>261</v>
      </c>
    </row>
    <row r="48" spans="1:32" s="40" customFormat="1" ht="33.75" customHeight="1" x14ac:dyDescent="0.2">
      <c r="A48" s="782"/>
      <c r="B48" s="783"/>
      <c r="C48" s="432" t="s">
        <v>844</v>
      </c>
      <c r="D48" s="433" t="s">
        <v>262</v>
      </c>
      <c r="E48" s="74" t="s">
        <v>263</v>
      </c>
      <c r="F48" s="786"/>
      <c r="G48" s="786"/>
      <c r="H48" s="782"/>
      <c r="I48" s="789"/>
      <c r="J48" s="75" t="s">
        <v>231</v>
      </c>
      <c r="K48" s="75" t="s">
        <v>264</v>
      </c>
      <c r="L48" s="787"/>
      <c r="M48" s="787"/>
      <c r="N48" s="787"/>
      <c r="O48" s="787"/>
      <c r="P48" s="787"/>
      <c r="Q48" s="787"/>
      <c r="R48" s="782"/>
    </row>
    <row r="49" spans="1:32" s="41" customFormat="1" ht="12" customHeight="1" x14ac:dyDescent="0.25">
      <c r="A49" s="42">
        <v>1</v>
      </c>
      <c r="B49" s="42">
        <v>2</v>
      </c>
      <c r="C49" s="435"/>
      <c r="D49" s="42">
        <v>3</v>
      </c>
      <c r="E49" s="42">
        <v>4</v>
      </c>
      <c r="F49" s="42">
        <v>5</v>
      </c>
      <c r="G49" s="42">
        <v>5.0999999999999996</v>
      </c>
      <c r="H49" s="42">
        <v>6</v>
      </c>
      <c r="I49" s="43">
        <v>7</v>
      </c>
      <c r="J49" s="43">
        <v>8</v>
      </c>
      <c r="K49" s="43">
        <v>9</v>
      </c>
      <c r="L49" s="43">
        <v>10</v>
      </c>
      <c r="M49" s="43">
        <v>11</v>
      </c>
      <c r="N49" s="43">
        <v>12</v>
      </c>
      <c r="O49" s="43">
        <v>13</v>
      </c>
      <c r="P49" s="43">
        <v>14</v>
      </c>
      <c r="Q49" s="43">
        <v>15</v>
      </c>
      <c r="R49" s="42">
        <v>16</v>
      </c>
    </row>
    <row r="50" spans="1:32" ht="45" x14ac:dyDescent="0.25">
      <c r="A50" s="5">
        <v>1</v>
      </c>
      <c r="B50" s="3" t="s">
        <v>438</v>
      </c>
      <c r="C50" s="27" t="s">
        <v>846</v>
      </c>
      <c r="D50" s="72">
        <v>0</v>
      </c>
      <c r="E50" s="72">
        <v>4.97</v>
      </c>
      <c r="F50" s="72">
        <v>4.97</v>
      </c>
      <c r="G50" s="72">
        <v>7</v>
      </c>
      <c r="H50" s="4" t="s">
        <v>0</v>
      </c>
      <c r="I50" s="22"/>
      <c r="J50" s="22"/>
      <c r="K50" s="22"/>
      <c r="L50" s="22"/>
      <c r="M50" s="22"/>
      <c r="N50" s="22"/>
      <c r="O50" s="22"/>
      <c r="P50" s="22"/>
      <c r="Q50" s="294">
        <v>80740030670</v>
      </c>
      <c r="R50" s="293" t="s">
        <v>435</v>
      </c>
    </row>
    <row r="51" spans="1:32" ht="22.5" x14ac:dyDescent="0.25">
      <c r="A51" s="5">
        <v>2</v>
      </c>
      <c r="B51" s="3" t="s">
        <v>439</v>
      </c>
      <c r="C51" s="27" t="s">
        <v>846</v>
      </c>
      <c r="D51" s="72">
        <v>0</v>
      </c>
      <c r="E51" s="72">
        <v>2.08</v>
      </c>
      <c r="F51" s="72">
        <v>2.08</v>
      </c>
      <c r="G51" s="72">
        <v>7</v>
      </c>
      <c r="H51" s="4" t="s">
        <v>0</v>
      </c>
      <c r="I51" s="23" t="s">
        <v>431</v>
      </c>
      <c r="J51" s="23">
        <v>1.34</v>
      </c>
      <c r="K51" s="23" t="s">
        <v>432</v>
      </c>
      <c r="L51" s="23">
        <v>20</v>
      </c>
      <c r="M51" s="23">
        <v>162</v>
      </c>
      <c r="N51" s="23"/>
      <c r="O51" s="23" t="s">
        <v>433</v>
      </c>
      <c r="P51" s="22"/>
      <c r="Q51" s="294">
        <v>80740020103</v>
      </c>
      <c r="R51" s="293" t="s">
        <v>436</v>
      </c>
    </row>
    <row r="52" spans="1:32" ht="22.5" x14ac:dyDescent="0.25">
      <c r="A52" s="5">
        <v>3</v>
      </c>
      <c r="B52" s="3" t="s">
        <v>440</v>
      </c>
      <c r="C52" s="27" t="s">
        <v>845</v>
      </c>
      <c r="D52" s="72">
        <v>0</v>
      </c>
      <c r="E52" s="72">
        <v>4.7</v>
      </c>
      <c r="F52" s="72">
        <v>4.7</v>
      </c>
      <c r="G52" s="72">
        <v>7</v>
      </c>
      <c r="H52" s="4" t="s">
        <v>0</v>
      </c>
      <c r="I52" s="22"/>
      <c r="J52" s="22"/>
      <c r="K52" s="22"/>
      <c r="L52" s="22"/>
      <c r="M52" s="22"/>
      <c r="N52" s="22"/>
      <c r="O52" s="22"/>
      <c r="P52" s="22"/>
      <c r="Q52" s="294">
        <v>80740050361</v>
      </c>
      <c r="R52" s="293" t="s">
        <v>437</v>
      </c>
      <c r="AA52" t="s">
        <v>1097</v>
      </c>
    </row>
    <row r="53" spans="1:32" ht="23.25" x14ac:dyDescent="0.25">
      <c r="S53" s="102"/>
      <c r="T53" s="625" t="s">
        <v>1092</v>
      </c>
      <c r="U53" s="625" t="s">
        <v>1093</v>
      </c>
      <c r="V53" s="625" t="s">
        <v>1094</v>
      </c>
      <c r="W53" s="625" t="s">
        <v>1095</v>
      </c>
      <c r="X53" s="625" t="s">
        <v>1096</v>
      </c>
      <c r="Y53" s="627" t="s">
        <v>269</v>
      </c>
      <c r="Z53" s="102"/>
      <c r="AA53" s="625" t="s">
        <v>1092</v>
      </c>
      <c r="AB53" s="625" t="s">
        <v>1093</v>
      </c>
      <c r="AC53" s="625" t="s">
        <v>1094</v>
      </c>
      <c r="AD53" s="625" t="s">
        <v>1095</v>
      </c>
      <c r="AE53" s="625" t="s">
        <v>1096</v>
      </c>
      <c r="AF53" s="627" t="s">
        <v>269</v>
      </c>
    </row>
    <row r="54" spans="1:32" s="1" customFormat="1" ht="11.25" x14ac:dyDescent="0.2">
      <c r="A54" s="46" t="s">
        <v>434</v>
      </c>
      <c r="B54" s="47"/>
      <c r="C54" s="47"/>
      <c r="D54" s="48"/>
      <c r="E54" s="49"/>
      <c r="F54" s="50">
        <f>SUM(F50:F52)</f>
        <v>11.75</v>
      </c>
      <c r="G54" s="688"/>
      <c r="H54" s="51"/>
      <c r="I54" s="40"/>
      <c r="J54" s="52"/>
      <c r="K54" s="53" t="s">
        <v>268</v>
      </c>
      <c r="L54" s="50">
        <f>SUM(L51:L52)</f>
        <v>20</v>
      </c>
      <c r="M54" s="50">
        <f>SUM(M51:M52)</f>
        <v>162</v>
      </c>
      <c r="N54" s="55"/>
      <c r="O54" s="53" t="s">
        <v>269</v>
      </c>
      <c r="P54" s="50">
        <f>SUM(P51:P52)</f>
        <v>0</v>
      </c>
      <c r="Q54" s="55"/>
      <c r="S54" s="628" t="s">
        <v>844</v>
      </c>
      <c r="T54" s="625" t="s">
        <v>231</v>
      </c>
      <c r="U54" s="625" t="s">
        <v>231</v>
      </c>
      <c r="V54" s="625" t="s">
        <v>231</v>
      </c>
      <c r="W54" s="625" t="s">
        <v>231</v>
      </c>
      <c r="X54" s="625" t="s">
        <v>231</v>
      </c>
      <c r="Y54" s="626" t="s">
        <v>231</v>
      </c>
      <c r="Z54" s="628"/>
      <c r="AA54" s="625" t="s">
        <v>231</v>
      </c>
      <c r="AB54" s="625" t="s">
        <v>231</v>
      </c>
      <c r="AC54" s="625" t="s">
        <v>231</v>
      </c>
      <c r="AD54" s="625" t="s">
        <v>231</v>
      </c>
      <c r="AE54" s="625" t="s">
        <v>231</v>
      </c>
      <c r="AF54" s="626" t="s">
        <v>231</v>
      </c>
    </row>
    <row r="55" spans="1:32" s="1" customFormat="1" ht="11.25" x14ac:dyDescent="0.2">
      <c r="A55" s="56" t="s">
        <v>270</v>
      </c>
      <c r="B55" s="57"/>
      <c r="C55" s="57"/>
      <c r="D55" s="58"/>
      <c r="E55" s="59"/>
      <c r="F55" s="60">
        <v>0</v>
      </c>
      <c r="G55" s="81"/>
      <c r="H55" s="61"/>
      <c r="I55" s="62"/>
      <c r="J55" s="55"/>
      <c r="K55" s="63"/>
      <c r="L55" s="64"/>
      <c r="M55" s="64"/>
      <c r="N55" s="55"/>
      <c r="O55" s="55"/>
      <c r="P55" s="55"/>
      <c r="Q55" s="55"/>
      <c r="S55" s="616" t="s">
        <v>847</v>
      </c>
      <c r="T55" s="614">
        <f>SUMIFS(F50:F52,C50:C52,"A",H50:H52,"melnais")</f>
        <v>0</v>
      </c>
      <c r="U55" s="614">
        <f>SUMIFS(F50:F52,C50:C52,"A",H50:H52,"dubultā virsma")</f>
        <v>0</v>
      </c>
      <c r="V55" s="614">
        <f>SUMIFS(F50:F52,C50:C52,"A",H50:H52,"bruģis")</f>
        <v>0</v>
      </c>
      <c r="W55" s="614">
        <f>SUMIFS(F50:F52,C50:C52,"A",H50:H52,"grants")</f>
        <v>0</v>
      </c>
      <c r="X55" s="614">
        <f>SUMIFS(F50:F52,C50:C52,"A",H50:H52,"cits segums")</f>
        <v>0</v>
      </c>
      <c r="Y55" s="614">
        <f>SUM(T55:X55)</f>
        <v>0</v>
      </c>
      <c r="Z55" s="616" t="s">
        <v>847</v>
      </c>
      <c r="AA55" s="614">
        <f>SUMIFS(F50:F52,C50:C52,"A",H50:H52,"melnais", R50:R52,"Nepiederošs")</f>
        <v>0</v>
      </c>
      <c r="AB55" s="614">
        <f>SUMIFS(F50:F52,C50:C52,"A",H50:H52,"dubultā virsma", R50:R52,"Nepiederošs")</f>
        <v>0</v>
      </c>
      <c r="AC55" s="614">
        <f>SUMIFS(F50:F52,C50:C52,"A",H50:H52,"bruģis", R50:R52,"Nepiederošs")</f>
        <v>0</v>
      </c>
      <c r="AD55" s="614">
        <f>SUMIFS(F50:F52,C50:C52,"A",H50:H52,"grants", R50:R52,"Nepiederošs")</f>
        <v>0</v>
      </c>
      <c r="AE55" s="614">
        <f>SUMIFS(F50:F52,C50:C52,"A",H50:H52,"cits segums", R50:R52,"Nepiederošs")</f>
        <v>0</v>
      </c>
      <c r="AF55" s="614">
        <f>SUM(AA55:AE55)</f>
        <v>0</v>
      </c>
    </row>
    <row r="56" spans="1:32" s="1" customFormat="1" ht="11.25" x14ac:dyDescent="0.2">
      <c r="A56" s="56" t="s">
        <v>271</v>
      </c>
      <c r="B56" s="57"/>
      <c r="C56" s="57"/>
      <c r="D56" s="58"/>
      <c r="E56" s="59"/>
      <c r="F56" s="60">
        <v>0</v>
      </c>
      <c r="G56" s="81"/>
      <c r="H56" s="65"/>
      <c r="I56" s="40"/>
      <c r="J56" s="66"/>
      <c r="K56" s="67"/>
      <c r="L56" s="67"/>
      <c r="M56" s="67"/>
      <c r="N56" s="68"/>
      <c r="O56" s="55"/>
      <c r="P56" s="55"/>
      <c r="Q56" s="55"/>
      <c r="S56" s="617" t="s">
        <v>848</v>
      </c>
      <c r="T56" s="614">
        <f>SUMIFS(F50:F52,C50:C52,"B",H50:H52,"melnais")</f>
        <v>0</v>
      </c>
      <c r="U56" s="614">
        <f>SUMIFS(F50:F52,C50:C52,"B",H50:H52,"dubultā virsma")</f>
        <v>0</v>
      </c>
      <c r="V56" s="614">
        <f>SUMIFS(F50:F52,C50:C52,"B",H50:H52,"bruģis")</f>
        <v>0</v>
      </c>
      <c r="W56" s="614">
        <f>SUMIFS(F50:F52,C50:C52,"B",H50:H52,"grants")</f>
        <v>0</v>
      </c>
      <c r="X56" s="614">
        <f>SUMIFS(F50:F52,C50:C52,"B",H50:H52,"cits segums")</f>
        <v>0</v>
      </c>
      <c r="Y56" s="614">
        <f t="shared" ref="Y56:Y58" si="23">SUM(T56:X56)</f>
        <v>0</v>
      </c>
      <c r="Z56" s="617" t="s">
        <v>848</v>
      </c>
      <c r="AA56" s="614">
        <f>SUMIFS(F50:F52,C50:C52,"B",H50:H52,"melnais", R50:R52,"Nepiederošs")</f>
        <v>0</v>
      </c>
      <c r="AB56" s="614">
        <f>SUMIFS(F50:F52,C50:C52,"B",H50:H52,"dubultā virsma", R50:R52,"Nepiederošs")</f>
        <v>0</v>
      </c>
      <c r="AC56" s="614">
        <f>SUMIFS(F50:F52,C50:C52,"B",H50:H52,"bruģis", R50:R52,"Nepiederošs")</f>
        <v>0</v>
      </c>
      <c r="AD56" s="614">
        <f>SUMIFS(F50:F52,C50:C52,"B",H50:H52,"grants", R50:R52,"Nepiederošs")</f>
        <v>0</v>
      </c>
      <c r="AE56" s="614">
        <f>SUMIFS(F50:F52,C50:C52,"B",H50:H52,"cits segums", R50:R52,"Nepiederošs")</f>
        <v>0</v>
      </c>
      <c r="AF56" s="614">
        <f t="shared" ref="AF56:AF58" si="24">SUM(AA56:AE56)</f>
        <v>0</v>
      </c>
    </row>
    <row r="57" spans="1:32" s="1" customFormat="1" ht="11.25" x14ac:dyDescent="0.2">
      <c r="A57" s="56" t="s">
        <v>272</v>
      </c>
      <c r="B57" s="57"/>
      <c r="C57" s="57"/>
      <c r="D57" s="58"/>
      <c r="E57" s="59"/>
      <c r="F57" s="60">
        <f>F54-F55-F58-F56</f>
        <v>11.75</v>
      </c>
      <c r="G57" s="81"/>
      <c r="H57" s="65"/>
      <c r="I57" s="65"/>
      <c r="J57" s="66"/>
      <c r="K57" s="67"/>
      <c r="L57" s="67"/>
      <c r="M57" s="67"/>
      <c r="N57" s="68"/>
      <c r="O57" s="55"/>
      <c r="P57" s="55"/>
      <c r="Q57" s="55"/>
      <c r="S57" s="615" t="s">
        <v>845</v>
      </c>
      <c r="T57" s="614">
        <f>SUMIFS(F50:F52,C50:C52,"C",H50:H52,"melnais")</f>
        <v>0</v>
      </c>
      <c r="U57" s="614">
        <f>SUMIFS(F50:F52,C50:C52,"C",H50:H52,"dubultā virsma")</f>
        <v>0</v>
      </c>
      <c r="V57" s="614">
        <f>SUMIFS(F50:F52,C50:C52,"C",H50:H52,"bruģis")</f>
        <v>0</v>
      </c>
      <c r="W57" s="614">
        <f>SUMIFS(F50:F52,C50:C52,"C",H50:H52,"grants")</f>
        <v>4.7</v>
      </c>
      <c r="X57" s="614">
        <f>SUMIFS(F50:F52,C50:C52,"C",H50:H52,"cits segums")</f>
        <v>0</v>
      </c>
      <c r="Y57" s="614">
        <f t="shared" si="23"/>
        <v>4.7</v>
      </c>
      <c r="Z57" s="615" t="s">
        <v>845</v>
      </c>
      <c r="AA57" s="614">
        <f>SUMIFS(F50:F52,C50:C52,"C",H50:H52,"melnais", R50:R52,"Nepiederošs")</f>
        <v>0</v>
      </c>
      <c r="AB57" s="614">
        <f>SUMIFS(F50:F52,C50:C52,"C",H50:H52,"dubultā virsma", R50:R52,"Nepiederošs")</f>
        <v>0</v>
      </c>
      <c r="AC57" s="614">
        <f>SUMIFS(F50:F52,C50:C52,"C",H50:H52,"bruģis", R50:R52,"Nepiederošs")</f>
        <v>0</v>
      </c>
      <c r="AD57" s="614">
        <f>SUMIFS(F50:F52,C50:C52,"C",H50:H52,"grants", R50:R52,"Nepiederošs")</f>
        <v>0</v>
      </c>
      <c r="AE57" s="614">
        <f>SUMIFS(F50:F52,C50:C52,"C",H50:H52,"cits segums", R50:R52,"Nepiederošs")</f>
        <v>0</v>
      </c>
      <c r="AF57" s="614">
        <f t="shared" si="24"/>
        <v>0</v>
      </c>
    </row>
    <row r="58" spans="1:32" s="1" customFormat="1" ht="11.25" x14ac:dyDescent="0.2">
      <c r="A58" s="56" t="s">
        <v>273</v>
      </c>
      <c r="B58" s="57"/>
      <c r="C58" s="57"/>
      <c r="D58" s="58"/>
      <c r="E58" s="59"/>
      <c r="F58" s="60">
        <v>0</v>
      </c>
      <c r="G58" s="81"/>
      <c r="H58" s="69"/>
      <c r="I58" s="65"/>
      <c r="J58" s="70"/>
      <c r="K58" s="67"/>
      <c r="L58" s="67"/>
      <c r="M58" s="67"/>
      <c r="N58" s="68"/>
      <c r="O58" s="55"/>
      <c r="P58" s="55"/>
      <c r="Q58" s="55"/>
      <c r="S58" s="616" t="s">
        <v>846</v>
      </c>
      <c r="T58" s="614">
        <f>SUMIFS(F50:F52,C50:C52,"D",H50:H52,"melnais")</f>
        <v>0</v>
      </c>
      <c r="U58" s="614">
        <f>SUMIFS(F50:F52,C50:C52,"D",H50:H52,"dubultā virsma")</f>
        <v>0</v>
      </c>
      <c r="V58" s="614">
        <f>SUMIFS(F50:F52,C50:C52,"D",H50:H52,"bruģis")</f>
        <v>0</v>
      </c>
      <c r="W58" s="614">
        <f>SUMIFS(F50:F52,C50:C52,"D",H50:H52,"grants")</f>
        <v>7.05</v>
      </c>
      <c r="X58" s="614">
        <f>SUMIFS(F50:F52,C50:C52,"D",H50:H52,"cits segums")</f>
        <v>0</v>
      </c>
      <c r="Y58" s="614">
        <f t="shared" si="23"/>
        <v>7.05</v>
      </c>
      <c r="Z58" s="616" t="s">
        <v>846</v>
      </c>
      <c r="AA58" s="614">
        <f>SUMIFS(F50:F52,C50:C52,"D",H50:H52,"melnais", R50:R52,"Nepiederošs")</f>
        <v>0</v>
      </c>
      <c r="AB58" s="614">
        <f>SUMIFS(F50:F52,C50:C52,"D",H50:H52,"dubultā virsma", R50:R52,"Nepiederošs")</f>
        <v>0</v>
      </c>
      <c r="AC58" s="614">
        <f>SUMIFS(F50:F52,C50:C52,"D",H50:H52,"bruģis", R50:R52,"Nepiederošs")</f>
        <v>0</v>
      </c>
      <c r="AD58" s="614">
        <f>SUMIFS(F50:F52,C50:C52,"D",H50:H52,"grants", R50:R52,"Nepiederošs")</f>
        <v>0</v>
      </c>
      <c r="AE58" s="614">
        <f>SUMIFS(F50:F52,C50:C52,"D",H50:H52,"cits segums", R50:R52,"Nepiederošs")</f>
        <v>0</v>
      </c>
      <c r="AF58" s="614">
        <f t="shared" si="24"/>
        <v>0</v>
      </c>
    </row>
    <row r="59" spans="1:32" x14ac:dyDescent="0.25">
      <c r="T59" s="629">
        <f>SUM(T55:T58)</f>
        <v>0</v>
      </c>
      <c r="U59" s="629">
        <f t="shared" ref="U59" si="25">SUM(U55:U58)</f>
        <v>0</v>
      </c>
      <c r="V59" s="629">
        <f t="shared" ref="V59" si="26">SUM(V55:V58)</f>
        <v>0</v>
      </c>
      <c r="W59" s="629">
        <f t="shared" ref="W59" si="27">SUM(W55:W58)</f>
        <v>11.75</v>
      </c>
      <c r="X59" s="629">
        <f t="shared" ref="X59" si="28">SUM(X55:X58)</f>
        <v>0</v>
      </c>
      <c r="Y59" s="629">
        <f t="shared" ref="Y59" si="29">SUM(Y55:Y58)</f>
        <v>11.75</v>
      </c>
      <c r="AA59" s="629">
        <f>SUM(AA55:AA58)</f>
        <v>0</v>
      </c>
      <c r="AB59" s="629">
        <f t="shared" ref="AB59" si="30">SUM(AB55:AB58)</f>
        <v>0</v>
      </c>
      <c r="AC59" s="629">
        <f t="shared" ref="AC59" si="31">SUM(AC55:AC58)</f>
        <v>0</v>
      </c>
      <c r="AD59" s="629">
        <f t="shared" ref="AD59" si="32">SUM(AD55:AD58)</f>
        <v>0</v>
      </c>
      <c r="AE59" s="629">
        <f t="shared" ref="AE59" si="33">SUM(AE55:AE58)</f>
        <v>0</v>
      </c>
      <c r="AF59" s="629">
        <f t="shared" ref="AF59" si="34">SUM(AF55:AF58)</f>
        <v>0</v>
      </c>
    </row>
    <row r="60" spans="1:32" s="32" customFormat="1" ht="15" customHeight="1" x14ac:dyDescent="0.25">
      <c r="A60" s="33"/>
      <c r="B60" s="33"/>
      <c r="C60" s="33"/>
      <c r="D60" s="781" t="s">
        <v>1046</v>
      </c>
      <c r="E60" s="781"/>
      <c r="F60" s="781"/>
      <c r="G60" s="781"/>
      <c r="H60" s="781"/>
      <c r="I60" s="781"/>
      <c r="J60" s="781"/>
      <c r="K60" s="781"/>
      <c r="L60" s="781"/>
      <c r="M60" s="781"/>
      <c r="N60" s="781"/>
      <c r="O60" s="781"/>
      <c r="P60" s="781"/>
      <c r="Q60" s="30"/>
      <c r="R60" s="37"/>
    </row>
    <row r="61" spans="1:32" s="32" customFormat="1" ht="11.25" x14ac:dyDescent="0.25">
      <c r="A61" s="33"/>
      <c r="B61" s="33"/>
      <c r="C61" s="33"/>
      <c r="D61" s="38"/>
      <c r="E61" s="29"/>
      <c r="F61" s="29"/>
      <c r="G61" s="29"/>
      <c r="H61" s="30"/>
      <c r="I61" s="28"/>
      <c r="J61" s="28"/>
      <c r="K61" s="28"/>
      <c r="L61" s="28"/>
      <c r="M61" s="28"/>
      <c r="N61" s="39"/>
      <c r="O61" s="39"/>
      <c r="P61" s="28"/>
      <c r="Q61" s="28"/>
      <c r="R61" s="37"/>
    </row>
    <row r="62" spans="1:32" s="40" customFormat="1" ht="5.25" customHeight="1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 spans="1:32" s="40" customFormat="1" ht="12.75" customHeight="1" x14ac:dyDescent="0.2">
      <c r="A63" s="782" t="s">
        <v>244</v>
      </c>
      <c r="B63" s="783" t="s">
        <v>245</v>
      </c>
      <c r="C63" s="394"/>
      <c r="D63" s="784" t="s">
        <v>246</v>
      </c>
      <c r="E63" s="785"/>
      <c r="F63" s="785"/>
      <c r="G63" s="785"/>
      <c r="H63" s="785"/>
      <c r="I63" s="785"/>
      <c r="J63" s="785"/>
      <c r="K63" s="785"/>
      <c r="L63" s="785"/>
      <c r="M63" s="785"/>
      <c r="N63" s="785"/>
      <c r="O63" s="785"/>
      <c r="P63" s="785"/>
      <c r="Q63" s="786" t="s">
        <v>247</v>
      </c>
      <c r="R63" s="786"/>
    </row>
    <row r="64" spans="1:32" s="40" customFormat="1" ht="12.75" customHeight="1" x14ac:dyDescent="0.2">
      <c r="A64" s="782"/>
      <c r="B64" s="783"/>
      <c r="C64" s="395"/>
      <c r="D64" s="784" t="s">
        <v>248</v>
      </c>
      <c r="E64" s="785"/>
      <c r="F64" s="785"/>
      <c r="G64" s="785"/>
      <c r="H64" s="785"/>
      <c r="I64" s="788" t="s">
        <v>249</v>
      </c>
      <c r="J64" s="788"/>
      <c r="K64" s="788"/>
      <c r="L64" s="788"/>
      <c r="M64" s="788"/>
      <c r="N64" s="788"/>
      <c r="O64" s="788"/>
      <c r="P64" s="787" t="s">
        <v>250</v>
      </c>
      <c r="Q64" s="786"/>
      <c r="R64" s="786"/>
    </row>
    <row r="65" spans="1:32" s="40" customFormat="1" ht="15.2" customHeight="1" x14ac:dyDescent="0.2">
      <c r="A65" s="782"/>
      <c r="B65" s="783"/>
      <c r="C65" s="395"/>
      <c r="D65" s="784" t="s">
        <v>251</v>
      </c>
      <c r="E65" s="785"/>
      <c r="F65" s="786" t="s">
        <v>252</v>
      </c>
      <c r="G65" s="786" t="s">
        <v>881</v>
      </c>
      <c r="H65" s="782" t="s">
        <v>253</v>
      </c>
      <c r="I65" s="789" t="s">
        <v>254</v>
      </c>
      <c r="J65" s="788" t="s">
        <v>255</v>
      </c>
      <c r="K65" s="788"/>
      <c r="L65" s="787" t="s">
        <v>256</v>
      </c>
      <c r="M65" s="787" t="s">
        <v>257</v>
      </c>
      <c r="N65" s="787" t="s">
        <v>258</v>
      </c>
      <c r="O65" s="787" t="s">
        <v>259</v>
      </c>
      <c r="P65" s="787"/>
      <c r="Q65" s="787" t="s">
        <v>260</v>
      </c>
      <c r="R65" s="782" t="s">
        <v>261</v>
      </c>
    </row>
    <row r="66" spans="1:32" s="40" customFormat="1" ht="33.75" customHeight="1" x14ac:dyDescent="0.2">
      <c r="A66" s="782"/>
      <c r="B66" s="783"/>
      <c r="C66" s="432" t="s">
        <v>844</v>
      </c>
      <c r="D66" s="433" t="s">
        <v>262</v>
      </c>
      <c r="E66" s="74" t="s">
        <v>263</v>
      </c>
      <c r="F66" s="786"/>
      <c r="G66" s="786"/>
      <c r="H66" s="782"/>
      <c r="I66" s="789"/>
      <c r="J66" s="75" t="s">
        <v>231</v>
      </c>
      <c r="K66" s="75" t="s">
        <v>264</v>
      </c>
      <c r="L66" s="787"/>
      <c r="M66" s="787"/>
      <c r="N66" s="787"/>
      <c r="O66" s="787"/>
      <c r="P66" s="787"/>
      <c r="Q66" s="787"/>
      <c r="R66" s="782"/>
    </row>
    <row r="67" spans="1:32" s="41" customFormat="1" ht="12" customHeight="1" x14ac:dyDescent="0.25">
      <c r="A67" s="276">
        <v>1</v>
      </c>
      <c r="B67" s="276">
        <v>2</v>
      </c>
      <c r="C67" s="434"/>
      <c r="D67" s="42">
        <v>3</v>
      </c>
      <c r="E67" s="42">
        <v>4</v>
      </c>
      <c r="F67" s="42">
        <v>5</v>
      </c>
      <c r="G67" s="42">
        <v>5.0999999999999996</v>
      </c>
      <c r="H67" s="42">
        <v>6</v>
      </c>
      <c r="I67" s="43">
        <v>7</v>
      </c>
      <c r="J67" s="43">
        <v>8</v>
      </c>
      <c r="K67" s="43">
        <v>9</v>
      </c>
      <c r="L67" s="43">
        <v>10</v>
      </c>
      <c r="M67" s="43">
        <v>11</v>
      </c>
      <c r="N67" s="43">
        <v>12</v>
      </c>
      <c r="O67" s="43">
        <v>13</v>
      </c>
      <c r="P67" s="43">
        <v>14</v>
      </c>
      <c r="Q67" s="43">
        <v>15</v>
      </c>
      <c r="R67" s="42">
        <v>16</v>
      </c>
    </row>
    <row r="68" spans="1:32" x14ac:dyDescent="0.25">
      <c r="A68" s="705">
        <v>1</v>
      </c>
      <c r="B68" s="706" t="s">
        <v>618</v>
      </c>
      <c r="C68" s="27" t="s">
        <v>845</v>
      </c>
      <c r="D68" s="284">
        <v>0</v>
      </c>
      <c r="E68" s="72">
        <v>0.1</v>
      </c>
      <c r="F68" s="72">
        <v>0.1</v>
      </c>
      <c r="G68" s="72">
        <v>4.5</v>
      </c>
      <c r="H68" s="22" t="s">
        <v>0</v>
      </c>
      <c r="I68" s="18"/>
      <c r="J68" s="18"/>
      <c r="K68" s="18"/>
      <c r="L68" s="18"/>
      <c r="M68" s="18"/>
      <c r="N68" s="18"/>
      <c r="O68" s="18"/>
      <c r="P68" s="18"/>
      <c r="Q68" s="23" t="s">
        <v>613</v>
      </c>
      <c r="R68" s="23">
        <v>80640050150</v>
      </c>
    </row>
    <row r="69" spans="1:32" x14ac:dyDescent="0.25">
      <c r="A69" s="707"/>
      <c r="B69" s="708"/>
      <c r="C69" s="27" t="s">
        <v>845</v>
      </c>
      <c r="D69" s="284">
        <v>0.1</v>
      </c>
      <c r="E69" s="72">
        <v>0.39</v>
      </c>
      <c r="F69" s="72">
        <v>0.19</v>
      </c>
      <c r="G69" s="72">
        <v>6</v>
      </c>
      <c r="H69" s="22" t="s">
        <v>0</v>
      </c>
      <c r="I69" s="18"/>
      <c r="J69" s="18"/>
      <c r="K69" s="18"/>
      <c r="L69" s="18"/>
      <c r="M69" s="18"/>
      <c r="N69" s="18"/>
      <c r="O69" s="18"/>
      <c r="P69" s="18"/>
      <c r="Q69" s="23">
        <v>80640050021</v>
      </c>
      <c r="R69" s="455" t="s">
        <v>859</v>
      </c>
    </row>
    <row r="70" spans="1:32" x14ac:dyDescent="0.25">
      <c r="A70" s="707"/>
      <c r="B70" s="708"/>
      <c r="C70" s="27" t="s">
        <v>845</v>
      </c>
      <c r="D70" s="284">
        <v>0.39</v>
      </c>
      <c r="E70" s="72">
        <v>1.3</v>
      </c>
      <c r="F70" s="72">
        <v>0.91</v>
      </c>
      <c r="G70" s="72">
        <v>5</v>
      </c>
      <c r="H70" s="22" t="s">
        <v>0</v>
      </c>
      <c r="I70" s="18"/>
      <c r="J70" s="18"/>
      <c r="K70" s="18"/>
      <c r="L70" s="18"/>
      <c r="M70" s="18"/>
      <c r="N70" s="18"/>
      <c r="O70" s="18"/>
      <c r="P70" s="18"/>
      <c r="Q70" s="23">
        <v>80640050140</v>
      </c>
      <c r="R70" s="23">
        <v>80640050140</v>
      </c>
    </row>
    <row r="71" spans="1:32" x14ac:dyDescent="0.25">
      <c r="A71" s="707"/>
      <c r="B71" s="708"/>
      <c r="C71" s="27" t="s">
        <v>845</v>
      </c>
      <c r="D71" s="284">
        <v>1.3</v>
      </c>
      <c r="E71" s="72">
        <v>1.58</v>
      </c>
      <c r="F71" s="72">
        <f>E71-D71</f>
        <v>0.28000000000000003</v>
      </c>
      <c r="G71" s="72">
        <v>4</v>
      </c>
      <c r="H71" s="22" t="s">
        <v>0</v>
      </c>
      <c r="I71" s="18"/>
      <c r="J71" s="18"/>
      <c r="K71" s="18"/>
      <c r="L71" s="18"/>
      <c r="M71" s="18"/>
      <c r="N71" s="18"/>
      <c r="O71" s="18"/>
      <c r="P71" s="18"/>
      <c r="Q71" s="19">
        <v>80640080045</v>
      </c>
      <c r="R71" s="455" t="s">
        <v>859</v>
      </c>
    </row>
    <row r="72" spans="1:32" x14ac:dyDescent="0.25">
      <c r="A72" s="707"/>
      <c r="B72" s="708"/>
      <c r="C72" s="27" t="s">
        <v>845</v>
      </c>
      <c r="D72" s="284">
        <v>1.58</v>
      </c>
      <c r="E72" s="72">
        <v>1.95</v>
      </c>
      <c r="F72" s="72">
        <v>0.37</v>
      </c>
      <c r="G72" s="72">
        <v>4</v>
      </c>
      <c r="H72" s="22" t="s">
        <v>0</v>
      </c>
      <c r="I72" s="18"/>
      <c r="J72" s="18"/>
      <c r="K72" s="18"/>
      <c r="L72" s="18"/>
      <c r="M72" s="18"/>
      <c r="N72" s="18"/>
      <c r="O72" s="18"/>
      <c r="P72" s="18"/>
      <c r="Q72" s="23">
        <v>80640080201</v>
      </c>
      <c r="R72" s="23" t="s">
        <v>614</v>
      </c>
    </row>
    <row r="73" spans="1:32" x14ac:dyDescent="0.25">
      <c r="A73" s="705">
        <v>2</v>
      </c>
      <c r="B73" s="706" t="s">
        <v>619</v>
      </c>
      <c r="C73" s="27" t="s">
        <v>845</v>
      </c>
      <c r="D73" s="284">
        <v>0</v>
      </c>
      <c r="E73" s="72">
        <v>2.2999999999999998</v>
      </c>
      <c r="F73" s="72">
        <v>2.2999999999999998</v>
      </c>
      <c r="G73" s="72">
        <v>4</v>
      </c>
      <c r="H73" s="22" t="s">
        <v>0</v>
      </c>
      <c r="I73" s="18"/>
      <c r="J73" s="18"/>
      <c r="K73" s="18"/>
      <c r="L73" s="18"/>
      <c r="M73" s="18"/>
      <c r="N73" s="18"/>
      <c r="O73" s="18"/>
      <c r="P73" s="18"/>
      <c r="Q73" s="23">
        <v>80640060801</v>
      </c>
      <c r="R73" s="23" t="s">
        <v>615</v>
      </c>
    </row>
    <row r="74" spans="1:32" x14ac:dyDescent="0.25">
      <c r="A74" s="598"/>
      <c r="B74" s="709"/>
      <c r="C74" s="27" t="s">
        <v>845</v>
      </c>
      <c r="D74" s="284">
        <v>2.48</v>
      </c>
      <c r="E74" s="72">
        <v>3.78</v>
      </c>
      <c r="F74" s="72">
        <v>1.3</v>
      </c>
      <c r="G74" s="72">
        <v>6.5</v>
      </c>
      <c r="H74" s="22" t="s">
        <v>0</v>
      </c>
      <c r="I74" s="18"/>
      <c r="J74" s="18"/>
      <c r="K74" s="18"/>
      <c r="L74" s="18"/>
      <c r="M74" s="18"/>
      <c r="N74" s="18"/>
      <c r="O74" s="18"/>
      <c r="P74" s="18"/>
      <c r="Q74" s="23" t="s">
        <v>616</v>
      </c>
      <c r="R74" s="23" t="s">
        <v>616</v>
      </c>
    </row>
    <row r="75" spans="1:32" x14ac:dyDescent="0.25">
      <c r="A75" s="598">
        <v>3</v>
      </c>
      <c r="B75" s="16" t="s">
        <v>620</v>
      </c>
      <c r="C75" s="448" t="s">
        <v>845</v>
      </c>
      <c r="D75" s="72">
        <v>0</v>
      </c>
      <c r="E75" s="72">
        <v>0.76</v>
      </c>
      <c r="F75" s="72">
        <v>0.76</v>
      </c>
      <c r="G75" s="72">
        <v>6</v>
      </c>
      <c r="H75" s="22" t="s">
        <v>0</v>
      </c>
      <c r="I75" s="18"/>
      <c r="J75" s="18"/>
      <c r="K75" s="18"/>
      <c r="L75" s="18"/>
      <c r="M75" s="18"/>
      <c r="N75" s="18"/>
      <c r="O75" s="18"/>
      <c r="P75" s="18"/>
      <c r="Q75" s="23">
        <v>80640020619</v>
      </c>
      <c r="R75" s="23" t="s">
        <v>617</v>
      </c>
      <c r="AA75" t="s">
        <v>1097</v>
      </c>
    </row>
    <row r="76" spans="1:32" ht="23.25" x14ac:dyDescent="0.25">
      <c r="F76" s="25"/>
      <c r="G76" s="25"/>
      <c r="S76" s="102"/>
      <c r="T76" s="625" t="s">
        <v>1092</v>
      </c>
      <c r="U76" s="625" t="s">
        <v>1093</v>
      </c>
      <c r="V76" s="625" t="s">
        <v>1094</v>
      </c>
      <c r="W76" s="625" t="s">
        <v>1095</v>
      </c>
      <c r="X76" s="625" t="s">
        <v>1096</v>
      </c>
      <c r="Y76" s="627" t="s">
        <v>269</v>
      </c>
      <c r="Z76" s="102"/>
      <c r="AA76" s="625" t="s">
        <v>1092</v>
      </c>
      <c r="AB76" s="625" t="s">
        <v>1093</v>
      </c>
      <c r="AC76" s="625" t="s">
        <v>1094</v>
      </c>
      <c r="AD76" s="625" t="s">
        <v>1095</v>
      </c>
      <c r="AE76" s="625" t="s">
        <v>1096</v>
      </c>
      <c r="AF76" s="627" t="s">
        <v>269</v>
      </c>
    </row>
    <row r="77" spans="1:32" s="1" customFormat="1" ht="11.25" x14ac:dyDescent="0.2">
      <c r="A77" s="46" t="s">
        <v>621</v>
      </c>
      <c r="B77" s="47"/>
      <c r="C77" s="47"/>
      <c r="D77" s="48"/>
      <c r="E77" s="49"/>
      <c r="F77" s="50">
        <f>SUM(F68:F75)</f>
        <v>6.21</v>
      </c>
      <c r="G77" s="688"/>
      <c r="H77" s="696"/>
      <c r="I77" s="40"/>
      <c r="J77" s="52"/>
      <c r="K77" s="53" t="s">
        <v>268</v>
      </c>
      <c r="L77" s="50">
        <f>SUM(L74:L75)</f>
        <v>0</v>
      </c>
      <c r="M77" s="50">
        <f>SUM(M74:M75)</f>
        <v>0</v>
      </c>
      <c r="N77" s="55"/>
      <c r="O77" s="53" t="s">
        <v>269</v>
      </c>
      <c r="P77" s="50">
        <f>SUM(P74:P75)</f>
        <v>0</v>
      </c>
      <c r="Q77" s="55"/>
      <c r="S77" s="628" t="s">
        <v>844</v>
      </c>
      <c r="T77" s="625" t="s">
        <v>231</v>
      </c>
      <c r="U77" s="625" t="s">
        <v>231</v>
      </c>
      <c r="V77" s="625" t="s">
        <v>231</v>
      </c>
      <c r="W77" s="625" t="s">
        <v>231</v>
      </c>
      <c r="X77" s="625" t="s">
        <v>231</v>
      </c>
      <c r="Y77" s="626" t="s">
        <v>231</v>
      </c>
      <c r="Z77" s="628"/>
      <c r="AA77" s="625" t="s">
        <v>231</v>
      </c>
      <c r="AB77" s="625" t="s">
        <v>231</v>
      </c>
      <c r="AC77" s="625" t="s">
        <v>231</v>
      </c>
      <c r="AD77" s="625" t="s">
        <v>231</v>
      </c>
      <c r="AE77" s="625" t="s">
        <v>231</v>
      </c>
      <c r="AF77" s="626" t="s">
        <v>231</v>
      </c>
    </row>
    <row r="78" spans="1:32" s="1" customFormat="1" ht="11.25" x14ac:dyDescent="0.2">
      <c r="A78" s="56" t="s">
        <v>270</v>
      </c>
      <c r="B78" s="57"/>
      <c r="C78" s="57"/>
      <c r="D78" s="58"/>
      <c r="E78" s="59"/>
      <c r="F78" s="60">
        <v>0</v>
      </c>
      <c r="G78" s="81"/>
      <c r="H78" s="61"/>
      <c r="I78" s="62"/>
      <c r="J78" s="55"/>
      <c r="K78" s="63"/>
      <c r="L78" s="64"/>
      <c r="M78" s="64"/>
      <c r="N78" s="55"/>
      <c r="O78" s="55"/>
      <c r="P78" s="55"/>
      <c r="Q78" s="55"/>
      <c r="S78" s="616" t="s">
        <v>847</v>
      </c>
      <c r="T78" s="614">
        <f>SUMIFS(F68:F75,C68:C75,"A",H68:H75,"melnais")</f>
        <v>0</v>
      </c>
      <c r="U78" s="614">
        <f>SUMIFS(F68:F75,C68:C75,"A",H68:H75,"dubultā virsma")</f>
        <v>0</v>
      </c>
      <c r="V78" s="614">
        <f>SUMIFS(F68:F75,C68:C75,"A",H68:H75,"bruģis")</f>
        <v>0</v>
      </c>
      <c r="W78" s="614">
        <f>SUMIFS(F68:F75,C68:C75,"A",H68:H75,"grants")</f>
        <v>0</v>
      </c>
      <c r="X78" s="614">
        <f>SUMIFS(F68:F75,C68:C75,"A",H68:H75,"cits segums")</f>
        <v>0</v>
      </c>
      <c r="Y78" s="614">
        <f>SUM(T78:X78)</f>
        <v>0</v>
      </c>
      <c r="Z78" s="616" t="s">
        <v>847</v>
      </c>
      <c r="AA78" s="614">
        <f>SUMIFS(F68:F75,C68:C75,"A",H68:H75,"melnais", R68:R75,"Nepiederošs")</f>
        <v>0</v>
      </c>
      <c r="AB78" s="614">
        <f>SUMIFS(F68:F75,C68:C75,"A",H68:H75,"dubultā virsma", R68:R75,"Nepiederošs")</f>
        <v>0</v>
      </c>
      <c r="AC78" s="614">
        <f>SUMIFS(F68:F75,C68:C75,"A",H68:H75,"bruģis", R68:R75,"Nepiederošs")</f>
        <v>0</v>
      </c>
      <c r="AD78" s="614">
        <f>SUMIFS(F68:F75,C68:C75,"A",H68:H75,"grants", R68:R75,"Nepiederošs")</f>
        <v>0</v>
      </c>
      <c r="AE78" s="614">
        <f>SUMIFS(F68:F75,C68:C75,"A",H68:H75,"cits segums", R68:R75,"Nepiederošs")</f>
        <v>0</v>
      </c>
      <c r="AF78" s="614">
        <f>SUM(AA78:AE78)</f>
        <v>0</v>
      </c>
    </row>
    <row r="79" spans="1:32" s="1" customFormat="1" ht="11.25" x14ac:dyDescent="0.2">
      <c r="A79" s="56" t="s">
        <v>271</v>
      </c>
      <c r="B79" s="57"/>
      <c r="C79" s="57"/>
      <c r="D79" s="58"/>
      <c r="E79" s="59"/>
      <c r="F79" s="60">
        <v>0</v>
      </c>
      <c r="G79" s="81"/>
      <c r="H79" s="65"/>
      <c r="I79" s="40"/>
      <c r="J79" s="66"/>
      <c r="K79" s="67"/>
      <c r="L79" s="67"/>
      <c r="M79" s="67"/>
      <c r="N79" s="68"/>
      <c r="O79" s="55"/>
      <c r="P79" s="55"/>
      <c r="Q79" s="55"/>
      <c r="S79" s="617" t="s">
        <v>848</v>
      </c>
      <c r="T79" s="614">
        <f>SUMIFS(F68:F75,C68:C75,"B",H68:H75,"melnais")</f>
        <v>0</v>
      </c>
      <c r="U79" s="614">
        <f>SUMIFS(F68:F75,C68:C75,"B",H68:H75,"dubultā virsma")</f>
        <v>0</v>
      </c>
      <c r="V79" s="614">
        <f>SUMIFS(F68:F75,C68:C75,"B",H68:H75,"bruģis")</f>
        <v>0</v>
      </c>
      <c r="W79" s="614">
        <f>SUMIFS(F68:F75,C68:C75,"B",H68:H75,"grants")</f>
        <v>0</v>
      </c>
      <c r="X79" s="614">
        <f>SUMIFS(F68:F75,C68:C75,"B",H68:H75,"cits segums")</f>
        <v>0</v>
      </c>
      <c r="Y79" s="614">
        <f t="shared" ref="Y79:Y81" si="35">SUM(T79:X79)</f>
        <v>0</v>
      </c>
      <c r="Z79" s="617" t="s">
        <v>848</v>
      </c>
      <c r="AA79" s="614">
        <f>SUMIFS(F68:F75,C68:C75,"B",H68:H75,"melnais", R68:R75,"Nepiederošs")</f>
        <v>0</v>
      </c>
      <c r="AB79" s="614">
        <f>SUMIFS(F68:F75,C68:C75,"B",H68:H75,"dubultā virsma", R68:R75,"Nepiederošs")</f>
        <v>0</v>
      </c>
      <c r="AC79" s="614">
        <f>SUMIFS(F68:F75,C68:C75,"B",H68:H75,"bruģis", R68:R75,"Nepiederošs")</f>
        <v>0</v>
      </c>
      <c r="AD79" s="614">
        <f>SUMIFS(F68:F75,C68:C75,"B",H68:H75,"grants", R68:R75,"Nepiederošs")</f>
        <v>0</v>
      </c>
      <c r="AE79" s="614">
        <f>SUMIFS(F68:F75,C68:C75,"B",H68:H75,"cits segums", R68:R75,"Nepiederošs")</f>
        <v>0</v>
      </c>
      <c r="AF79" s="614">
        <f t="shared" ref="AF79:AF81" si="36">SUM(AA79:AE79)</f>
        <v>0</v>
      </c>
    </row>
    <row r="80" spans="1:32" s="1" customFormat="1" ht="11.25" x14ac:dyDescent="0.2">
      <c r="A80" s="56" t="s">
        <v>272</v>
      </c>
      <c r="B80" s="57"/>
      <c r="C80" s="57"/>
      <c r="D80" s="58"/>
      <c r="E80" s="59"/>
      <c r="F80" s="60">
        <f>F77-F78-F81-F79</f>
        <v>6.21</v>
      </c>
      <c r="G80" s="81"/>
      <c r="H80" s="65"/>
      <c r="I80" s="65"/>
      <c r="J80" s="66"/>
      <c r="K80" s="67"/>
      <c r="L80" s="67"/>
      <c r="M80" s="67"/>
      <c r="N80" s="68"/>
      <c r="O80" s="55"/>
      <c r="P80" s="55"/>
      <c r="Q80" s="55"/>
      <c r="S80" s="615" t="s">
        <v>845</v>
      </c>
      <c r="T80" s="614">
        <f>SUMIFS(F68:F75,C68:C75,"C",H68:H75,"melnais")</f>
        <v>0</v>
      </c>
      <c r="U80" s="614">
        <f>SUMIFS(F68:F75,C68:C75,"C",H68:H75,"dubultā virsma")</f>
        <v>0</v>
      </c>
      <c r="V80" s="614">
        <f>SUMIFS(F68:F75,C68:C75,"C",H68:H75,"bruģis")</f>
        <v>0</v>
      </c>
      <c r="W80" s="614">
        <f>SUMIFS(F68:F75,C68:C75,"C",H68:H75,"grants")</f>
        <v>6.21</v>
      </c>
      <c r="X80" s="614">
        <f>SUMIFS(F68:F75,C68:C75,"C",H68:H75,"cits segums")</f>
        <v>0</v>
      </c>
      <c r="Y80" s="614">
        <f t="shared" si="35"/>
        <v>6.21</v>
      </c>
      <c r="Z80" s="615" t="s">
        <v>845</v>
      </c>
      <c r="AA80" s="614">
        <f>SUMIFS(F68:F75,C68:C75,"C",H68:H75,"melnais", R68:R75,"Nepiederošs")</f>
        <v>0</v>
      </c>
      <c r="AB80" s="614">
        <f>SUMIFS(F68:F75,C68:C75,"C",H68:H75,"dubultā virsma", R68:R75,"Nepiederošs")</f>
        <v>0</v>
      </c>
      <c r="AC80" s="614">
        <f>SUMIFS(F68:F75,C68:C75,"C",H68:H75,"bruģis", R68:R75,"Nepiederošs")</f>
        <v>0</v>
      </c>
      <c r="AD80" s="614">
        <f>SUMIFS(F68:F75,C68:C75,"C",H68:H75,"grants", R68:R75,"Nepiederošs")</f>
        <v>0.47000000000000003</v>
      </c>
      <c r="AE80" s="614">
        <f>SUMIFS(F68:F75,C68:C75,"C",H68:H75,"cits segums", R68:R75,"Nepiederošs")</f>
        <v>0</v>
      </c>
      <c r="AF80" s="614">
        <f t="shared" si="36"/>
        <v>0.47000000000000003</v>
      </c>
    </row>
    <row r="81" spans="1:32" s="1" customFormat="1" ht="11.25" x14ac:dyDescent="0.2">
      <c r="A81" s="56" t="s">
        <v>273</v>
      </c>
      <c r="B81" s="57"/>
      <c r="C81" s="57"/>
      <c r="D81" s="58"/>
      <c r="E81" s="59"/>
      <c r="F81" s="60">
        <v>0</v>
      </c>
      <c r="G81" s="81"/>
      <c r="H81" s="69"/>
      <c r="I81" s="65"/>
      <c r="J81" s="70"/>
      <c r="K81" s="67"/>
      <c r="L81" s="67"/>
      <c r="M81" s="67"/>
      <c r="N81" s="68"/>
      <c r="O81" s="55"/>
      <c r="P81" s="55"/>
      <c r="Q81" s="55"/>
      <c r="S81" s="616" t="s">
        <v>846</v>
      </c>
      <c r="T81" s="614">
        <f>SUMIFS(F68:F75,C68:C75,"D",H68:H75,"melnais")</f>
        <v>0</v>
      </c>
      <c r="U81" s="614">
        <f>SUMIFS(F68:F75,C68:C75,"D",H68:H75,"dubultā virsma")</f>
        <v>0</v>
      </c>
      <c r="V81" s="614">
        <f>SUMIFS(F68:F75,C68:C75,"D",H68:H75,"bruģis")</f>
        <v>0</v>
      </c>
      <c r="W81" s="614">
        <f>SUMIFS(F68:F75,C68:C75,"D",H68:H75,"grants")</f>
        <v>0</v>
      </c>
      <c r="X81" s="614">
        <f>SUMIFS(F68:F75,C68:C75,"D",H68:H75,"cits segums")</f>
        <v>0</v>
      </c>
      <c r="Y81" s="614">
        <f t="shared" si="35"/>
        <v>0</v>
      </c>
      <c r="Z81" s="616" t="s">
        <v>846</v>
      </c>
      <c r="AA81" s="614">
        <f>SUMIFS(F68:F75,C68:C75,"D",H68:H75,"melnais", R68:R75,"Nepiederošs")</f>
        <v>0</v>
      </c>
      <c r="AB81" s="614">
        <f>SUMIFS(F68:F75,C68:C75,"D",H68:H75,"dubultā virsma", R68:R75,"Nepiederošs")</f>
        <v>0</v>
      </c>
      <c r="AC81" s="614">
        <f>SUMIFS(F68:F75,C68:C75,"D",H68:H75,"bruģis", R68:R75,"Nepiederošs")</f>
        <v>0</v>
      </c>
      <c r="AD81" s="614">
        <f>SUMIFS(F68:F75,C68:C75,"D",H68:H75,"grants", R68:R75,"Nepiederošs")</f>
        <v>0</v>
      </c>
      <c r="AE81" s="614">
        <f>SUMIFS(F68:F75,C68:C75,"D",H68:H75,"cits segums", R68:R75,"Nepiederošs")</f>
        <v>0</v>
      </c>
      <c r="AF81" s="614">
        <f t="shared" si="36"/>
        <v>0</v>
      </c>
    </row>
    <row r="82" spans="1:32" x14ac:dyDescent="0.25">
      <c r="T82" s="629">
        <f>SUM(T78:T81)</f>
        <v>0</v>
      </c>
      <c r="U82" s="629">
        <f t="shared" ref="U82" si="37">SUM(U78:U81)</f>
        <v>0</v>
      </c>
      <c r="V82" s="629">
        <f t="shared" ref="V82" si="38">SUM(V78:V81)</f>
        <v>0</v>
      </c>
      <c r="W82" s="629">
        <f t="shared" ref="W82" si="39">SUM(W78:W81)</f>
        <v>6.21</v>
      </c>
      <c r="X82" s="629">
        <f t="shared" ref="X82" si="40">SUM(X78:X81)</f>
        <v>0</v>
      </c>
      <c r="Y82" s="629">
        <f t="shared" ref="Y82" si="41">SUM(Y78:Y81)</f>
        <v>6.21</v>
      </c>
      <c r="AA82" s="629">
        <f>SUM(AA78:AA81)</f>
        <v>0</v>
      </c>
      <c r="AB82" s="629">
        <f t="shared" ref="AB82" si="42">SUM(AB78:AB81)</f>
        <v>0</v>
      </c>
      <c r="AC82" s="629">
        <f t="shared" ref="AC82" si="43">SUM(AC78:AC81)</f>
        <v>0</v>
      </c>
      <c r="AD82" s="629">
        <f t="shared" ref="AD82" si="44">SUM(AD78:AD81)</f>
        <v>0.47000000000000003</v>
      </c>
      <c r="AE82" s="629">
        <f t="shared" ref="AE82" si="45">SUM(AE78:AE81)</f>
        <v>0</v>
      </c>
      <c r="AF82" s="629">
        <f t="shared" ref="AF82" si="46">SUM(AF78:AF81)</f>
        <v>0.47000000000000003</v>
      </c>
    </row>
    <row r="83" spans="1:32" s="32" customFormat="1" ht="15" customHeight="1" x14ac:dyDescent="0.25">
      <c r="A83" s="33"/>
      <c r="B83" s="33"/>
      <c r="C83" s="33"/>
      <c r="D83" s="781" t="s">
        <v>1047</v>
      </c>
      <c r="E83" s="781"/>
      <c r="F83" s="781"/>
      <c r="G83" s="781"/>
      <c r="H83" s="781"/>
      <c r="I83" s="781"/>
      <c r="J83" s="781"/>
      <c r="K83" s="781"/>
      <c r="L83" s="781"/>
      <c r="M83" s="781"/>
      <c r="N83" s="781"/>
      <c r="O83" s="781"/>
      <c r="P83" s="781"/>
      <c r="Q83" s="30"/>
      <c r="R83" s="37"/>
    </row>
    <row r="84" spans="1:32" s="32" customFormat="1" ht="11.25" x14ac:dyDescent="0.25">
      <c r="A84" s="33"/>
      <c r="B84" s="33"/>
      <c r="C84" s="33"/>
      <c r="D84" s="38"/>
      <c r="E84" s="29"/>
      <c r="F84" s="29"/>
      <c r="G84" s="29"/>
      <c r="H84" s="30"/>
      <c r="I84" s="28"/>
      <c r="J84" s="28"/>
      <c r="K84" s="28"/>
      <c r="L84" s="28"/>
      <c r="M84" s="28"/>
      <c r="N84" s="39"/>
      <c r="O84" s="39"/>
      <c r="P84" s="28"/>
      <c r="Q84" s="28"/>
      <c r="R84" s="37"/>
    </row>
    <row r="85" spans="1:32" s="40" customFormat="1" ht="5.25" customHeight="1" x14ac:dyDescent="0.2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</row>
    <row r="86" spans="1:32" s="40" customFormat="1" ht="12.75" customHeight="1" x14ac:dyDescent="0.2">
      <c r="A86" s="782" t="s">
        <v>244</v>
      </c>
      <c r="B86" s="783" t="s">
        <v>245</v>
      </c>
      <c r="C86" s="394"/>
      <c r="D86" s="784" t="s">
        <v>246</v>
      </c>
      <c r="E86" s="785"/>
      <c r="F86" s="785"/>
      <c r="G86" s="785"/>
      <c r="H86" s="785"/>
      <c r="I86" s="785"/>
      <c r="J86" s="785"/>
      <c r="K86" s="785"/>
      <c r="L86" s="785"/>
      <c r="M86" s="785"/>
      <c r="N86" s="785"/>
      <c r="O86" s="785"/>
      <c r="P86" s="785"/>
      <c r="Q86" s="786" t="s">
        <v>247</v>
      </c>
      <c r="R86" s="786"/>
    </row>
    <row r="87" spans="1:32" s="40" customFormat="1" ht="12.75" customHeight="1" x14ac:dyDescent="0.2">
      <c r="A87" s="782"/>
      <c r="B87" s="783"/>
      <c r="C87" s="395"/>
      <c r="D87" s="784" t="s">
        <v>248</v>
      </c>
      <c r="E87" s="785"/>
      <c r="F87" s="785"/>
      <c r="G87" s="785"/>
      <c r="H87" s="785"/>
      <c r="I87" s="788" t="s">
        <v>249</v>
      </c>
      <c r="J87" s="788"/>
      <c r="K87" s="788"/>
      <c r="L87" s="788"/>
      <c r="M87" s="788"/>
      <c r="N87" s="788"/>
      <c r="O87" s="788"/>
      <c r="P87" s="787" t="s">
        <v>250</v>
      </c>
      <c r="Q87" s="786"/>
      <c r="R87" s="786"/>
    </row>
    <row r="88" spans="1:32" s="40" customFormat="1" ht="15.2" customHeight="1" x14ac:dyDescent="0.2">
      <c r="A88" s="782"/>
      <c r="B88" s="783"/>
      <c r="C88" s="395"/>
      <c r="D88" s="784" t="s">
        <v>251</v>
      </c>
      <c r="E88" s="785"/>
      <c r="F88" s="786" t="s">
        <v>252</v>
      </c>
      <c r="G88" s="786" t="s">
        <v>881</v>
      </c>
      <c r="H88" s="782" t="s">
        <v>253</v>
      </c>
      <c r="I88" s="789" t="s">
        <v>254</v>
      </c>
      <c r="J88" s="788" t="s">
        <v>255</v>
      </c>
      <c r="K88" s="788"/>
      <c r="L88" s="787" t="s">
        <v>256</v>
      </c>
      <c r="M88" s="787" t="s">
        <v>257</v>
      </c>
      <c r="N88" s="787" t="s">
        <v>258</v>
      </c>
      <c r="O88" s="787" t="s">
        <v>259</v>
      </c>
      <c r="P88" s="787"/>
      <c r="Q88" s="787" t="s">
        <v>260</v>
      </c>
      <c r="R88" s="782" t="s">
        <v>261</v>
      </c>
    </row>
    <row r="89" spans="1:32" s="40" customFormat="1" ht="33.75" customHeight="1" x14ac:dyDescent="0.2">
      <c r="A89" s="782"/>
      <c r="B89" s="783"/>
      <c r="C89" s="432" t="s">
        <v>844</v>
      </c>
      <c r="D89" s="433" t="s">
        <v>262</v>
      </c>
      <c r="E89" s="74" t="s">
        <v>263</v>
      </c>
      <c r="F89" s="786"/>
      <c r="G89" s="786"/>
      <c r="H89" s="782"/>
      <c r="I89" s="789"/>
      <c r="J89" s="75" t="s">
        <v>231</v>
      </c>
      <c r="K89" s="75" t="s">
        <v>264</v>
      </c>
      <c r="L89" s="787"/>
      <c r="M89" s="787"/>
      <c r="N89" s="787"/>
      <c r="O89" s="787"/>
      <c r="P89" s="787"/>
      <c r="Q89" s="787"/>
      <c r="R89" s="782"/>
    </row>
    <row r="90" spans="1:32" s="41" customFormat="1" ht="12" customHeight="1" x14ac:dyDescent="0.25">
      <c r="A90" s="276">
        <v>1</v>
      </c>
      <c r="B90" s="276">
        <v>2</v>
      </c>
      <c r="C90" s="434"/>
      <c r="D90" s="276">
        <v>3</v>
      </c>
      <c r="E90" s="276">
        <v>4</v>
      </c>
      <c r="F90" s="276">
        <v>5</v>
      </c>
      <c r="G90" s="42">
        <v>5.0999999999999996</v>
      </c>
      <c r="H90" s="276">
        <v>6</v>
      </c>
      <c r="I90" s="292">
        <v>7</v>
      </c>
      <c r="J90" s="292">
        <v>8</v>
      </c>
      <c r="K90" s="292">
        <v>9</v>
      </c>
      <c r="L90" s="292">
        <v>10</v>
      </c>
      <c r="M90" s="292">
        <v>11</v>
      </c>
      <c r="N90" s="292">
        <v>12</v>
      </c>
      <c r="O90" s="292">
        <v>13</v>
      </c>
      <c r="P90" s="292">
        <v>14</v>
      </c>
      <c r="Q90" s="292">
        <v>15</v>
      </c>
      <c r="R90" s="276">
        <v>16</v>
      </c>
    </row>
    <row r="91" spans="1:32" x14ac:dyDescent="0.25">
      <c r="A91" s="697">
        <v>1</v>
      </c>
      <c r="B91" s="698" t="s">
        <v>684</v>
      </c>
      <c r="C91" s="476" t="s">
        <v>845</v>
      </c>
      <c r="D91" s="284">
        <v>0</v>
      </c>
      <c r="E91" s="72">
        <v>0.75</v>
      </c>
      <c r="F91" s="72">
        <v>0.75</v>
      </c>
      <c r="G91" s="72">
        <v>5.5</v>
      </c>
      <c r="H91" s="22" t="s">
        <v>4</v>
      </c>
      <c r="I91" s="18"/>
      <c r="J91" s="18"/>
      <c r="K91" s="18"/>
      <c r="L91" s="18"/>
      <c r="M91" s="18"/>
      <c r="N91" s="18"/>
      <c r="O91" s="18"/>
      <c r="P91" s="18"/>
      <c r="Q91" s="23">
        <v>80680070496</v>
      </c>
      <c r="R91" s="23">
        <v>80680070496</v>
      </c>
    </row>
    <row r="92" spans="1:32" x14ac:dyDescent="0.25">
      <c r="A92" s="703"/>
      <c r="B92" s="704"/>
      <c r="C92" s="476" t="s">
        <v>845</v>
      </c>
      <c r="D92" s="284">
        <v>0.75</v>
      </c>
      <c r="E92" s="72">
        <v>1.25</v>
      </c>
      <c r="F92" s="72">
        <v>0.5</v>
      </c>
      <c r="G92" s="72">
        <v>5.5</v>
      </c>
      <c r="H92" s="22" t="s">
        <v>0</v>
      </c>
      <c r="I92" s="18"/>
      <c r="J92" s="18"/>
      <c r="K92" s="18"/>
      <c r="L92" s="18"/>
      <c r="M92" s="18"/>
      <c r="N92" s="18"/>
      <c r="O92" s="18"/>
      <c r="P92" s="18"/>
      <c r="Q92" s="23">
        <v>80680070496</v>
      </c>
      <c r="R92" s="23">
        <v>80680070496</v>
      </c>
    </row>
    <row r="93" spans="1:32" x14ac:dyDescent="0.25">
      <c r="A93" s="697">
        <v>2</v>
      </c>
      <c r="B93" s="698" t="s">
        <v>685</v>
      </c>
      <c r="C93" s="476" t="s">
        <v>845</v>
      </c>
      <c r="D93" s="284">
        <v>0</v>
      </c>
      <c r="E93" s="72">
        <v>2</v>
      </c>
      <c r="F93" s="72">
        <v>2</v>
      </c>
      <c r="G93" s="72">
        <v>4.5</v>
      </c>
      <c r="H93" s="22" t="s">
        <v>4</v>
      </c>
      <c r="I93" s="18"/>
      <c r="J93" s="18"/>
      <c r="K93" s="18"/>
      <c r="L93" s="18"/>
      <c r="M93" s="18"/>
      <c r="N93" s="18"/>
      <c r="O93" s="18"/>
      <c r="P93" s="18"/>
      <c r="Q93" s="23">
        <v>80680020259</v>
      </c>
      <c r="R93" s="23">
        <v>80680040066</v>
      </c>
    </row>
    <row r="94" spans="1:32" x14ac:dyDescent="0.25">
      <c r="A94" s="703"/>
      <c r="B94" s="704"/>
      <c r="C94" s="476" t="s">
        <v>845</v>
      </c>
      <c r="D94" s="284">
        <v>2</v>
      </c>
      <c r="E94" s="72">
        <v>3.12</v>
      </c>
      <c r="F94" s="72">
        <v>1.1200000000000001</v>
      </c>
      <c r="G94" s="72">
        <v>5</v>
      </c>
      <c r="H94" s="22" t="s">
        <v>4</v>
      </c>
      <c r="I94" s="18"/>
      <c r="J94" s="18"/>
      <c r="K94" s="18"/>
      <c r="L94" s="18"/>
      <c r="M94" s="18"/>
      <c r="N94" s="18"/>
      <c r="O94" s="18"/>
      <c r="P94" s="18"/>
      <c r="Q94" s="23">
        <v>80680020259</v>
      </c>
      <c r="R94" s="23">
        <v>80680030084</v>
      </c>
    </row>
    <row r="95" spans="1:32" x14ac:dyDescent="0.25">
      <c r="A95" s="703"/>
      <c r="B95" s="704"/>
      <c r="C95" s="476" t="s">
        <v>845</v>
      </c>
      <c r="D95" s="284">
        <v>3.52</v>
      </c>
      <c r="E95" s="72">
        <v>3.72</v>
      </c>
      <c r="F95" s="72">
        <v>0.2</v>
      </c>
      <c r="G95" s="72">
        <v>5</v>
      </c>
      <c r="H95" s="22" t="s">
        <v>4</v>
      </c>
      <c r="I95" s="18"/>
      <c r="J95" s="18"/>
      <c r="K95" s="18"/>
      <c r="L95" s="18"/>
      <c r="M95" s="18"/>
      <c r="N95" s="18"/>
      <c r="O95" s="18"/>
      <c r="P95" s="18"/>
      <c r="Q95" s="23">
        <v>80680020259</v>
      </c>
      <c r="R95" s="23">
        <v>80680030113</v>
      </c>
    </row>
    <row r="96" spans="1:32" x14ac:dyDescent="0.25">
      <c r="A96" s="699"/>
      <c r="B96" s="700"/>
      <c r="C96" s="476" t="s">
        <v>845</v>
      </c>
      <c r="D96" s="284">
        <v>3.72</v>
      </c>
      <c r="E96" s="72">
        <v>5.0500000000000007</v>
      </c>
      <c r="F96" s="72">
        <v>1.33</v>
      </c>
      <c r="G96" s="72">
        <v>5.3</v>
      </c>
      <c r="H96" s="22" t="s">
        <v>4</v>
      </c>
      <c r="I96" s="18"/>
      <c r="J96" s="18"/>
      <c r="K96" s="18"/>
      <c r="L96" s="18"/>
      <c r="M96" s="18"/>
      <c r="N96" s="18"/>
      <c r="O96" s="18"/>
      <c r="P96" s="18"/>
      <c r="Q96" s="23">
        <v>80680020259</v>
      </c>
      <c r="R96" s="23">
        <v>80680020259</v>
      </c>
    </row>
    <row r="97" spans="1:25" ht="23.25" x14ac:dyDescent="0.25">
      <c r="A97" s="703">
        <v>3</v>
      </c>
      <c r="B97" s="710" t="s">
        <v>686</v>
      </c>
      <c r="C97" s="417" t="s">
        <v>846</v>
      </c>
      <c r="D97" s="72">
        <v>0</v>
      </c>
      <c r="E97" s="72">
        <v>0.88</v>
      </c>
      <c r="F97" s="72">
        <v>0.88</v>
      </c>
      <c r="G97" s="72">
        <v>5</v>
      </c>
      <c r="H97" s="22" t="s">
        <v>0</v>
      </c>
      <c r="I97" s="18"/>
      <c r="J97" s="18"/>
      <c r="K97" s="18"/>
      <c r="L97" s="18"/>
      <c r="M97" s="18"/>
      <c r="N97" s="18"/>
      <c r="O97" s="18"/>
      <c r="P97" s="18"/>
      <c r="Q97" s="23">
        <v>80680030118</v>
      </c>
      <c r="R97" s="23">
        <v>80680030118</v>
      </c>
    </row>
    <row r="98" spans="1:25" ht="23.25" x14ac:dyDescent="0.25">
      <c r="A98" s="697">
        <v>4</v>
      </c>
      <c r="B98" s="698" t="s">
        <v>687</v>
      </c>
      <c r="C98" s="476" t="s">
        <v>846</v>
      </c>
      <c r="D98" s="284">
        <v>0</v>
      </c>
      <c r="E98" s="72">
        <v>0.78</v>
      </c>
      <c r="F98" s="72">
        <v>0.78</v>
      </c>
      <c r="G98" s="72">
        <v>4.8</v>
      </c>
      <c r="H98" s="22" t="s">
        <v>0</v>
      </c>
      <c r="I98" s="18"/>
      <c r="J98" s="18"/>
      <c r="K98" s="18"/>
      <c r="L98" s="18"/>
      <c r="M98" s="18"/>
      <c r="N98" s="18"/>
      <c r="O98" s="18"/>
      <c r="P98" s="18"/>
      <c r="Q98" s="23">
        <v>80680050313</v>
      </c>
      <c r="R98" s="23">
        <v>80680050287</v>
      </c>
    </row>
    <row r="99" spans="1:25" x14ac:dyDescent="0.25">
      <c r="A99" s="699"/>
      <c r="B99" s="700"/>
      <c r="C99" s="476" t="s">
        <v>846</v>
      </c>
      <c r="D99" s="284">
        <v>0.78</v>
      </c>
      <c r="E99" s="72">
        <v>1.01</v>
      </c>
      <c r="F99" s="72">
        <v>0.23</v>
      </c>
      <c r="G99" s="72">
        <v>4.5</v>
      </c>
      <c r="H99" s="22" t="s">
        <v>0</v>
      </c>
      <c r="I99" s="18"/>
      <c r="J99" s="18"/>
      <c r="K99" s="18"/>
      <c r="L99" s="18"/>
      <c r="M99" s="18"/>
      <c r="N99" s="18"/>
      <c r="O99" s="18"/>
      <c r="P99" s="18"/>
      <c r="Q99" s="23">
        <v>80680050313</v>
      </c>
      <c r="R99" s="23">
        <v>80680050313</v>
      </c>
    </row>
    <row r="100" spans="1:25" ht="23.25" x14ac:dyDescent="0.25">
      <c r="A100" s="703">
        <v>5</v>
      </c>
      <c r="B100" s="710" t="s">
        <v>688</v>
      </c>
      <c r="C100" s="417" t="s">
        <v>846</v>
      </c>
      <c r="D100" s="72">
        <v>0</v>
      </c>
      <c r="E100" s="72">
        <v>0.96</v>
      </c>
      <c r="F100" s="72">
        <v>0.96</v>
      </c>
      <c r="G100" s="72">
        <v>3.5</v>
      </c>
      <c r="H100" s="22" t="s">
        <v>0</v>
      </c>
      <c r="I100" s="18"/>
      <c r="J100" s="18"/>
      <c r="K100" s="18"/>
      <c r="L100" s="18"/>
      <c r="M100" s="18"/>
      <c r="N100" s="18"/>
      <c r="O100" s="18"/>
      <c r="P100" s="18"/>
      <c r="Q100" s="23">
        <v>80680090402</v>
      </c>
      <c r="R100" s="23">
        <v>80680090402</v>
      </c>
    </row>
    <row r="101" spans="1:25" ht="23.25" x14ac:dyDescent="0.25">
      <c r="A101" s="697">
        <v>6</v>
      </c>
      <c r="B101" s="698" t="s">
        <v>689</v>
      </c>
      <c r="C101" s="476" t="s">
        <v>845</v>
      </c>
      <c r="D101" s="284">
        <v>0</v>
      </c>
      <c r="E101" s="72">
        <v>0.54</v>
      </c>
      <c r="F101" s="72">
        <v>0.54</v>
      </c>
      <c r="G101" s="72">
        <v>4</v>
      </c>
      <c r="H101" s="22" t="s">
        <v>4</v>
      </c>
      <c r="I101" s="344"/>
      <c r="J101" s="344"/>
      <c r="K101" s="344"/>
      <c r="L101" s="344"/>
      <c r="M101" s="344"/>
      <c r="N101" s="344"/>
      <c r="O101" s="344"/>
      <c r="P101" s="344"/>
      <c r="Q101" s="23">
        <v>80680100119</v>
      </c>
      <c r="R101" s="23">
        <v>80680100119</v>
      </c>
    </row>
    <row r="102" spans="1:25" ht="15" customHeight="1" x14ac:dyDescent="0.25">
      <c r="A102" s="711"/>
      <c r="B102" s="704"/>
      <c r="C102" s="476" t="s">
        <v>845</v>
      </c>
      <c r="D102" s="284">
        <v>0.54</v>
      </c>
      <c r="E102" s="72">
        <v>2.14</v>
      </c>
      <c r="F102" s="72">
        <v>1.6</v>
      </c>
      <c r="G102" s="72">
        <v>4</v>
      </c>
      <c r="H102" s="22" t="s">
        <v>0</v>
      </c>
      <c r="I102" s="324"/>
      <c r="J102" s="324"/>
      <c r="K102" s="345"/>
      <c r="L102" s="324"/>
      <c r="M102" s="324"/>
      <c r="N102" s="324"/>
      <c r="O102" s="324"/>
      <c r="P102" s="324"/>
      <c r="Q102" s="23">
        <v>80680100119</v>
      </c>
      <c r="R102" s="23">
        <v>80680100119</v>
      </c>
    </row>
    <row r="103" spans="1:25" ht="22.5" x14ac:dyDescent="0.25">
      <c r="A103" s="712"/>
      <c r="B103" s="700"/>
      <c r="C103" s="476" t="s">
        <v>845</v>
      </c>
      <c r="D103" s="284">
        <v>2.14</v>
      </c>
      <c r="E103" s="72">
        <v>4.3499999999999996</v>
      </c>
      <c r="F103" s="72">
        <v>2.21</v>
      </c>
      <c r="G103" s="72">
        <v>4</v>
      </c>
      <c r="H103" s="22" t="s">
        <v>0</v>
      </c>
      <c r="I103" s="324" t="s">
        <v>666</v>
      </c>
      <c r="J103" s="324">
        <v>4.3620000000000001</v>
      </c>
      <c r="K103" s="346" t="s">
        <v>665</v>
      </c>
      <c r="L103" s="324">
        <v>23.4</v>
      </c>
      <c r="M103" s="324">
        <v>77</v>
      </c>
      <c r="N103" s="324"/>
      <c r="O103" s="324" t="s">
        <v>667</v>
      </c>
      <c r="P103" s="324"/>
      <c r="Q103" s="23">
        <v>80680100119</v>
      </c>
      <c r="R103" s="23">
        <v>80680110110</v>
      </c>
    </row>
    <row r="104" spans="1:25" ht="23.25" x14ac:dyDescent="0.25">
      <c r="C104" s="438"/>
      <c r="S104" s="102"/>
      <c r="T104" s="625" t="s">
        <v>1092</v>
      </c>
      <c r="U104" s="625" t="s">
        <v>1093</v>
      </c>
      <c r="V104" s="625" t="s">
        <v>1094</v>
      </c>
      <c r="W104" s="625" t="s">
        <v>1095</v>
      </c>
      <c r="X104" s="625" t="s">
        <v>1096</v>
      </c>
      <c r="Y104" s="627" t="s">
        <v>269</v>
      </c>
    </row>
    <row r="105" spans="1:25" s="1" customFormat="1" ht="11.25" x14ac:dyDescent="0.2">
      <c r="A105" s="46" t="s">
        <v>664</v>
      </c>
      <c r="B105" s="47"/>
      <c r="C105" s="47"/>
      <c r="D105" s="48"/>
      <c r="E105" s="49"/>
      <c r="F105" s="50">
        <f>SUM(F91:F103)</f>
        <v>13.099999999999998</v>
      </c>
      <c r="G105" s="688"/>
      <c r="H105" s="51"/>
      <c r="I105" s="40"/>
      <c r="J105" s="52"/>
      <c r="K105" s="53" t="s">
        <v>268</v>
      </c>
      <c r="L105" s="50">
        <f>SUM(L91:L103)</f>
        <v>23.4</v>
      </c>
      <c r="M105" s="50">
        <f>SUM(M91:M103)</f>
        <v>77</v>
      </c>
      <c r="N105" s="55"/>
      <c r="O105" s="53" t="s">
        <v>269</v>
      </c>
      <c r="P105" s="50">
        <f>SUM(P91:P103)</f>
        <v>0</v>
      </c>
      <c r="Q105" s="55"/>
      <c r="S105" s="628" t="s">
        <v>844</v>
      </c>
      <c r="T105" s="625" t="s">
        <v>231</v>
      </c>
      <c r="U105" s="625" t="s">
        <v>231</v>
      </c>
      <c r="V105" s="625" t="s">
        <v>231</v>
      </c>
      <c r="W105" s="625" t="s">
        <v>231</v>
      </c>
      <c r="X105" s="625" t="s">
        <v>231</v>
      </c>
      <c r="Y105" s="626" t="s">
        <v>231</v>
      </c>
    </row>
    <row r="106" spans="1:25" s="1" customFormat="1" ht="11.25" x14ac:dyDescent="0.2">
      <c r="A106" s="56" t="s">
        <v>270</v>
      </c>
      <c r="B106" s="57"/>
      <c r="C106" s="57"/>
      <c r="D106" s="58"/>
      <c r="E106" s="59"/>
      <c r="F106" s="60">
        <f>F101+F96+F95+F94+F93+F91</f>
        <v>5.94</v>
      </c>
      <c r="G106" s="81"/>
      <c r="H106" s="61"/>
      <c r="I106" s="62"/>
      <c r="J106" s="55"/>
      <c r="K106" s="63"/>
      <c r="L106" s="64"/>
      <c r="M106" s="64"/>
      <c r="N106" s="55"/>
      <c r="O106" s="55"/>
      <c r="P106" s="55"/>
      <c r="Q106" s="55"/>
      <c r="S106" s="616" t="s">
        <v>847</v>
      </c>
      <c r="T106" s="614">
        <f>SUMIFS(F91:F103,C91:C103,"A",H91:H103,"melnais")</f>
        <v>0</v>
      </c>
      <c r="U106" s="614">
        <f>SUMIFS(F91:F103,C91:C103,"A",H91:H103,"dubultā virsma")</f>
        <v>0</v>
      </c>
      <c r="V106" s="614">
        <f>SUMIFS(F91:F103,C91:C103,"A",H91:H103,"bruģis")</f>
        <v>0</v>
      </c>
      <c r="W106" s="614">
        <f>SUMIFS(F91:F103,C91:C103,"A",H91:H103,"grants")</f>
        <v>0</v>
      </c>
      <c r="X106" s="614">
        <f>SUMIFS(F91:F103,C91:C103,"A",H91:H103,"cits segums")</f>
        <v>0</v>
      </c>
      <c r="Y106" s="614">
        <f>SUMIFS(F91:F103,C91:C103,"A")</f>
        <v>0</v>
      </c>
    </row>
    <row r="107" spans="1:25" s="1" customFormat="1" ht="11.25" x14ac:dyDescent="0.2">
      <c r="A107" s="56" t="s">
        <v>271</v>
      </c>
      <c r="B107" s="57"/>
      <c r="C107" s="57"/>
      <c r="D107" s="58"/>
      <c r="E107" s="59"/>
      <c r="F107" s="60">
        <v>0</v>
      </c>
      <c r="G107" s="81"/>
      <c r="H107" s="65"/>
      <c r="I107" s="40"/>
      <c r="J107" s="66"/>
      <c r="K107" s="67"/>
      <c r="L107" s="67"/>
      <c r="M107" s="67"/>
      <c r="N107" s="68"/>
      <c r="O107" s="55"/>
      <c r="P107" s="55"/>
      <c r="Q107" s="55"/>
      <c r="S107" s="617" t="s">
        <v>848</v>
      </c>
      <c r="T107" s="614">
        <f>SUMIFS(F91:F103,C91:C103,"B",H91:H103,"melnais")</f>
        <v>0</v>
      </c>
      <c r="U107" s="614">
        <f>SUMIFS(F91:F103,C91:C103,"B",H91:H103,"dubultā virsma")</f>
        <v>0</v>
      </c>
      <c r="V107" s="614">
        <f>SUMIFS(F91:F103,C91:C103,"B",H91:H103,"bruģis")</f>
        <v>0</v>
      </c>
      <c r="W107" s="614">
        <f>SUMIFS(F91:F103,C91:C103,"B",H91:H103,"grants")</f>
        <v>0</v>
      </c>
      <c r="X107" s="614">
        <f>SUMIFS(F91:F103,C91:C103,"B",H91:H103,"cits segums")</f>
        <v>0</v>
      </c>
      <c r="Y107" s="614">
        <f>SUMIFS(F91:F103,C91:C103,"B")</f>
        <v>0</v>
      </c>
    </row>
    <row r="108" spans="1:25" s="1" customFormat="1" ht="11.25" x14ac:dyDescent="0.2">
      <c r="A108" s="56" t="s">
        <v>272</v>
      </c>
      <c r="B108" s="57"/>
      <c r="C108" s="57"/>
      <c r="D108" s="58"/>
      <c r="E108" s="59"/>
      <c r="F108" s="60">
        <f>F105-F106-F109-F107</f>
        <v>7.1599999999999975</v>
      </c>
      <c r="G108" s="81"/>
      <c r="H108" s="65"/>
      <c r="I108" s="65"/>
      <c r="J108" s="66"/>
      <c r="K108" s="67"/>
      <c r="L108" s="67"/>
      <c r="M108" s="67"/>
      <c r="N108" s="68"/>
      <c r="O108" s="55"/>
      <c r="P108" s="55"/>
      <c r="Q108" s="55"/>
      <c r="S108" s="615" t="s">
        <v>845</v>
      </c>
      <c r="T108" s="614">
        <f>SUMIFS(F91:F103,C91:C103,"C",H91:H103,"melnais")</f>
        <v>5.94</v>
      </c>
      <c r="U108" s="614">
        <f>SUMIFS(F91:F103,C91:C103,"C",H91:H103,"dubultā virsma")</f>
        <v>0</v>
      </c>
      <c r="V108" s="614">
        <f>SUMIFS(F91:F103,C91:C103,"C",H91:H103,"bruģis")</f>
        <v>0</v>
      </c>
      <c r="W108" s="614">
        <f>SUMIFS(F91:F103,C91:C103,"C",H91:H103,"grants")</f>
        <v>4.3100000000000005</v>
      </c>
      <c r="X108" s="614">
        <f>SUMIFS(F91:F103,C91:C103,"C",H91:H103,"cits segums")</f>
        <v>0</v>
      </c>
      <c r="Y108" s="614">
        <f>SUMIFS(F91:F103,C91:C103,"C")</f>
        <v>10.25</v>
      </c>
    </row>
    <row r="109" spans="1:25" s="1" customFormat="1" ht="11.25" x14ac:dyDescent="0.2">
      <c r="A109" s="56" t="s">
        <v>273</v>
      </c>
      <c r="B109" s="57"/>
      <c r="C109" s="57"/>
      <c r="D109" s="58"/>
      <c r="E109" s="59"/>
      <c r="F109" s="60">
        <v>0</v>
      </c>
      <c r="G109" s="81"/>
      <c r="H109" s="69"/>
      <c r="I109" s="65"/>
      <c r="J109" s="70"/>
      <c r="K109" s="67"/>
      <c r="L109" s="67"/>
      <c r="M109" s="67"/>
      <c r="N109" s="68"/>
      <c r="O109" s="55"/>
      <c r="P109" s="55"/>
      <c r="Q109" s="55"/>
      <c r="S109" s="616" t="s">
        <v>846</v>
      </c>
      <c r="T109" s="614">
        <f>SUMIFS(F91:F103,C91:C103,"D",H91:H103,"melnais")</f>
        <v>0</v>
      </c>
      <c r="U109" s="614">
        <f>SUMIFS(F91:F103,C91:C103,"D",H91:H103,"dubultā virsma")</f>
        <v>0</v>
      </c>
      <c r="V109" s="614">
        <f>SUMIFS(F91:F103,C91:C103,"D",H91:H103,"bruģis")</f>
        <v>0</v>
      </c>
      <c r="W109" s="614">
        <f>SUMIFS(F91:F103,C91:C103,"D",H91:H103,"grants")</f>
        <v>2.85</v>
      </c>
      <c r="X109" s="614">
        <f>SUMIFS(F91:F103,C91:C103,"D",H91:H103,"cits segums")</f>
        <v>0</v>
      </c>
      <c r="Y109" s="614">
        <f>SUMIFS(F91:F103,C91:C103,"D")</f>
        <v>2.85</v>
      </c>
    </row>
    <row r="110" spans="1:25" x14ac:dyDescent="0.25">
      <c r="C110" s="438"/>
      <c r="T110" s="629">
        <f>SUM(T106:T109)</f>
        <v>5.94</v>
      </c>
      <c r="U110" s="629">
        <f t="shared" ref="U110" si="47">SUM(U106:U109)</f>
        <v>0</v>
      </c>
      <c r="V110" s="629">
        <f t="shared" ref="V110" si="48">SUM(V106:V109)</f>
        <v>0</v>
      </c>
      <c r="W110" s="629">
        <f t="shared" ref="W110" si="49">SUM(W106:W109)</f>
        <v>7.16</v>
      </c>
      <c r="X110" s="629">
        <f t="shared" ref="X110" si="50">SUM(X106:X109)</f>
        <v>0</v>
      </c>
      <c r="Y110" s="629">
        <f t="shared" ref="Y110" si="51">SUM(Y106:Y109)</f>
        <v>13.1</v>
      </c>
    </row>
    <row r="111" spans="1:25" s="32" customFormat="1" ht="15" customHeight="1" x14ac:dyDescent="0.25">
      <c r="A111" s="33"/>
      <c r="B111" s="33"/>
      <c r="C111" s="33"/>
      <c r="D111" s="781" t="s">
        <v>1048</v>
      </c>
      <c r="E111" s="781"/>
      <c r="F111" s="781"/>
      <c r="G111" s="781"/>
      <c r="H111" s="781"/>
      <c r="I111" s="781"/>
      <c r="J111" s="781"/>
      <c r="K111" s="781"/>
      <c r="L111" s="781"/>
      <c r="M111" s="781"/>
      <c r="N111" s="781"/>
      <c r="O111" s="781"/>
      <c r="P111" s="781"/>
      <c r="Q111" s="30"/>
      <c r="R111" s="37"/>
    </row>
    <row r="112" spans="1:25" s="32" customFormat="1" ht="11.25" x14ac:dyDescent="0.25">
      <c r="A112" s="33"/>
      <c r="B112" s="33"/>
      <c r="C112" s="33"/>
      <c r="D112" s="38"/>
      <c r="E112" s="29"/>
      <c r="F112" s="29"/>
      <c r="G112" s="29"/>
      <c r="H112" s="30"/>
      <c r="I112" s="28"/>
      <c r="J112" s="28"/>
      <c r="K112" s="28"/>
      <c r="L112" s="28"/>
      <c r="M112" s="28"/>
      <c r="N112" s="39"/>
      <c r="O112" s="39"/>
      <c r="P112" s="28"/>
      <c r="Q112" s="28"/>
      <c r="R112" s="37"/>
    </row>
    <row r="113" spans="1:25" s="40" customFormat="1" ht="5.25" customHeight="1" x14ac:dyDescent="0.2">
      <c r="A113" s="44"/>
      <c r="B113" s="44"/>
      <c r="C113" s="450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</row>
    <row r="114" spans="1:25" s="40" customFormat="1" ht="12.75" customHeight="1" x14ac:dyDescent="0.2">
      <c r="A114" s="782" t="s">
        <v>244</v>
      </c>
      <c r="B114" s="783" t="s">
        <v>245</v>
      </c>
      <c r="C114" s="408"/>
      <c r="D114" s="784" t="s">
        <v>246</v>
      </c>
      <c r="E114" s="785"/>
      <c r="F114" s="785"/>
      <c r="G114" s="785"/>
      <c r="H114" s="785"/>
      <c r="I114" s="785"/>
      <c r="J114" s="785"/>
      <c r="K114" s="785"/>
      <c r="L114" s="785"/>
      <c r="M114" s="785"/>
      <c r="N114" s="785"/>
      <c r="O114" s="785"/>
      <c r="P114" s="785"/>
      <c r="Q114" s="786" t="s">
        <v>247</v>
      </c>
      <c r="R114" s="786"/>
    </row>
    <row r="115" spans="1:25" s="40" customFormat="1" ht="12.75" customHeight="1" x14ac:dyDescent="0.2">
      <c r="A115" s="782"/>
      <c r="B115" s="783"/>
      <c r="C115" s="409"/>
      <c r="D115" s="784" t="s">
        <v>248</v>
      </c>
      <c r="E115" s="785"/>
      <c r="F115" s="785"/>
      <c r="G115" s="785"/>
      <c r="H115" s="785"/>
      <c r="I115" s="788" t="s">
        <v>249</v>
      </c>
      <c r="J115" s="788"/>
      <c r="K115" s="788"/>
      <c r="L115" s="788"/>
      <c r="M115" s="788"/>
      <c r="N115" s="788"/>
      <c r="O115" s="788"/>
      <c r="P115" s="787" t="s">
        <v>250</v>
      </c>
      <c r="Q115" s="786"/>
      <c r="R115" s="786"/>
    </row>
    <row r="116" spans="1:25" s="40" customFormat="1" ht="15.2" customHeight="1" x14ac:dyDescent="0.2">
      <c r="A116" s="782"/>
      <c r="B116" s="783"/>
      <c r="C116" s="409"/>
      <c r="D116" s="784" t="s">
        <v>251</v>
      </c>
      <c r="E116" s="785"/>
      <c r="F116" s="786" t="s">
        <v>252</v>
      </c>
      <c r="G116" s="786" t="s">
        <v>881</v>
      </c>
      <c r="H116" s="782" t="s">
        <v>253</v>
      </c>
      <c r="I116" s="789" t="s">
        <v>254</v>
      </c>
      <c r="J116" s="788" t="s">
        <v>255</v>
      </c>
      <c r="K116" s="788"/>
      <c r="L116" s="787" t="s">
        <v>256</v>
      </c>
      <c r="M116" s="787" t="s">
        <v>257</v>
      </c>
      <c r="N116" s="787" t="s">
        <v>258</v>
      </c>
      <c r="O116" s="787" t="s">
        <v>259</v>
      </c>
      <c r="P116" s="787"/>
      <c r="Q116" s="787" t="s">
        <v>260</v>
      </c>
      <c r="R116" s="782" t="s">
        <v>261</v>
      </c>
    </row>
    <row r="117" spans="1:25" s="40" customFormat="1" ht="33.75" customHeight="1" x14ac:dyDescent="0.2">
      <c r="A117" s="782"/>
      <c r="B117" s="783"/>
      <c r="C117" s="432" t="s">
        <v>844</v>
      </c>
      <c r="D117" s="433" t="s">
        <v>262</v>
      </c>
      <c r="E117" s="92" t="s">
        <v>263</v>
      </c>
      <c r="F117" s="786"/>
      <c r="G117" s="786"/>
      <c r="H117" s="782"/>
      <c r="I117" s="789"/>
      <c r="J117" s="93" t="s">
        <v>231</v>
      </c>
      <c r="K117" s="93" t="s">
        <v>264</v>
      </c>
      <c r="L117" s="787"/>
      <c r="M117" s="787"/>
      <c r="N117" s="787"/>
      <c r="O117" s="787"/>
      <c r="P117" s="787"/>
      <c r="Q117" s="787"/>
      <c r="R117" s="782"/>
    </row>
    <row r="118" spans="1:25" s="41" customFormat="1" ht="12" customHeight="1" x14ac:dyDescent="0.25">
      <c r="A118" s="276">
        <v>1</v>
      </c>
      <c r="B118" s="276">
        <v>2</v>
      </c>
      <c r="C118" s="434"/>
      <c r="D118" s="42">
        <v>3</v>
      </c>
      <c r="E118" s="42">
        <v>4</v>
      </c>
      <c r="F118" s="42">
        <v>5</v>
      </c>
      <c r="G118" s="42">
        <v>5.0999999999999996</v>
      </c>
      <c r="H118" s="42">
        <v>6</v>
      </c>
      <c r="I118" s="43">
        <v>7</v>
      </c>
      <c r="J118" s="43">
        <v>8</v>
      </c>
      <c r="K118" s="43">
        <v>9</v>
      </c>
      <c r="L118" s="43">
        <v>10</v>
      </c>
      <c r="M118" s="43">
        <v>11</v>
      </c>
      <c r="N118" s="43">
        <v>12</v>
      </c>
      <c r="O118" s="43">
        <v>13</v>
      </c>
      <c r="P118" s="43">
        <v>14</v>
      </c>
      <c r="Q118" s="43">
        <v>15</v>
      </c>
      <c r="R118" s="42">
        <v>16</v>
      </c>
    </row>
    <row r="119" spans="1:25" x14ac:dyDescent="0.25">
      <c r="A119" s="697">
        <v>1</v>
      </c>
      <c r="B119" s="313" t="s">
        <v>763</v>
      </c>
      <c r="C119" s="325" t="s">
        <v>846</v>
      </c>
      <c r="D119" s="358">
        <v>0</v>
      </c>
      <c r="E119" s="340">
        <v>0.02</v>
      </c>
      <c r="F119" s="341">
        <v>0.02</v>
      </c>
      <c r="G119" s="341">
        <v>4.5</v>
      </c>
      <c r="H119" s="315" t="s">
        <v>4</v>
      </c>
      <c r="I119" s="315"/>
      <c r="J119" s="315"/>
      <c r="K119" s="315"/>
      <c r="L119" s="315"/>
      <c r="M119" s="315"/>
      <c r="N119" s="315"/>
      <c r="O119" s="315"/>
      <c r="P119" s="315"/>
      <c r="Q119" s="342">
        <v>66560020555</v>
      </c>
      <c r="R119" s="342">
        <v>66560020555</v>
      </c>
    </row>
    <row r="120" spans="1:25" x14ac:dyDescent="0.25">
      <c r="A120" s="703"/>
      <c r="B120" s="713"/>
      <c r="C120" s="325" t="s">
        <v>846</v>
      </c>
      <c r="D120" s="358">
        <v>0.02</v>
      </c>
      <c r="E120" s="340">
        <v>2.4</v>
      </c>
      <c r="F120" s="341">
        <v>2.38</v>
      </c>
      <c r="G120" s="341">
        <v>4</v>
      </c>
      <c r="H120" s="315" t="s">
        <v>0</v>
      </c>
      <c r="I120" s="315"/>
      <c r="J120" s="315"/>
      <c r="K120" s="315"/>
      <c r="L120" s="315"/>
      <c r="M120" s="315"/>
      <c r="N120" s="315"/>
      <c r="O120" s="315"/>
      <c r="P120" s="315"/>
      <c r="Q120" s="342">
        <v>66560020555</v>
      </c>
      <c r="R120" s="342">
        <v>66560020555</v>
      </c>
    </row>
    <row r="121" spans="1:25" ht="22.5" x14ac:dyDescent="0.25">
      <c r="A121" s="697">
        <v>2</v>
      </c>
      <c r="B121" s="313" t="s">
        <v>764</v>
      </c>
      <c r="C121" s="325" t="s">
        <v>845</v>
      </c>
      <c r="D121" s="358">
        <v>0</v>
      </c>
      <c r="E121" s="340">
        <v>1.34</v>
      </c>
      <c r="F121" s="341">
        <v>1.32</v>
      </c>
      <c r="G121" s="341">
        <v>5</v>
      </c>
      <c r="H121" s="315" t="s">
        <v>0</v>
      </c>
      <c r="I121" s="342" t="s">
        <v>758</v>
      </c>
      <c r="J121" s="352">
        <v>0.8</v>
      </c>
      <c r="K121" s="345" t="s">
        <v>759</v>
      </c>
      <c r="L121" s="342">
        <v>18</v>
      </c>
      <c r="M121" s="342">
        <v>124</v>
      </c>
      <c r="N121" s="342"/>
      <c r="O121" s="342" t="s">
        <v>667</v>
      </c>
      <c r="P121" s="342"/>
      <c r="Q121" s="342">
        <v>66560030066</v>
      </c>
      <c r="R121" s="342">
        <v>66560030066</v>
      </c>
    </row>
    <row r="122" spans="1:25" x14ac:dyDescent="0.25">
      <c r="A122" s="699"/>
      <c r="B122" s="314"/>
      <c r="C122" s="325" t="s">
        <v>845</v>
      </c>
      <c r="D122" s="358">
        <v>1.34</v>
      </c>
      <c r="E122" s="340">
        <v>2.0100000000000002</v>
      </c>
      <c r="F122" s="341">
        <v>0.67</v>
      </c>
      <c r="G122" s="341">
        <v>4.5</v>
      </c>
      <c r="H122" s="315" t="s">
        <v>0</v>
      </c>
      <c r="I122" s="342"/>
      <c r="J122" s="342"/>
      <c r="K122" s="345"/>
      <c r="L122" s="342"/>
      <c r="M122" s="342"/>
      <c r="N122" s="342"/>
      <c r="O122" s="342"/>
      <c r="P122" s="342"/>
      <c r="Q122" s="342">
        <v>66560030066</v>
      </c>
      <c r="R122" s="342">
        <v>66560040069</v>
      </c>
    </row>
    <row r="123" spans="1:25" x14ac:dyDescent="0.25">
      <c r="A123" s="699">
        <v>3</v>
      </c>
      <c r="B123" s="359" t="s">
        <v>765</v>
      </c>
      <c r="C123" s="412" t="s">
        <v>846</v>
      </c>
      <c r="D123" s="340">
        <v>0</v>
      </c>
      <c r="E123" s="340">
        <v>2.14</v>
      </c>
      <c r="F123" s="341">
        <v>2.14</v>
      </c>
      <c r="G123" s="341">
        <v>4</v>
      </c>
      <c r="H123" s="315" t="s">
        <v>0</v>
      </c>
      <c r="I123" s="342"/>
      <c r="J123" s="342"/>
      <c r="K123" s="342"/>
      <c r="L123" s="342"/>
      <c r="M123" s="342"/>
      <c r="N123" s="342"/>
      <c r="O123" s="342"/>
      <c r="P123" s="342"/>
      <c r="Q123" s="342">
        <v>66560060183</v>
      </c>
      <c r="R123" s="342">
        <v>66560060183</v>
      </c>
    </row>
    <row r="124" spans="1:25" ht="23.25" x14ac:dyDescent="0.25">
      <c r="S124" s="102"/>
      <c r="T124" s="625" t="s">
        <v>1092</v>
      </c>
      <c r="U124" s="625" t="s">
        <v>1093</v>
      </c>
      <c r="V124" s="625" t="s">
        <v>1094</v>
      </c>
      <c r="W124" s="625" t="s">
        <v>1095</v>
      </c>
      <c r="X124" s="625" t="s">
        <v>1096</v>
      </c>
      <c r="Y124" s="627" t="s">
        <v>269</v>
      </c>
    </row>
    <row r="125" spans="1:25" s="1" customFormat="1" ht="11.25" x14ac:dyDescent="0.2">
      <c r="A125" s="46" t="s">
        <v>760</v>
      </c>
      <c r="B125" s="47"/>
      <c r="C125" s="47"/>
      <c r="D125" s="48"/>
      <c r="E125" s="49"/>
      <c r="F125" s="50">
        <f>SUM(F119:F123)</f>
        <v>6.5299999999999994</v>
      </c>
      <c r="G125" s="688"/>
      <c r="H125" s="51"/>
      <c r="I125" s="40"/>
      <c r="J125" s="52"/>
      <c r="K125" s="53" t="s">
        <v>268</v>
      </c>
      <c r="L125" s="50">
        <f>SUM(L119:L123)</f>
        <v>18</v>
      </c>
      <c r="M125" s="50">
        <f>SUM(M119:M123)</f>
        <v>124</v>
      </c>
      <c r="N125" s="55"/>
      <c r="O125" s="53" t="s">
        <v>269</v>
      </c>
      <c r="P125" s="50">
        <f>SUM(P119:P123)</f>
        <v>0</v>
      </c>
      <c r="Q125" s="55"/>
      <c r="S125" s="628" t="s">
        <v>844</v>
      </c>
      <c r="T125" s="625" t="s">
        <v>231</v>
      </c>
      <c r="U125" s="625" t="s">
        <v>231</v>
      </c>
      <c r="V125" s="625" t="s">
        <v>231</v>
      </c>
      <c r="W125" s="625" t="s">
        <v>231</v>
      </c>
      <c r="X125" s="625" t="s">
        <v>231</v>
      </c>
      <c r="Y125" s="626" t="s">
        <v>231</v>
      </c>
    </row>
    <row r="126" spans="1:25" s="1" customFormat="1" ht="11.25" x14ac:dyDescent="0.2">
      <c r="A126" s="56" t="s">
        <v>270</v>
      </c>
      <c r="B126" s="57"/>
      <c r="C126" s="57"/>
      <c r="D126" s="58"/>
      <c r="E126" s="59"/>
      <c r="F126" s="60">
        <f>F119</f>
        <v>0.02</v>
      </c>
      <c r="G126" s="81"/>
      <c r="H126" s="61"/>
      <c r="I126" s="62"/>
      <c r="J126" s="55"/>
      <c r="K126" s="63"/>
      <c r="L126" s="64"/>
      <c r="M126" s="64"/>
      <c r="N126" s="55"/>
      <c r="O126" s="55"/>
      <c r="P126" s="55"/>
      <c r="Q126" s="55"/>
      <c r="S126" s="616" t="s">
        <v>847</v>
      </c>
      <c r="T126" s="614">
        <f>SUMIFS(F119:F123,C119:C123,"A",H119:H123,"melnais")</f>
        <v>0</v>
      </c>
      <c r="U126" s="614">
        <f>SUMIFS(F119:F123,C119:C123,"A",H119:H123,"dubultā virsma")</f>
        <v>0</v>
      </c>
      <c r="V126" s="614">
        <f>SUMIFS(F119:F123,C119:C123,"A",H119:H123,"bruģis")</f>
        <v>0</v>
      </c>
      <c r="W126" s="614">
        <f>SUMIFS(F119:F123,C119:C123,"A",H119:H123,"grants")</f>
        <v>0</v>
      </c>
      <c r="X126" s="614">
        <f>SUMIFS(F119:F123,C119:C123,"A",H119:H123,"cits segums")</f>
        <v>0</v>
      </c>
      <c r="Y126" s="614">
        <f>SUMIFS(F119:F123,C119:C123,"A")</f>
        <v>0</v>
      </c>
    </row>
    <row r="127" spans="1:25" s="1" customFormat="1" ht="11.25" x14ac:dyDescent="0.2">
      <c r="A127" s="56" t="s">
        <v>271</v>
      </c>
      <c r="B127" s="57"/>
      <c r="C127" s="57"/>
      <c r="D127" s="58"/>
      <c r="E127" s="59"/>
      <c r="F127" s="60">
        <v>0</v>
      </c>
      <c r="G127" s="81"/>
      <c r="H127" s="65"/>
      <c r="I127" s="40"/>
      <c r="J127" s="66"/>
      <c r="K127" s="67"/>
      <c r="L127" s="67"/>
      <c r="M127" s="67"/>
      <c r="N127" s="68"/>
      <c r="O127" s="55"/>
      <c r="P127" s="55"/>
      <c r="Q127" s="55"/>
      <c r="S127" s="617" t="s">
        <v>848</v>
      </c>
      <c r="T127" s="614">
        <f>SUMIFS(F119:F123,C119:C123,"B",H119:H123,"melnais")</f>
        <v>0</v>
      </c>
      <c r="U127" s="614">
        <f>SUMIFS(F119:F123,C119:C123,"B",H119:H123,"dubultā virsma")</f>
        <v>0</v>
      </c>
      <c r="V127" s="614">
        <f>SUMIFS(F119:F123,C119:C123,"B",H119:H123,"bruģis")</f>
        <v>0</v>
      </c>
      <c r="W127" s="614">
        <f>SUMIFS(F119:F123,C119:C123,"B",H119:H123,"grants")</f>
        <v>0</v>
      </c>
      <c r="X127" s="614">
        <f>SUMIFS(F119:F123,C119:C123,"B",H119:H123,"cits segums")</f>
        <v>0</v>
      </c>
      <c r="Y127" s="614">
        <f>SUMIFS(F119:F123,C119:C123,"B")</f>
        <v>0</v>
      </c>
    </row>
    <row r="128" spans="1:25" s="1" customFormat="1" ht="11.25" x14ac:dyDescent="0.2">
      <c r="A128" s="56" t="s">
        <v>272</v>
      </c>
      <c r="B128" s="57"/>
      <c r="C128" s="57"/>
      <c r="D128" s="58"/>
      <c r="E128" s="59"/>
      <c r="F128" s="60">
        <f>F123+F122+F121+F120</f>
        <v>6.51</v>
      </c>
      <c r="G128" s="81"/>
      <c r="H128" s="65"/>
      <c r="I128" s="65"/>
      <c r="J128" s="66"/>
      <c r="K128" s="67"/>
      <c r="L128" s="67"/>
      <c r="M128" s="67"/>
      <c r="N128" s="68"/>
      <c r="O128" s="55"/>
      <c r="P128" s="55"/>
      <c r="Q128" s="55"/>
      <c r="S128" s="615" t="s">
        <v>845</v>
      </c>
      <c r="T128" s="614">
        <f>SUMIFS(F119:F123,C119:C123,"C",H119:H123,"melnais")</f>
        <v>0</v>
      </c>
      <c r="U128" s="614">
        <f>SUMIFS(F119:F123,C119:C123,"C",H119:H123,"dubultā virsma")</f>
        <v>0</v>
      </c>
      <c r="V128" s="614">
        <f>SUMIFS(F119:F123,C119:C123,"C",H119:H123,"bruģis")</f>
        <v>0</v>
      </c>
      <c r="W128" s="614">
        <f>SUMIFS(F119:F123,C119:C123,"C",H119:H123,"grants")</f>
        <v>1.9900000000000002</v>
      </c>
      <c r="X128" s="614">
        <f>SUMIFS(F119:F123,C119:C123,"C",H119:H123,"cits segums")</f>
        <v>0</v>
      </c>
      <c r="Y128" s="614">
        <f>SUMIFS(F119:F123,C119:C123,"C")</f>
        <v>1.9900000000000002</v>
      </c>
    </row>
    <row r="129" spans="1:25" s="1" customFormat="1" ht="11.25" x14ac:dyDescent="0.2">
      <c r="A129" s="56" t="s">
        <v>273</v>
      </c>
      <c r="B129" s="57"/>
      <c r="C129" s="57"/>
      <c r="D129" s="58"/>
      <c r="E129" s="59"/>
      <c r="F129" s="60">
        <v>0</v>
      </c>
      <c r="G129" s="81"/>
      <c r="H129" s="69"/>
      <c r="I129" s="65"/>
      <c r="J129" s="70"/>
      <c r="K129" s="67"/>
      <c r="L129" s="67"/>
      <c r="M129" s="67"/>
      <c r="N129" s="68"/>
      <c r="O129" s="55"/>
      <c r="P129" s="55"/>
      <c r="Q129" s="55"/>
      <c r="S129" s="616" t="s">
        <v>846</v>
      </c>
      <c r="T129" s="614">
        <f>SUMIFS(F119:F123,C119:C123,"D",H119:H123,"melnais")</f>
        <v>0.02</v>
      </c>
      <c r="U129" s="614">
        <f>SUMIFS(F119:F123,C119:C123,"D",H119:H123,"dubultā virsma")</f>
        <v>0</v>
      </c>
      <c r="V129" s="614">
        <f>SUMIFS(F119:F123,C119:C123,"D",H119:H123,"bruģis")</f>
        <v>0</v>
      </c>
      <c r="W129" s="614">
        <f>SUMIFS(F119:F123,C119:C123,"D",H119:H123,"grants")</f>
        <v>4.5199999999999996</v>
      </c>
      <c r="X129" s="614">
        <f>SUMIFS(F119:F123,C119:C123,"D",H119:H123,"cits segums")</f>
        <v>0</v>
      </c>
      <c r="Y129" s="614">
        <f>SUMIFS(F119:F123,C119:C123,"D")</f>
        <v>4.54</v>
      </c>
    </row>
    <row r="130" spans="1:25" x14ac:dyDescent="0.25">
      <c r="T130" s="629">
        <f>SUM(T126:T129)</f>
        <v>0.02</v>
      </c>
      <c r="U130" s="629">
        <f t="shared" ref="U130:Y130" si="52">SUM(U126:U129)</f>
        <v>0</v>
      </c>
      <c r="V130" s="629">
        <f t="shared" si="52"/>
        <v>0</v>
      </c>
      <c r="W130" s="629">
        <f t="shared" si="52"/>
        <v>6.51</v>
      </c>
      <c r="X130" s="629">
        <f t="shared" si="52"/>
        <v>0</v>
      </c>
      <c r="Y130" s="629">
        <f t="shared" si="52"/>
        <v>6.53</v>
      </c>
    </row>
    <row r="131" spans="1:25" x14ac:dyDescent="0.25">
      <c r="A131" s="46" t="s">
        <v>840</v>
      </c>
      <c r="B131" s="47"/>
      <c r="C131" s="47"/>
      <c r="D131" s="48"/>
      <c r="E131" s="49"/>
      <c r="F131" s="50">
        <f>F125+F105+F77+F54+F36+F16</f>
        <v>47.3</v>
      </c>
      <c r="G131" s="688"/>
      <c r="K131" s="53" t="s">
        <v>268</v>
      </c>
      <c r="L131" s="50">
        <f>L125+L105+L77+L54+L36+L16</f>
        <v>61.4</v>
      </c>
      <c r="M131" s="50">
        <f>M125+M105+M77+M54+M36+M16</f>
        <v>363</v>
      </c>
      <c r="N131" s="55"/>
      <c r="O131" s="53" t="s">
        <v>269</v>
      </c>
      <c r="P131" s="50">
        <f>P125+P105+P77+P54+P36+P16</f>
        <v>0</v>
      </c>
    </row>
    <row r="132" spans="1:25" x14ac:dyDescent="0.25">
      <c r="A132" s="56" t="s">
        <v>270</v>
      </c>
      <c r="B132" s="57"/>
      <c r="C132" s="57"/>
      <c r="D132" s="58"/>
      <c r="E132" s="59"/>
      <c r="F132" s="60">
        <f>F126+F106+F78+F55+F37+F17</f>
        <v>8.35</v>
      </c>
      <c r="G132" s="81"/>
    </row>
    <row r="133" spans="1:25" x14ac:dyDescent="0.25">
      <c r="A133" s="56" t="s">
        <v>271</v>
      </c>
      <c r="B133" s="57"/>
      <c r="C133" s="57"/>
      <c r="D133" s="58"/>
      <c r="E133" s="59"/>
      <c r="F133" s="60">
        <f>F127+F107+F79+F56+F38+F18</f>
        <v>0</v>
      </c>
      <c r="G133" s="81"/>
    </row>
    <row r="134" spans="1:25" x14ac:dyDescent="0.25">
      <c r="A134" s="56" t="s">
        <v>272</v>
      </c>
      <c r="B134" s="57"/>
      <c r="C134" s="57"/>
      <c r="D134" s="58"/>
      <c r="E134" s="59"/>
      <c r="F134" s="60">
        <f>F128+F108+F80+F57+F39+F19</f>
        <v>38.949999999999996</v>
      </c>
      <c r="G134" s="81"/>
    </row>
    <row r="135" spans="1:25" x14ac:dyDescent="0.25">
      <c r="A135" s="56" t="s">
        <v>273</v>
      </c>
      <c r="B135" s="57"/>
      <c r="C135" s="57"/>
      <c r="D135" s="58"/>
      <c r="E135" s="59"/>
      <c r="F135" s="60">
        <f>F129+F109+F81+F58+F40+F20</f>
        <v>0</v>
      </c>
      <c r="G135" s="81"/>
    </row>
    <row r="140" spans="1:25" x14ac:dyDescent="0.25">
      <c r="B140" s="403" t="s">
        <v>835</v>
      </c>
      <c r="C140" s="403"/>
      <c r="D140" s="774"/>
      <c r="E140" s="774"/>
      <c r="F140" s="774"/>
      <c r="G140" s="689"/>
      <c r="H140" s="162"/>
      <c r="I140" s="162"/>
      <c r="J140" s="159"/>
      <c r="K140" s="159"/>
      <c r="L140" s="396"/>
      <c r="M140" s="396"/>
      <c r="N140" s="396"/>
      <c r="O140" s="63"/>
    </row>
    <row r="141" spans="1:25" x14ac:dyDescent="0.25">
      <c r="B141" s="403" t="s">
        <v>836</v>
      </c>
      <c r="C141" s="403"/>
      <c r="D141" s="399" t="s">
        <v>1270</v>
      </c>
      <c r="E141" s="399"/>
      <c r="F141" s="399"/>
      <c r="G141" s="399"/>
      <c r="H141" s="399"/>
      <c r="I141" s="399"/>
      <c r="J141" s="399"/>
      <c r="K141" s="399"/>
      <c r="L141" s="652"/>
      <c r="M141" s="397"/>
      <c r="N141" s="397"/>
      <c r="O141" s="63"/>
    </row>
    <row r="142" spans="1:25" x14ac:dyDescent="0.25">
      <c r="B142" s="403"/>
      <c r="C142" s="403"/>
      <c r="D142" s="778" t="s">
        <v>837</v>
      </c>
      <c r="E142" s="778"/>
      <c r="F142" s="778"/>
      <c r="G142" s="778"/>
      <c r="H142" s="778"/>
      <c r="I142" s="778"/>
      <c r="J142" s="778"/>
      <c r="K142" s="778"/>
      <c r="L142" s="396"/>
      <c r="M142" s="779" t="s">
        <v>838</v>
      </c>
      <c r="N142" s="779"/>
      <c r="O142" s="63"/>
    </row>
    <row r="143" spans="1:25" x14ac:dyDescent="0.25">
      <c r="B143" s="403" t="s">
        <v>835</v>
      </c>
      <c r="C143" s="403"/>
      <c r="D143" s="774"/>
      <c r="E143" s="774"/>
      <c r="F143" s="774"/>
      <c r="G143" s="689"/>
      <c r="H143" s="398"/>
      <c r="I143" s="398"/>
      <c r="J143" s="161"/>
      <c r="K143" s="161"/>
      <c r="L143" s="396"/>
      <c r="M143" s="396"/>
      <c r="N143" s="396"/>
      <c r="O143" s="63"/>
    </row>
    <row r="144" spans="1:25" x14ac:dyDescent="0.25">
      <c r="B144" s="403" t="s">
        <v>839</v>
      </c>
      <c r="C144" s="403"/>
      <c r="D144" s="780" t="s">
        <v>1099</v>
      </c>
      <c r="E144" s="780"/>
      <c r="F144" s="780"/>
      <c r="G144" s="780"/>
      <c r="H144" s="780"/>
      <c r="I144" s="780"/>
      <c r="J144" s="780"/>
      <c r="K144" s="780"/>
      <c r="L144" s="396"/>
      <c r="M144" s="397"/>
      <c r="N144" s="397"/>
      <c r="O144" s="63"/>
    </row>
    <row r="145" spans="2:15" x14ac:dyDescent="0.25">
      <c r="B145" s="403"/>
      <c r="C145" s="403"/>
      <c r="D145" s="778" t="s">
        <v>837</v>
      </c>
      <c r="E145" s="778"/>
      <c r="F145" s="778"/>
      <c r="G145" s="778"/>
      <c r="H145" s="778"/>
      <c r="I145" s="778"/>
      <c r="J145" s="778"/>
      <c r="K145" s="778"/>
      <c r="L145" s="396"/>
      <c r="M145" s="779" t="s">
        <v>838</v>
      </c>
      <c r="N145" s="779"/>
      <c r="O145" s="63"/>
    </row>
    <row r="146" spans="2:15" x14ac:dyDescent="0.25">
      <c r="B146" s="80"/>
      <c r="C146" s="80"/>
      <c r="D146" s="40"/>
      <c r="E146" s="40"/>
      <c r="F146" s="400"/>
      <c r="G146" s="400"/>
      <c r="H146" s="401"/>
      <c r="I146" s="402"/>
      <c r="J146" s="396"/>
      <c r="K146" s="396"/>
      <c r="L146" s="396"/>
      <c r="M146" s="396"/>
      <c r="N146" s="396"/>
      <c r="O146" s="396"/>
    </row>
  </sheetData>
  <sheetProtection formatCells="0" formatColumns="0"/>
  <mergeCells count="128">
    <mergeCell ref="Q116:Q117"/>
    <mergeCell ref="Q86:R87"/>
    <mergeCell ref="D87:H87"/>
    <mergeCell ref="I87:O87"/>
    <mergeCell ref="P87:P89"/>
    <mergeCell ref="D88:E88"/>
    <mergeCell ref="Q27:Q28"/>
    <mergeCell ref="R27:R28"/>
    <mergeCell ref="R116:R117"/>
    <mergeCell ref="P115:P117"/>
    <mergeCell ref="D116:E116"/>
    <mergeCell ref="F116:F117"/>
    <mergeCell ref="H116:H117"/>
    <mergeCell ref="I116:I117"/>
    <mergeCell ref="J116:K116"/>
    <mergeCell ref="L116:L117"/>
    <mergeCell ref="M116:M117"/>
    <mergeCell ref="N116:N117"/>
    <mergeCell ref="O116:O117"/>
    <mergeCell ref="Q114:R115"/>
    <mergeCell ref="M27:M28"/>
    <mergeCell ref="N27:N28"/>
    <mergeCell ref="D27:E27"/>
    <mergeCell ref="F27:F28"/>
    <mergeCell ref="D1:P1"/>
    <mergeCell ref="D3:P3"/>
    <mergeCell ref="N65:N66"/>
    <mergeCell ref="O65:O66"/>
    <mergeCell ref="Q88:Q89"/>
    <mergeCell ref="R88:R89"/>
    <mergeCell ref="H88:H89"/>
    <mergeCell ref="I88:I89"/>
    <mergeCell ref="J88:K88"/>
    <mergeCell ref="L88:L89"/>
    <mergeCell ref="M88:M89"/>
    <mergeCell ref="N88:N89"/>
    <mergeCell ref="D42:P42"/>
    <mergeCell ref="D60:P60"/>
    <mergeCell ref="D22:P22"/>
    <mergeCell ref="I26:O26"/>
    <mergeCell ref="P26:P28"/>
    <mergeCell ref="G27:G28"/>
    <mergeCell ref="H27:H28"/>
    <mergeCell ref="I27:I28"/>
    <mergeCell ref="J27:K27"/>
    <mergeCell ref="L27:L28"/>
    <mergeCell ref="G47:G48"/>
    <mergeCell ref="G65:G66"/>
    <mergeCell ref="A6:A9"/>
    <mergeCell ref="B6:B9"/>
    <mergeCell ref="D6:P6"/>
    <mergeCell ref="N8:N9"/>
    <mergeCell ref="O8:O9"/>
    <mergeCell ref="Q8:Q9"/>
    <mergeCell ref="R8:R9"/>
    <mergeCell ref="F8:F9"/>
    <mergeCell ref="H8:H9"/>
    <mergeCell ref="I8:I9"/>
    <mergeCell ref="J8:K8"/>
    <mergeCell ref="L8:L9"/>
    <mergeCell ref="M8:M9"/>
    <mergeCell ref="Q6:R7"/>
    <mergeCell ref="D7:H7"/>
    <mergeCell ref="I7:O7"/>
    <mergeCell ref="P7:P9"/>
    <mergeCell ref="D8:E8"/>
    <mergeCell ref="G8:G9"/>
    <mergeCell ref="D26:H26"/>
    <mergeCell ref="O27:O28"/>
    <mergeCell ref="A45:A48"/>
    <mergeCell ref="B45:B48"/>
    <mergeCell ref="D45:P45"/>
    <mergeCell ref="Q45:R46"/>
    <mergeCell ref="D46:H46"/>
    <mergeCell ref="I46:O46"/>
    <mergeCell ref="A25:A28"/>
    <mergeCell ref="B25:B28"/>
    <mergeCell ref="D25:P25"/>
    <mergeCell ref="Q25:R26"/>
    <mergeCell ref="Q47:Q48"/>
    <mergeCell ref="R47:R48"/>
    <mergeCell ref="P46:P48"/>
    <mergeCell ref="D47:E47"/>
    <mergeCell ref="F47:F48"/>
    <mergeCell ref="H47:H48"/>
    <mergeCell ref="I47:I48"/>
    <mergeCell ref="J47:K47"/>
    <mergeCell ref="L47:L48"/>
    <mergeCell ref="M47:M48"/>
    <mergeCell ref="N47:N48"/>
    <mergeCell ref="O47:O48"/>
    <mergeCell ref="A63:A66"/>
    <mergeCell ref="B63:B66"/>
    <mergeCell ref="D63:P63"/>
    <mergeCell ref="Q63:R64"/>
    <mergeCell ref="D64:H64"/>
    <mergeCell ref="I64:O64"/>
    <mergeCell ref="Q65:Q66"/>
    <mergeCell ref="R65:R66"/>
    <mergeCell ref="P64:P66"/>
    <mergeCell ref="D65:E65"/>
    <mergeCell ref="F65:F66"/>
    <mergeCell ref="H65:H66"/>
    <mergeCell ref="I65:I66"/>
    <mergeCell ref="J65:K65"/>
    <mergeCell ref="L65:L66"/>
    <mergeCell ref="M65:M66"/>
    <mergeCell ref="D144:K144"/>
    <mergeCell ref="D145:K145"/>
    <mergeCell ref="M145:N145"/>
    <mergeCell ref="D83:P83"/>
    <mergeCell ref="A86:A89"/>
    <mergeCell ref="B86:B89"/>
    <mergeCell ref="D86:P86"/>
    <mergeCell ref="D111:P111"/>
    <mergeCell ref="A114:A117"/>
    <mergeCell ref="B114:B117"/>
    <mergeCell ref="D140:F140"/>
    <mergeCell ref="D142:K142"/>
    <mergeCell ref="M142:N142"/>
    <mergeCell ref="D143:F143"/>
    <mergeCell ref="F88:F89"/>
    <mergeCell ref="O88:O89"/>
    <mergeCell ref="D114:P114"/>
    <mergeCell ref="G88:G89"/>
    <mergeCell ref="G116:G117"/>
    <mergeCell ref="D115:H115"/>
    <mergeCell ref="I115:O115"/>
  </mergeCells>
  <pageMargins left="0.7" right="0.7" top="0.75" bottom="0.75" header="0.3" footer="0.3"/>
  <pageSetup paperSize="9" scale="5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471"/>
  <sheetViews>
    <sheetView workbookViewId="0">
      <selection sqref="A1:XFD1048576"/>
    </sheetView>
  </sheetViews>
  <sheetFormatPr defaultColWidth="9.140625" defaultRowHeight="15" x14ac:dyDescent="0.25"/>
  <cols>
    <col min="1" max="1" width="4.85546875" customWidth="1"/>
    <col min="2" max="2" width="18.85546875" customWidth="1"/>
    <col min="3" max="3" width="10.85546875" customWidth="1"/>
    <col min="4" max="4" width="10.28515625" customWidth="1"/>
    <col min="5" max="5" width="9.28515625" customWidth="1"/>
    <col min="6" max="7" width="7.28515625" customWidth="1"/>
    <col min="8" max="9" width="9.28515625" customWidth="1"/>
    <col min="10" max="10" width="9.140625" customWidth="1"/>
    <col min="11" max="11" width="10" customWidth="1"/>
    <col min="12" max="13" width="10.85546875" customWidth="1"/>
    <col min="14" max="14" width="12" customWidth="1"/>
    <col min="15" max="15" width="9.85546875" customWidth="1"/>
    <col min="17" max="17" width="13.5703125" customWidth="1"/>
    <col min="18" max="18" width="14.7109375" customWidth="1"/>
    <col min="19" max="19" width="11.7109375" customWidth="1"/>
  </cols>
  <sheetData>
    <row r="1" spans="1:27" s="1" customFormat="1" x14ac:dyDescent="0.2">
      <c r="A1" s="10"/>
      <c r="B1" s="10"/>
      <c r="C1" s="10"/>
      <c r="D1" s="802" t="s">
        <v>1043</v>
      </c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10"/>
      <c r="T1" s="418" t="s">
        <v>847</v>
      </c>
      <c r="U1" s="419" t="s">
        <v>848</v>
      </c>
      <c r="V1" s="419" t="s">
        <v>845</v>
      </c>
      <c r="W1" s="419" t="s">
        <v>846</v>
      </c>
      <c r="X1" s="420" t="s">
        <v>854</v>
      </c>
      <c r="Y1" s="32"/>
      <c r="Z1" s="427" t="s">
        <v>845</v>
      </c>
      <c r="AA1" s="428" t="s">
        <v>846</v>
      </c>
    </row>
    <row r="2" spans="1:27" s="1" customFormat="1" ht="11.25" x14ac:dyDescent="0.2">
      <c r="A2" s="10"/>
      <c r="B2" s="10"/>
      <c r="C2" s="10"/>
      <c r="D2" s="10"/>
      <c r="E2" s="13"/>
      <c r="F2" s="13"/>
      <c r="G2" s="13"/>
      <c r="H2" s="13"/>
      <c r="I2" s="10"/>
      <c r="J2" s="45"/>
      <c r="K2" s="10"/>
      <c r="L2" s="10"/>
      <c r="M2" s="10"/>
      <c r="N2" s="10"/>
      <c r="O2" s="10"/>
      <c r="P2" s="10"/>
      <c r="Q2" s="10"/>
      <c r="R2" s="31" t="s">
        <v>240</v>
      </c>
      <c r="T2" s="806" t="s">
        <v>857</v>
      </c>
      <c r="U2" s="807"/>
      <c r="V2" s="807"/>
      <c r="W2" s="807"/>
      <c r="X2" s="808"/>
      <c r="Y2" s="32"/>
      <c r="Z2" s="804" t="s">
        <v>856</v>
      </c>
      <c r="AA2" s="805"/>
    </row>
    <row r="3" spans="1:27" s="1" customFormat="1" ht="12.75" x14ac:dyDescent="0.2">
      <c r="A3" s="33"/>
      <c r="B3" s="33"/>
      <c r="C3" s="33"/>
      <c r="D3" s="803" t="s">
        <v>1049</v>
      </c>
      <c r="E3" s="803"/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30"/>
      <c r="R3" s="37" t="s">
        <v>241</v>
      </c>
      <c r="T3" s="423" t="s">
        <v>849</v>
      </c>
      <c r="U3" s="424" t="s">
        <v>850</v>
      </c>
      <c r="V3" s="424" t="s">
        <v>851</v>
      </c>
      <c r="W3" s="424" t="s">
        <v>852</v>
      </c>
      <c r="X3" s="425" t="s">
        <v>855</v>
      </c>
      <c r="Y3" s="32"/>
      <c r="Z3" s="431" t="s">
        <v>853</v>
      </c>
      <c r="AA3" s="426" t="s">
        <v>852</v>
      </c>
    </row>
    <row r="4" spans="1:27" s="1" customFormat="1" ht="11.25" x14ac:dyDescent="0.2">
      <c r="A4" s="33"/>
      <c r="B4" s="33"/>
      <c r="C4" s="33"/>
      <c r="D4" s="38"/>
      <c r="E4" s="29"/>
      <c r="F4" s="29"/>
      <c r="G4" s="29"/>
      <c r="H4" s="30"/>
      <c r="I4" s="28"/>
      <c r="J4" s="28"/>
      <c r="K4" s="28"/>
      <c r="L4" s="28"/>
      <c r="M4" s="28"/>
      <c r="N4" s="39"/>
      <c r="O4" s="39"/>
      <c r="P4" s="28"/>
      <c r="Q4" s="28"/>
      <c r="R4" s="37" t="s">
        <v>242</v>
      </c>
    </row>
    <row r="5" spans="1:27" s="1" customFormat="1" ht="11.25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37" t="s">
        <v>243</v>
      </c>
    </row>
    <row r="6" spans="1:27" s="1" customFormat="1" ht="11.25" x14ac:dyDescent="0.2">
      <c r="A6" s="782" t="s">
        <v>244</v>
      </c>
      <c r="B6" s="790" t="s">
        <v>245</v>
      </c>
      <c r="C6" s="413"/>
      <c r="D6" s="793" t="s">
        <v>246</v>
      </c>
      <c r="E6" s="794"/>
      <c r="F6" s="794"/>
      <c r="G6" s="794"/>
      <c r="H6" s="794"/>
      <c r="I6" s="794"/>
      <c r="J6" s="794"/>
      <c r="K6" s="794"/>
      <c r="L6" s="794"/>
      <c r="M6" s="794"/>
      <c r="N6" s="794"/>
      <c r="O6" s="794"/>
      <c r="P6" s="784"/>
      <c r="Q6" s="795" t="s">
        <v>247</v>
      </c>
      <c r="R6" s="796"/>
    </row>
    <row r="7" spans="1:27" s="1" customFormat="1" ht="11.25" x14ac:dyDescent="0.2">
      <c r="A7" s="782"/>
      <c r="B7" s="791"/>
      <c r="C7" s="395"/>
      <c r="D7" s="785" t="s">
        <v>248</v>
      </c>
      <c r="E7" s="785"/>
      <c r="F7" s="785"/>
      <c r="G7" s="785"/>
      <c r="H7" s="785"/>
      <c r="I7" s="788" t="s">
        <v>249</v>
      </c>
      <c r="J7" s="788"/>
      <c r="K7" s="788"/>
      <c r="L7" s="788"/>
      <c r="M7" s="788"/>
      <c r="N7" s="788"/>
      <c r="O7" s="788"/>
      <c r="P7" s="801" t="s">
        <v>250</v>
      </c>
      <c r="Q7" s="797"/>
      <c r="R7" s="798"/>
    </row>
    <row r="8" spans="1:27" s="1" customFormat="1" ht="11.25" x14ac:dyDescent="0.2">
      <c r="A8" s="782"/>
      <c r="B8" s="791"/>
      <c r="C8" s="395"/>
      <c r="D8" s="785" t="s">
        <v>251</v>
      </c>
      <c r="E8" s="785"/>
      <c r="F8" s="786" t="s">
        <v>252</v>
      </c>
      <c r="G8" s="786" t="s">
        <v>881</v>
      </c>
      <c r="H8" s="782" t="s">
        <v>253</v>
      </c>
      <c r="I8" s="789" t="s">
        <v>254</v>
      </c>
      <c r="J8" s="788" t="s">
        <v>255</v>
      </c>
      <c r="K8" s="788"/>
      <c r="L8" s="787" t="s">
        <v>256</v>
      </c>
      <c r="M8" s="787" t="s">
        <v>257</v>
      </c>
      <c r="N8" s="787" t="s">
        <v>258</v>
      </c>
      <c r="O8" s="787" t="s">
        <v>259</v>
      </c>
      <c r="P8" s="799"/>
      <c r="Q8" s="799" t="s">
        <v>260</v>
      </c>
      <c r="R8" s="791" t="s">
        <v>261</v>
      </c>
    </row>
    <row r="9" spans="1:27" s="1" customFormat="1" ht="48.75" customHeight="1" x14ac:dyDescent="0.2">
      <c r="A9" s="782"/>
      <c r="B9" s="792"/>
      <c r="C9" s="432" t="s">
        <v>844</v>
      </c>
      <c r="D9" s="74" t="s">
        <v>262</v>
      </c>
      <c r="E9" s="74" t="s">
        <v>263</v>
      </c>
      <c r="F9" s="786"/>
      <c r="G9" s="786"/>
      <c r="H9" s="782"/>
      <c r="I9" s="789"/>
      <c r="J9" s="75" t="s">
        <v>231</v>
      </c>
      <c r="K9" s="75" t="s">
        <v>264</v>
      </c>
      <c r="L9" s="787"/>
      <c r="M9" s="787"/>
      <c r="N9" s="787"/>
      <c r="O9" s="787"/>
      <c r="P9" s="800"/>
      <c r="Q9" s="800"/>
      <c r="R9" s="792"/>
    </row>
    <row r="10" spans="1:27" s="1" customFormat="1" ht="11.25" x14ac:dyDescent="0.2">
      <c r="A10" s="42">
        <v>1</v>
      </c>
      <c r="B10" s="42">
        <v>2</v>
      </c>
      <c r="C10" s="42"/>
      <c r="D10" s="42">
        <v>3</v>
      </c>
      <c r="E10" s="42">
        <v>4</v>
      </c>
      <c r="F10" s="42">
        <v>5</v>
      </c>
      <c r="G10" s="42">
        <v>5.0999999999999996</v>
      </c>
      <c r="H10" s="42">
        <v>6</v>
      </c>
      <c r="I10" s="43">
        <v>7</v>
      </c>
      <c r="J10" s="43">
        <v>8</v>
      </c>
      <c r="K10" s="43">
        <v>9</v>
      </c>
      <c r="L10" s="43">
        <v>10</v>
      </c>
      <c r="M10" s="43">
        <v>11</v>
      </c>
      <c r="N10" s="43">
        <v>12</v>
      </c>
      <c r="O10" s="43">
        <v>13</v>
      </c>
      <c r="P10" s="43">
        <v>14</v>
      </c>
      <c r="Q10" s="43">
        <v>15</v>
      </c>
      <c r="R10" s="42">
        <v>16</v>
      </c>
    </row>
    <row r="11" spans="1:27" s="1" customFormat="1" ht="11.25" x14ac:dyDescent="0.2">
      <c r="A11" s="705">
        <v>1</v>
      </c>
      <c r="B11" s="726" t="s">
        <v>275</v>
      </c>
      <c r="C11" s="76" t="s">
        <v>846</v>
      </c>
      <c r="D11" s="6">
        <v>0</v>
      </c>
      <c r="E11" s="6">
        <v>0.74</v>
      </c>
      <c r="F11" s="279">
        <f>E11-D11</f>
        <v>0.74</v>
      </c>
      <c r="G11" s="11">
        <v>3.2</v>
      </c>
      <c r="H11" s="3" t="s">
        <v>0</v>
      </c>
      <c r="I11" s="3"/>
      <c r="J11" s="22"/>
      <c r="K11" s="23"/>
      <c r="L11" s="22"/>
      <c r="M11" s="22"/>
      <c r="N11" s="22"/>
      <c r="O11" s="22"/>
      <c r="P11" s="22"/>
      <c r="Q11" s="5">
        <v>80940010175</v>
      </c>
      <c r="R11" s="5">
        <v>80940010175</v>
      </c>
    </row>
    <row r="12" spans="1:27" s="1" customFormat="1" ht="11.25" x14ac:dyDescent="0.2">
      <c r="A12" s="705">
        <v>2</v>
      </c>
      <c r="B12" s="706" t="s">
        <v>276</v>
      </c>
      <c r="C12" s="27" t="s">
        <v>846</v>
      </c>
      <c r="D12" s="6">
        <v>0</v>
      </c>
      <c r="E12" s="6">
        <v>1.48</v>
      </c>
      <c r="F12" s="279">
        <f t="shared" ref="F12:F48" si="0">E12-D12</f>
        <v>1.48</v>
      </c>
      <c r="G12" s="11">
        <v>3.2</v>
      </c>
      <c r="H12" s="3" t="s">
        <v>0</v>
      </c>
      <c r="I12" s="3"/>
      <c r="J12" s="22"/>
      <c r="K12" s="23"/>
      <c r="L12" s="22"/>
      <c r="M12" s="22"/>
      <c r="N12" s="22"/>
      <c r="O12" s="22"/>
      <c r="P12" s="22"/>
      <c r="Q12" s="19">
        <v>80940010164</v>
      </c>
      <c r="R12" s="19">
        <v>80940010164</v>
      </c>
    </row>
    <row r="13" spans="1:27" s="1" customFormat="1" ht="11.25" x14ac:dyDescent="0.2">
      <c r="A13" s="707"/>
      <c r="B13" s="708"/>
      <c r="C13" s="27" t="s">
        <v>846</v>
      </c>
      <c r="D13" s="6">
        <v>1.48</v>
      </c>
      <c r="E13" s="6">
        <v>1.73</v>
      </c>
      <c r="F13" s="279">
        <f t="shared" si="0"/>
        <v>0.25</v>
      </c>
      <c r="G13" s="11">
        <v>3</v>
      </c>
      <c r="H13" s="3" t="s">
        <v>325</v>
      </c>
      <c r="I13" s="3"/>
      <c r="J13" s="22"/>
      <c r="K13" s="23"/>
      <c r="L13" s="22"/>
      <c r="M13" s="22"/>
      <c r="N13" s="22"/>
      <c r="O13" s="22"/>
      <c r="P13" s="22"/>
      <c r="Q13" s="19">
        <v>80940010164</v>
      </c>
      <c r="R13" s="19">
        <v>80940010164</v>
      </c>
    </row>
    <row r="14" spans="1:27" s="1" customFormat="1" ht="11.25" x14ac:dyDescent="0.2">
      <c r="A14" s="707"/>
      <c r="B14" s="727" t="s">
        <v>7</v>
      </c>
      <c r="C14" s="27" t="s">
        <v>846</v>
      </c>
      <c r="D14" s="6">
        <v>0</v>
      </c>
      <c r="E14" s="6">
        <v>0.16</v>
      </c>
      <c r="F14" s="279">
        <f t="shared" si="0"/>
        <v>0.16</v>
      </c>
      <c r="G14" s="11">
        <v>3.2</v>
      </c>
      <c r="H14" s="3" t="s">
        <v>0</v>
      </c>
      <c r="I14" s="3"/>
      <c r="J14" s="22"/>
      <c r="K14" s="23"/>
      <c r="L14" s="22"/>
      <c r="M14" s="22"/>
      <c r="N14" s="22"/>
      <c r="O14" s="22"/>
      <c r="P14" s="22"/>
      <c r="Q14" s="19">
        <v>80940010164</v>
      </c>
      <c r="R14" s="19">
        <v>80940010164</v>
      </c>
    </row>
    <row r="15" spans="1:27" s="1" customFormat="1" ht="11.25" x14ac:dyDescent="0.2">
      <c r="A15" s="705">
        <v>3</v>
      </c>
      <c r="B15" s="706" t="s">
        <v>277</v>
      </c>
      <c r="C15" s="27" t="s">
        <v>845</v>
      </c>
      <c r="D15" s="6">
        <v>0</v>
      </c>
      <c r="E15" s="6">
        <v>1.44</v>
      </c>
      <c r="F15" s="279">
        <f t="shared" si="0"/>
        <v>1.44</v>
      </c>
      <c r="G15" s="11">
        <v>4.5</v>
      </c>
      <c r="H15" s="3" t="s">
        <v>0</v>
      </c>
      <c r="I15" s="3"/>
      <c r="J15" s="22"/>
      <c r="K15" s="23"/>
      <c r="L15" s="22"/>
      <c r="M15" s="22"/>
      <c r="N15" s="22"/>
      <c r="O15" s="22"/>
      <c r="P15" s="22"/>
      <c r="Q15" s="19">
        <v>80940010172</v>
      </c>
      <c r="R15" s="19">
        <v>80940010172</v>
      </c>
    </row>
    <row r="16" spans="1:27" s="1" customFormat="1" ht="11.25" x14ac:dyDescent="0.2">
      <c r="A16" s="707"/>
      <c r="B16" s="708"/>
      <c r="C16" s="27" t="s">
        <v>845</v>
      </c>
      <c r="D16" s="6">
        <f>E15</f>
        <v>1.44</v>
      </c>
      <c r="E16" s="6">
        <f>D16+F16</f>
        <v>5.7799999999999994</v>
      </c>
      <c r="F16" s="279">
        <v>4.34</v>
      </c>
      <c r="G16" s="11">
        <v>3.5</v>
      </c>
      <c r="H16" s="3" t="s">
        <v>0</v>
      </c>
      <c r="I16" s="3"/>
      <c r="J16" s="22"/>
      <c r="K16" s="23"/>
      <c r="L16" s="22"/>
      <c r="M16" s="22"/>
      <c r="N16" s="22"/>
      <c r="O16" s="22"/>
      <c r="P16" s="22"/>
      <c r="Q16" s="456" t="s">
        <v>859</v>
      </c>
      <c r="R16" s="457">
        <v>80940010158</v>
      </c>
    </row>
    <row r="17" spans="1:18" s="1" customFormat="1" ht="11.25" x14ac:dyDescent="0.2">
      <c r="A17" s="598"/>
      <c r="B17" s="709"/>
      <c r="C17" s="27" t="s">
        <v>845</v>
      </c>
      <c r="D17" s="6">
        <f>E16</f>
        <v>5.7799999999999994</v>
      </c>
      <c r="E17" s="6">
        <f>D17+F17</f>
        <v>5.9799999999999995</v>
      </c>
      <c r="F17" s="279">
        <v>0.2</v>
      </c>
      <c r="G17" s="11">
        <v>3.5</v>
      </c>
      <c r="H17" s="3" t="s">
        <v>0</v>
      </c>
      <c r="I17" s="3"/>
      <c r="J17" s="22"/>
      <c r="K17" s="23"/>
      <c r="L17" s="22"/>
      <c r="M17" s="22"/>
      <c r="N17" s="22"/>
      <c r="O17" s="22"/>
      <c r="P17" s="22"/>
      <c r="Q17" s="456" t="s">
        <v>859</v>
      </c>
      <c r="R17" s="5">
        <v>80940010188</v>
      </c>
    </row>
    <row r="18" spans="1:18" s="1" customFormat="1" ht="11.25" x14ac:dyDescent="0.2">
      <c r="A18" s="707">
        <v>4</v>
      </c>
      <c r="B18" s="728" t="s">
        <v>278</v>
      </c>
      <c r="C18" s="76" t="s">
        <v>846</v>
      </c>
      <c r="D18" s="6">
        <v>0</v>
      </c>
      <c r="E18" s="6">
        <v>1.05</v>
      </c>
      <c r="F18" s="279">
        <f t="shared" si="0"/>
        <v>1.05</v>
      </c>
      <c r="G18" s="11">
        <v>3</v>
      </c>
      <c r="H18" s="3" t="s">
        <v>0</v>
      </c>
      <c r="I18" s="3"/>
      <c r="J18" s="22"/>
      <c r="K18" s="23"/>
      <c r="L18" s="22"/>
      <c r="M18" s="22"/>
      <c r="N18" s="22"/>
      <c r="O18" s="22"/>
      <c r="P18" s="22"/>
      <c r="Q18" s="5">
        <v>80940010171</v>
      </c>
      <c r="R18" s="5">
        <v>80940010171</v>
      </c>
    </row>
    <row r="19" spans="1:18" s="1" customFormat="1" ht="11.25" x14ac:dyDescent="0.2">
      <c r="A19" s="705">
        <v>5</v>
      </c>
      <c r="B19" s="706" t="s">
        <v>279</v>
      </c>
      <c r="C19" s="27" t="s">
        <v>845</v>
      </c>
      <c r="D19" s="6">
        <v>0.17</v>
      </c>
      <c r="E19" s="6">
        <v>1.02</v>
      </c>
      <c r="F19" s="279">
        <f t="shared" si="0"/>
        <v>0.85</v>
      </c>
      <c r="G19" s="11">
        <v>6</v>
      </c>
      <c r="H19" s="3" t="s">
        <v>0</v>
      </c>
      <c r="I19" s="3"/>
      <c r="J19" s="22"/>
      <c r="K19" s="23"/>
      <c r="L19" s="22"/>
      <c r="M19" s="22"/>
      <c r="N19" s="22"/>
      <c r="O19" s="22"/>
      <c r="P19" s="22"/>
      <c r="Q19" s="5">
        <v>80940040645</v>
      </c>
      <c r="R19" s="5">
        <v>80940040645</v>
      </c>
    </row>
    <row r="20" spans="1:18" s="1" customFormat="1" ht="11.25" x14ac:dyDescent="0.2">
      <c r="A20" s="707"/>
      <c r="B20" s="708"/>
      <c r="C20" s="27" t="s">
        <v>845</v>
      </c>
      <c r="D20" s="6">
        <v>1.02</v>
      </c>
      <c r="E20" s="6">
        <f>D20+0.15</f>
        <v>1.17</v>
      </c>
      <c r="F20" s="279">
        <f t="shared" si="0"/>
        <v>0.14999999999999991</v>
      </c>
      <c r="G20" s="11">
        <v>6</v>
      </c>
      <c r="H20" s="3" t="s">
        <v>0</v>
      </c>
      <c r="I20" s="3"/>
      <c r="J20" s="22"/>
      <c r="K20" s="23"/>
      <c r="L20" s="22"/>
      <c r="M20" s="22"/>
      <c r="N20" s="22"/>
      <c r="O20" s="22"/>
      <c r="P20" s="22"/>
      <c r="Q20" s="456" t="s">
        <v>859</v>
      </c>
      <c r="R20" s="5">
        <v>80940041176</v>
      </c>
    </row>
    <row r="21" spans="1:18" s="1" customFormat="1" ht="11.25" x14ac:dyDescent="0.2">
      <c r="A21" s="707"/>
      <c r="B21" s="708"/>
      <c r="C21" s="27" t="s">
        <v>845</v>
      </c>
      <c r="D21" s="6">
        <f>E20</f>
        <v>1.17</v>
      </c>
      <c r="E21" s="6">
        <f>D21+0.13</f>
        <v>1.2999999999999998</v>
      </c>
      <c r="F21" s="279">
        <f t="shared" si="0"/>
        <v>0.12999999999999989</v>
      </c>
      <c r="G21" s="11">
        <v>6</v>
      </c>
      <c r="H21" s="3" t="s">
        <v>0</v>
      </c>
      <c r="I21" s="3"/>
      <c r="J21" s="22"/>
      <c r="K21" s="23"/>
      <c r="L21" s="22"/>
      <c r="M21" s="22"/>
      <c r="N21" s="22"/>
      <c r="O21" s="22"/>
      <c r="P21" s="22"/>
      <c r="Q21" s="456" t="s">
        <v>859</v>
      </c>
      <c r="R21" s="5">
        <v>80940040096</v>
      </c>
    </row>
    <row r="22" spans="1:18" s="1" customFormat="1" ht="11.25" x14ac:dyDescent="0.2">
      <c r="A22" s="598"/>
      <c r="B22" s="709"/>
      <c r="C22" s="27" t="s">
        <v>845</v>
      </c>
      <c r="D22" s="6">
        <f>E21</f>
        <v>1.2999999999999998</v>
      </c>
      <c r="E22" s="6">
        <f>D22+0.06</f>
        <v>1.3599999999999999</v>
      </c>
      <c r="F22" s="279">
        <f t="shared" si="0"/>
        <v>6.0000000000000053E-2</v>
      </c>
      <c r="G22" s="11">
        <v>6</v>
      </c>
      <c r="H22" s="3" t="s">
        <v>0</v>
      </c>
      <c r="I22" s="3"/>
      <c r="J22" s="22"/>
      <c r="K22" s="23"/>
      <c r="L22" s="22"/>
      <c r="M22" s="22"/>
      <c r="N22" s="22"/>
      <c r="O22" s="22"/>
      <c r="P22" s="22"/>
      <c r="Q22" s="456" t="s">
        <v>859</v>
      </c>
      <c r="R22" s="457">
        <v>80940040828</v>
      </c>
    </row>
    <row r="23" spans="1:18" s="1" customFormat="1" ht="11.25" x14ac:dyDescent="0.2">
      <c r="A23" s="707">
        <v>6</v>
      </c>
      <c r="B23" s="708" t="s">
        <v>280</v>
      </c>
      <c r="C23" s="27" t="s">
        <v>846</v>
      </c>
      <c r="D23" s="6">
        <v>0</v>
      </c>
      <c r="E23" s="6">
        <v>0.66</v>
      </c>
      <c r="F23" s="279">
        <f t="shared" si="0"/>
        <v>0.66</v>
      </c>
      <c r="G23" s="11">
        <v>3.2</v>
      </c>
      <c r="H23" s="3" t="s">
        <v>325</v>
      </c>
      <c r="I23" s="3"/>
      <c r="J23" s="22"/>
      <c r="K23" s="23"/>
      <c r="L23" s="22"/>
      <c r="M23" s="22"/>
      <c r="N23" s="22"/>
      <c r="O23" s="22"/>
      <c r="P23" s="22"/>
      <c r="Q23" s="19">
        <v>80940040643</v>
      </c>
      <c r="R23" s="19">
        <v>80940040760</v>
      </c>
    </row>
    <row r="24" spans="1:18" s="1" customFormat="1" ht="11.25" x14ac:dyDescent="0.2">
      <c r="A24" s="707"/>
      <c r="B24" s="708"/>
      <c r="C24" s="27" t="s">
        <v>846</v>
      </c>
      <c r="D24" s="6">
        <v>0.66</v>
      </c>
      <c r="E24" s="6">
        <v>3.68</v>
      </c>
      <c r="F24" s="279">
        <f t="shared" si="0"/>
        <v>3.02</v>
      </c>
      <c r="G24" s="11">
        <v>3.2</v>
      </c>
      <c r="H24" s="3" t="s">
        <v>0</v>
      </c>
      <c r="I24" s="3"/>
      <c r="J24" s="22"/>
      <c r="K24" s="23"/>
      <c r="L24" s="22"/>
      <c r="M24" s="22"/>
      <c r="N24" s="22"/>
      <c r="O24" s="22"/>
      <c r="P24" s="22"/>
      <c r="Q24" s="19">
        <v>80940040643</v>
      </c>
      <c r="R24" s="19">
        <v>80940040643</v>
      </c>
    </row>
    <row r="25" spans="1:18" s="1" customFormat="1" ht="11.25" x14ac:dyDescent="0.2">
      <c r="A25" s="707"/>
      <c r="B25" s="708"/>
      <c r="C25" s="27" t="s">
        <v>846</v>
      </c>
      <c r="D25" s="6">
        <v>3.68</v>
      </c>
      <c r="E25" s="6">
        <v>3.95</v>
      </c>
      <c r="F25" s="279">
        <f t="shared" si="0"/>
        <v>0.27</v>
      </c>
      <c r="G25" s="11">
        <v>3.2</v>
      </c>
      <c r="H25" s="3" t="s">
        <v>0</v>
      </c>
      <c r="I25" s="3"/>
      <c r="J25" s="22"/>
      <c r="K25" s="23"/>
      <c r="L25" s="22"/>
      <c r="M25" s="22"/>
      <c r="N25" s="22"/>
      <c r="O25" s="22"/>
      <c r="P25" s="22"/>
      <c r="Q25" s="19">
        <v>80940040654</v>
      </c>
      <c r="R25" s="19">
        <v>80940040654</v>
      </c>
    </row>
    <row r="26" spans="1:18" s="1" customFormat="1" ht="11.25" x14ac:dyDescent="0.2">
      <c r="A26" s="707"/>
      <c r="B26" s="727" t="s">
        <v>210</v>
      </c>
      <c r="C26" s="27" t="s">
        <v>846</v>
      </c>
      <c r="D26" s="6">
        <v>0</v>
      </c>
      <c r="E26" s="6">
        <v>0.17</v>
      </c>
      <c r="F26" s="279">
        <f t="shared" si="0"/>
        <v>0.17</v>
      </c>
      <c r="G26" s="11">
        <v>3</v>
      </c>
      <c r="H26" s="3" t="s">
        <v>0</v>
      </c>
      <c r="I26" s="3"/>
      <c r="J26" s="22"/>
      <c r="K26" s="23"/>
      <c r="L26" s="22"/>
      <c r="M26" s="22"/>
      <c r="N26" s="22"/>
      <c r="O26" s="22"/>
      <c r="P26" s="22"/>
      <c r="Q26" s="19">
        <v>80940040643</v>
      </c>
      <c r="R26" s="19">
        <v>80940040643</v>
      </c>
    </row>
    <row r="27" spans="1:18" s="1" customFormat="1" ht="22.5" x14ac:dyDescent="0.2">
      <c r="A27" s="705">
        <v>7</v>
      </c>
      <c r="B27" s="698" t="s">
        <v>281</v>
      </c>
      <c r="C27" s="27" t="s">
        <v>845</v>
      </c>
      <c r="D27" s="6">
        <v>0</v>
      </c>
      <c r="E27" s="6">
        <v>3.46</v>
      </c>
      <c r="F27" s="279">
        <f t="shared" si="0"/>
        <v>3.46</v>
      </c>
      <c r="G27" s="11">
        <v>6</v>
      </c>
      <c r="H27" s="3" t="s">
        <v>0</v>
      </c>
      <c r="I27" s="3"/>
      <c r="J27" s="22"/>
      <c r="K27" s="23"/>
      <c r="L27" s="22"/>
      <c r="M27" s="22"/>
      <c r="N27" s="22"/>
      <c r="O27" s="22"/>
      <c r="P27" s="22"/>
      <c r="Q27" s="19">
        <v>80940040654</v>
      </c>
      <c r="R27" s="19">
        <v>80940040654</v>
      </c>
    </row>
    <row r="28" spans="1:18" s="1" customFormat="1" ht="11.25" x14ac:dyDescent="0.2">
      <c r="A28" s="598"/>
      <c r="B28" s="709"/>
      <c r="C28" s="27" t="s">
        <v>845</v>
      </c>
      <c r="D28" s="6">
        <v>3.46</v>
      </c>
      <c r="E28" s="6">
        <v>6.76</v>
      </c>
      <c r="F28" s="279">
        <f t="shared" si="0"/>
        <v>3.3</v>
      </c>
      <c r="G28" s="11">
        <v>6</v>
      </c>
      <c r="H28" s="3" t="s">
        <v>0</v>
      </c>
      <c r="I28" s="3"/>
      <c r="J28" s="22"/>
      <c r="K28" s="23"/>
      <c r="L28" s="22"/>
      <c r="M28" s="22"/>
      <c r="N28" s="22"/>
      <c r="O28" s="22"/>
      <c r="P28" s="22"/>
      <c r="Q28" s="19">
        <v>80940040654</v>
      </c>
      <c r="R28" s="19">
        <v>80940050290</v>
      </c>
    </row>
    <row r="29" spans="1:18" s="1" customFormat="1" ht="11.25" x14ac:dyDescent="0.2">
      <c r="A29" s="707">
        <v>8</v>
      </c>
      <c r="B29" s="728" t="s">
        <v>282</v>
      </c>
      <c r="C29" s="76" t="s">
        <v>846</v>
      </c>
      <c r="D29" s="6">
        <v>0</v>
      </c>
      <c r="E29" s="6">
        <v>2.46</v>
      </c>
      <c r="F29" s="279">
        <f t="shared" si="0"/>
        <v>2.46</v>
      </c>
      <c r="G29" s="11">
        <v>3</v>
      </c>
      <c r="H29" s="3" t="s">
        <v>0</v>
      </c>
      <c r="I29" s="3"/>
      <c r="J29" s="22"/>
      <c r="K29" s="23"/>
      <c r="L29" s="22"/>
      <c r="M29" s="22"/>
      <c r="N29" s="22"/>
      <c r="O29" s="22"/>
      <c r="P29" s="22"/>
      <c r="Q29" s="19">
        <v>80940050291</v>
      </c>
      <c r="R29" s="19">
        <v>80940050291</v>
      </c>
    </row>
    <row r="30" spans="1:18" s="1" customFormat="1" ht="11.25" x14ac:dyDescent="0.2">
      <c r="A30" s="705">
        <v>9</v>
      </c>
      <c r="B30" s="706" t="s">
        <v>283</v>
      </c>
      <c r="C30" s="27" t="s">
        <v>846</v>
      </c>
      <c r="D30" s="6">
        <v>0</v>
      </c>
      <c r="E30" s="6">
        <v>0.94</v>
      </c>
      <c r="F30" s="279">
        <f t="shared" si="0"/>
        <v>0.94</v>
      </c>
      <c r="G30" s="11">
        <v>4</v>
      </c>
      <c r="H30" s="3" t="s">
        <v>0</v>
      </c>
      <c r="I30" s="3"/>
      <c r="J30" s="22"/>
      <c r="K30" s="23"/>
      <c r="L30" s="22"/>
      <c r="M30" s="22"/>
      <c r="N30" s="22"/>
      <c r="O30" s="22"/>
      <c r="P30" s="22"/>
      <c r="Q30" s="19">
        <v>80940050292</v>
      </c>
      <c r="R30" s="19">
        <v>80940050292</v>
      </c>
    </row>
    <row r="31" spans="1:18" s="1" customFormat="1" ht="11.25" x14ac:dyDescent="0.2">
      <c r="A31" s="707"/>
      <c r="B31" s="708"/>
      <c r="C31" s="27" t="s">
        <v>846</v>
      </c>
      <c r="D31" s="6">
        <v>0.94</v>
      </c>
      <c r="E31" s="6">
        <f>D31+0.18</f>
        <v>1.1199999999999999</v>
      </c>
      <c r="F31" s="279">
        <f t="shared" si="0"/>
        <v>0.17999999999999994</v>
      </c>
      <c r="G31" s="11">
        <v>4</v>
      </c>
      <c r="H31" s="3" t="s">
        <v>0</v>
      </c>
      <c r="I31" s="3"/>
      <c r="J31" s="22"/>
      <c r="K31" s="23"/>
      <c r="L31" s="22"/>
      <c r="M31" s="22"/>
      <c r="N31" s="22"/>
      <c r="O31" s="22"/>
      <c r="P31" s="22"/>
      <c r="Q31" s="456" t="s">
        <v>859</v>
      </c>
      <c r="R31" s="5">
        <v>80940050068</v>
      </c>
    </row>
    <row r="32" spans="1:18" s="1" customFormat="1" ht="11.25" x14ac:dyDescent="0.2">
      <c r="A32" s="598"/>
      <c r="B32" s="709"/>
      <c r="C32" s="27" t="s">
        <v>846</v>
      </c>
      <c r="D32" s="6">
        <v>1.1200000000000001</v>
      </c>
      <c r="E32" s="6">
        <v>1.84</v>
      </c>
      <c r="F32" s="279">
        <v>0.72</v>
      </c>
      <c r="G32" s="11">
        <v>4</v>
      </c>
      <c r="H32" s="3" t="s">
        <v>0</v>
      </c>
      <c r="I32" s="3"/>
      <c r="J32" s="22"/>
      <c r="K32" s="23"/>
      <c r="L32" s="22"/>
      <c r="M32" s="22"/>
      <c r="N32" s="22"/>
      <c r="O32" s="22"/>
      <c r="P32" s="22"/>
      <c r="Q32" s="19">
        <v>80940050189</v>
      </c>
      <c r="R32" s="19">
        <v>80940050189</v>
      </c>
    </row>
    <row r="33" spans="1:32" s="1" customFormat="1" ht="11.25" x14ac:dyDescent="0.2">
      <c r="A33" s="598">
        <v>10</v>
      </c>
      <c r="B33" s="16" t="s">
        <v>284</v>
      </c>
      <c r="C33" s="76" t="s">
        <v>846</v>
      </c>
      <c r="D33" s="6">
        <v>0</v>
      </c>
      <c r="E33" s="6">
        <v>1.2</v>
      </c>
      <c r="F33" s="279">
        <f t="shared" si="0"/>
        <v>1.2</v>
      </c>
      <c r="G33" s="11">
        <v>3</v>
      </c>
      <c r="H33" s="3" t="s">
        <v>0</v>
      </c>
      <c r="I33" s="3"/>
      <c r="J33" s="22"/>
      <c r="K33" s="23"/>
      <c r="L33" s="22"/>
      <c r="M33" s="22"/>
      <c r="N33" s="22"/>
      <c r="O33" s="22"/>
      <c r="P33" s="22"/>
      <c r="Q33" s="5">
        <v>80940050293</v>
      </c>
      <c r="R33" s="5">
        <v>80940050293</v>
      </c>
    </row>
    <row r="34" spans="1:32" s="1" customFormat="1" ht="11.25" x14ac:dyDescent="0.2">
      <c r="A34" s="705">
        <v>11</v>
      </c>
      <c r="B34" s="726" t="s">
        <v>285</v>
      </c>
      <c r="C34" s="76" t="s">
        <v>846</v>
      </c>
      <c r="D34" s="6">
        <v>0</v>
      </c>
      <c r="E34" s="6">
        <v>0.28999999999999998</v>
      </c>
      <c r="F34" s="279">
        <f t="shared" si="0"/>
        <v>0.28999999999999998</v>
      </c>
      <c r="G34" s="11">
        <v>6</v>
      </c>
      <c r="H34" s="3" t="s">
        <v>4</v>
      </c>
      <c r="I34" s="3"/>
      <c r="J34" s="22"/>
      <c r="K34" s="23"/>
      <c r="L34" s="22"/>
      <c r="M34" s="22"/>
      <c r="N34" s="22"/>
      <c r="O34" s="22"/>
      <c r="P34" s="22"/>
      <c r="Q34" s="5">
        <v>80940050358</v>
      </c>
      <c r="R34" s="5">
        <v>80940050358</v>
      </c>
    </row>
    <row r="35" spans="1:32" s="1" customFormat="1" ht="22.5" x14ac:dyDescent="0.2">
      <c r="A35" s="705">
        <v>12</v>
      </c>
      <c r="B35" s="729" t="s">
        <v>286</v>
      </c>
      <c r="C35" s="27" t="s">
        <v>846</v>
      </c>
      <c r="D35" s="449">
        <v>0</v>
      </c>
      <c r="E35" s="6">
        <v>1.47</v>
      </c>
      <c r="F35" s="279">
        <f t="shared" si="0"/>
        <v>1.47</v>
      </c>
      <c r="G35" s="11">
        <v>6</v>
      </c>
      <c r="H35" s="3" t="s">
        <v>0</v>
      </c>
      <c r="I35" s="3"/>
      <c r="J35" s="22"/>
      <c r="K35" s="23"/>
      <c r="L35" s="22"/>
      <c r="M35" s="22"/>
      <c r="N35" s="22"/>
      <c r="O35" s="22"/>
      <c r="P35" s="22"/>
      <c r="Q35" s="5">
        <v>80940050417</v>
      </c>
      <c r="R35" s="5">
        <v>80940050417</v>
      </c>
    </row>
    <row r="36" spans="1:32" s="1" customFormat="1" ht="11.25" x14ac:dyDescent="0.2">
      <c r="A36" s="707"/>
      <c r="B36" s="730" t="s">
        <v>287</v>
      </c>
      <c r="C36" s="27" t="s">
        <v>846</v>
      </c>
      <c r="D36" s="449">
        <v>0</v>
      </c>
      <c r="E36" s="6">
        <v>0.16</v>
      </c>
      <c r="F36" s="279">
        <f t="shared" si="0"/>
        <v>0.16</v>
      </c>
      <c r="G36" s="11">
        <v>3</v>
      </c>
      <c r="H36" s="3" t="s">
        <v>0</v>
      </c>
      <c r="I36" s="3"/>
      <c r="J36" s="22"/>
      <c r="K36" s="23"/>
      <c r="L36" s="22"/>
      <c r="M36" s="22"/>
      <c r="N36" s="22"/>
      <c r="O36" s="22"/>
      <c r="P36" s="22"/>
      <c r="Q36" s="5">
        <v>80940050417</v>
      </c>
      <c r="R36" s="5">
        <v>80940050417</v>
      </c>
    </row>
    <row r="37" spans="1:32" s="1" customFormat="1" ht="11.25" x14ac:dyDescent="0.2">
      <c r="A37" s="705">
        <v>13</v>
      </c>
      <c r="B37" s="706" t="s">
        <v>288</v>
      </c>
      <c r="C37" s="27" t="s">
        <v>845</v>
      </c>
      <c r="D37" s="6">
        <v>0</v>
      </c>
      <c r="E37" s="6">
        <v>0.72</v>
      </c>
      <c r="F37" s="279">
        <f t="shared" si="0"/>
        <v>0.72</v>
      </c>
      <c r="G37" s="11">
        <v>7</v>
      </c>
      <c r="H37" s="3" t="s">
        <v>4</v>
      </c>
      <c r="I37" s="3"/>
      <c r="J37" s="22"/>
      <c r="K37" s="23"/>
      <c r="L37" s="22"/>
      <c r="M37" s="22"/>
      <c r="N37" s="22"/>
      <c r="O37" s="22"/>
      <c r="P37" s="77">
        <v>1803</v>
      </c>
      <c r="Q37" s="19">
        <v>80940040650</v>
      </c>
      <c r="R37" s="19">
        <v>80940040650</v>
      </c>
    </row>
    <row r="38" spans="1:32" s="1" customFormat="1" ht="11.25" x14ac:dyDescent="0.2">
      <c r="A38" s="707"/>
      <c r="B38" s="708"/>
      <c r="C38" s="27" t="s">
        <v>845</v>
      </c>
      <c r="D38" s="6">
        <v>0.72</v>
      </c>
      <c r="E38" s="6">
        <v>2.5299999999999998</v>
      </c>
      <c r="F38" s="279">
        <f t="shared" si="0"/>
        <v>1.8099999999999998</v>
      </c>
      <c r="G38" s="11">
        <v>7</v>
      </c>
      <c r="H38" s="3" t="s">
        <v>0</v>
      </c>
      <c r="I38" s="3"/>
      <c r="J38" s="22"/>
      <c r="K38" s="23"/>
      <c r="L38" s="22"/>
      <c r="M38" s="22"/>
      <c r="N38" s="22"/>
      <c r="O38" s="22"/>
      <c r="P38" s="22"/>
      <c r="Q38" s="19">
        <v>80940040650</v>
      </c>
      <c r="R38" s="19">
        <v>80940040650</v>
      </c>
    </row>
    <row r="39" spans="1:32" s="1" customFormat="1" ht="11.25" x14ac:dyDescent="0.2">
      <c r="A39" s="598"/>
      <c r="B39" s="709"/>
      <c r="C39" s="27" t="s">
        <v>845</v>
      </c>
      <c r="D39" s="6">
        <v>2.5299999999999998</v>
      </c>
      <c r="E39" s="6">
        <v>2.5599999999999996</v>
      </c>
      <c r="F39" s="279">
        <f t="shared" si="0"/>
        <v>2.9999999999999805E-2</v>
      </c>
      <c r="G39" s="11">
        <v>6</v>
      </c>
      <c r="H39" s="3" t="s">
        <v>325</v>
      </c>
      <c r="I39" s="3"/>
      <c r="J39" s="22"/>
      <c r="K39" s="23"/>
      <c r="L39" s="22"/>
      <c r="M39" s="22"/>
      <c r="N39" s="22"/>
      <c r="O39" s="22"/>
      <c r="P39" s="22"/>
      <c r="Q39" s="19">
        <v>80940040650</v>
      </c>
      <c r="R39" s="19">
        <v>80940040650</v>
      </c>
    </row>
    <row r="40" spans="1:32" s="1" customFormat="1" ht="11.25" x14ac:dyDescent="0.2">
      <c r="A40" s="707">
        <v>14</v>
      </c>
      <c r="B40" s="728" t="s">
        <v>289</v>
      </c>
      <c r="C40" s="76" t="s">
        <v>846</v>
      </c>
      <c r="D40" s="6">
        <v>0</v>
      </c>
      <c r="E40" s="6">
        <v>1.94</v>
      </c>
      <c r="F40" s="279">
        <f t="shared" si="0"/>
        <v>1.94</v>
      </c>
      <c r="G40" s="11">
        <v>4.5</v>
      </c>
      <c r="H40" s="3" t="s">
        <v>0</v>
      </c>
      <c r="I40" s="3"/>
      <c r="J40" s="22"/>
      <c r="K40" s="23"/>
      <c r="L40" s="22"/>
      <c r="M40" s="22"/>
      <c r="N40" s="22"/>
      <c r="O40" s="22"/>
      <c r="P40" s="22"/>
      <c r="Q40" s="5">
        <v>80940040753</v>
      </c>
      <c r="R40" s="5">
        <v>80940040753</v>
      </c>
    </row>
    <row r="41" spans="1:32" s="1" customFormat="1" ht="11.25" x14ac:dyDescent="0.2">
      <c r="A41" s="705">
        <v>15</v>
      </c>
      <c r="B41" s="706" t="s">
        <v>290</v>
      </c>
      <c r="C41" s="27" t="s">
        <v>846</v>
      </c>
      <c r="D41" s="6">
        <v>0</v>
      </c>
      <c r="E41" s="6">
        <v>0.52</v>
      </c>
      <c r="F41" s="279">
        <f t="shared" si="0"/>
        <v>0.52</v>
      </c>
      <c r="G41" s="11">
        <v>3</v>
      </c>
      <c r="H41" s="3" t="s">
        <v>0</v>
      </c>
      <c r="I41" s="3"/>
      <c r="J41" s="22"/>
      <c r="K41" s="23"/>
      <c r="L41" s="22"/>
      <c r="M41" s="22"/>
      <c r="N41" s="22"/>
      <c r="O41" s="22"/>
      <c r="P41" s="22"/>
      <c r="Q41" s="19">
        <v>80940040648</v>
      </c>
      <c r="R41" s="19">
        <v>80940040648</v>
      </c>
    </row>
    <row r="42" spans="1:32" s="1" customFormat="1" ht="11.25" x14ac:dyDescent="0.2">
      <c r="A42" s="707"/>
      <c r="B42" s="708"/>
      <c r="C42" s="27" t="s">
        <v>846</v>
      </c>
      <c r="D42" s="6">
        <v>0.52</v>
      </c>
      <c r="E42" s="6">
        <v>0.58000000000000007</v>
      </c>
      <c r="F42" s="279">
        <f t="shared" si="0"/>
        <v>6.0000000000000053E-2</v>
      </c>
      <c r="G42" s="11">
        <v>6</v>
      </c>
      <c r="H42" s="3" t="s">
        <v>325</v>
      </c>
      <c r="I42" s="3"/>
      <c r="J42" s="22"/>
      <c r="K42" s="23"/>
      <c r="L42" s="22"/>
      <c r="M42" s="22"/>
      <c r="N42" s="22"/>
      <c r="O42" s="22"/>
      <c r="P42" s="22"/>
      <c r="Q42" s="19">
        <v>80940040648</v>
      </c>
      <c r="R42" s="19">
        <v>80940040648</v>
      </c>
    </row>
    <row r="43" spans="1:32" s="1" customFormat="1" ht="11.25" x14ac:dyDescent="0.2">
      <c r="A43" s="707"/>
      <c r="B43" s="708"/>
      <c r="C43" s="27" t="s">
        <v>846</v>
      </c>
      <c r="D43" s="6">
        <v>0.58000000000000007</v>
      </c>
      <c r="E43" s="6">
        <v>1.04</v>
      </c>
      <c r="F43" s="279">
        <f t="shared" si="0"/>
        <v>0.45999999999999996</v>
      </c>
      <c r="G43" s="11">
        <v>3.5</v>
      </c>
      <c r="H43" s="3" t="s">
        <v>0</v>
      </c>
      <c r="I43" s="3"/>
      <c r="J43" s="22"/>
      <c r="K43" s="23"/>
      <c r="L43" s="22"/>
      <c r="M43" s="22"/>
      <c r="N43" s="22"/>
      <c r="O43" s="22"/>
      <c r="P43" s="22"/>
      <c r="Q43" s="19">
        <v>80940040648</v>
      </c>
      <c r="R43" s="19">
        <v>80940040648</v>
      </c>
    </row>
    <row r="44" spans="1:32" s="1" customFormat="1" ht="11.25" x14ac:dyDescent="0.2">
      <c r="A44" s="707"/>
      <c r="B44" s="708"/>
      <c r="C44" s="27" t="s">
        <v>846</v>
      </c>
      <c r="D44" s="72">
        <f>E43</f>
        <v>1.04</v>
      </c>
      <c r="E44" s="72">
        <f>D44+0.5</f>
        <v>1.54</v>
      </c>
      <c r="F44" s="279">
        <f t="shared" si="0"/>
        <v>0.5</v>
      </c>
      <c r="G44" s="11">
        <v>3</v>
      </c>
      <c r="H44" s="3" t="s">
        <v>0</v>
      </c>
      <c r="I44" s="3"/>
      <c r="J44" s="22"/>
      <c r="K44" s="23"/>
      <c r="L44" s="22"/>
      <c r="M44" s="22"/>
      <c r="N44" s="22"/>
      <c r="O44" s="22"/>
      <c r="P44" s="22"/>
      <c r="Q44" s="456" t="s">
        <v>859</v>
      </c>
      <c r="R44" s="5" t="s">
        <v>860</v>
      </c>
    </row>
    <row r="45" spans="1:32" s="1" customFormat="1" ht="11.25" x14ac:dyDescent="0.2">
      <c r="A45" s="5">
        <v>16</v>
      </c>
      <c r="B45" s="3" t="s">
        <v>291</v>
      </c>
      <c r="C45" s="27" t="s">
        <v>845</v>
      </c>
      <c r="D45" s="6">
        <v>0</v>
      </c>
      <c r="E45" s="6">
        <v>1.45</v>
      </c>
      <c r="F45" s="279">
        <f t="shared" si="0"/>
        <v>1.45</v>
      </c>
      <c r="G45" s="11">
        <v>3</v>
      </c>
      <c r="H45" s="3" t="s">
        <v>0</v>
      </c>
      <c r="I45" s="3"/>
      <c r="J45" s="22"/>
      <c r="K45" s="23"/>
      <c r="L45" s="22"/>
      <c r="M45" s="22"/>
      <c r="N45" s="22"/>
      <c r="O45" s="22"/>
      <c r="P45" s="22"/>
      <c r="Q45" s="5">
        <v>80940030219</v>
      </c>
      <c r="R45" s="5">
        <v>80940030219</v>
      </c>
    </row>
    <row r="46" spans="1:32" s="1" customFormat="1" ht="22.5" x14ac:dyDescent="0.2">
      <c r="A46" s="5">
        <v>17</v>
      </c>
      <c r="B46" s="702" t="s">
        <v>292</v>
      </c>
      <c r="C46" s="76" t="s">
        <v>846</v>
      </c>
      <c r="D46" s="6">
        <v>0</v>
      </c>
      <c r="E46" s="6">
        <v>0.87</v>
      </c>
      <c r="F46" s="279">
        <f t="shared" si="0"/>
        <v>0.87</v>
      </c>
      <c r="G46" s="11">
        <v>4.5</v>
      </c>
      <c r="H46" s="3" t="s">
        <v>0</v>
      </c>
      <c r="I46" s="3"/>
      <c r="J46" s="22"/>
      <c r="K46" s="23"/>
      <c r="L46" s="22"/>
      <c r="M46" s="22"/>
      <c r="N46" s="22"/>
      <c r="O46" s="22"/>
      <c r="P46" s="22"/>
      <c r="Q46" s="5">
        <v>80940030223</v>
      </c>
      <c r="R46" s="5">
        <v>80940030223</v>
      </c>
    </row>
    <row r="47" spans="1:32" s="1" customFormat="1" ht="11.25" x14ac:dyDescent="0.2">
      <c r="A47" s="5">
        <v>18</v>
      </c>
      <c r="B47" s="3" t="s">
        <v>293</v>
      </c>
      <c r="C47" s="76" t="s">
        <v>846</v>
      </c>
      <c r="D47" s="6">
        <v>0</v>
      </c>
      <c r="E47" s="6">
        <v>0.28999999999999998</v>
      </c>
      <c r="F47" s="279">
        <f t="shared" si="0"/>
        <v>0.28999999999999998</v>
      </c>
      <c r="G47" s="11">
        <v>4.5</v>
      </c>
      <c r="H47" s="3" t="s">
        <v>4</v>
      </c>
      <c r="I47" s="3"/>
      <c r="J47" s="22"/>
      <c r="K47" s="23"/>
      <c r="L47" s="22"/>
      <c r="M47" s="22"/>
      <c r="N47" s="22"/>
      <c r="O47" s="22"/>
      <c r="P47" s="22"/>
      <c r="Q47" s="5">
        <v>80940030224</v>
      </c>
      <c r="R47" s="5">
        <v>80940030224</v>
      </c>
    </row>
    <row r="48" spans="1:32" s="1" customFormat="1" x14ac:dyDescent="0.25">
      <c r="A48" s="5">
        <v>19</v>
      </c>
      <c r="B48" s="3" t="s">
        <v>294</v>
      </c>
      <c r="C48" s="27" t="s">
        <v>846</v>
      </c>
      <c r="D48" s="6">
        <v>0</v>
      </c>
      <c r="E48" s="6">
        <v>0.3</v>
      </c>
      <c r="F48" s="279">
        <f t="shared" si="0"/>
        <v>0.3</v>
      </c>
      <c r="G48" s="11">
        <v>3.5</v>
      </c>
      <c r="H48" s="3" t="s">
        <v>0</v>
      </c>
      <c r="I48" s="3"/>
      <c r="J48" s="22"/>
      <c r="K48" s="23"/>
      <c r="L48" s="22"/>
      <c r="M48" s="22"/>
      <c r="N48" s="22"/>
      <c r="O48" s="22"/>
      <c r="P48" s="22"/>
      <c r="Q48" s="5">
        <v>80940030321</v>
      </c>
      <c r="R48" s="5">
        <v>80940030321</v>
      </c>
      <c r="S48"/>
      <c r="T48"/>
      <c r="U48"/>
      <c r="V48"/>
      <c r="W48"/>
      <c r="X48"/>
      <c r="Y48"/>
      <c r="Z48"/>
      <c r="AA48" t="s">
        <v>1097</v>
      </c>
      <c r="AB48"/>
      <c r="AC48"/>
      <c r="AD48"/>
      <c r="AE48"/>
      <c r="AF48"/>
    </row>
    <row r="49" spans="1:32" s="1" customFormat="1" ht="22.5" x14ac:dyDescent="0.2">
      <c r="A49" s="10"/>
      <c r="B49" s="13"/>
      <c r="C49" s="437"/>
      <c r="D49" s="10"/>
      <c r="E49" s="10"/>
      <c r="F49" s="13"/>
      <c r="G49" s="13"/>
      <c r="H49" s="13"/>
      <c r="I49" s="13"/>
      <c r="J49" s="10"/>
      <c r="K49" s="53" t="s">
        <v>268</v>
      </c>
      <c r="L49" s="54">
        <f>SUM(L45:L48)</f>
        <v>0</v>
      </c>
      <c r="M49" s="54">
        <f>SUM(M45:M48)</f>
        <v>0</v>
      </c>
      <c r="N49" s="55"/>
      <c r="O49" s="53" t="s">
        <v>269</v>
      </c>
      <c r="P49" s="50">
        <f>SUM(P11:P48)</f>
        <v>1803</v>
      </c>
      <c r="Q49" s="10"/>
      <c r="R49" s="10"/>
      <c r="S49" s="102"/>
      <c r="T49" s="625" t="s">
        <v>1092</v>
      </c>
      <c r="U49" s="625" t="s">
        <v>1093</v>
      </c>
      <c r="V49" s="625" t="s">
        <v>1094</v>
      </c>
      <c r="W49" s="625" t="s">
        <v>1095</v>
      </c>
      <c r="X49" s="625" t="s">
        <v>1096</v>
      </c>
      <c r="Y49" s="627" t="s">
        <v>269</v>
      </c>
      <c r="Z49" s="102"/>
      <c r="AA49" s="625" t="s">
        <v>1092</v>
      </c>
      <c r="AB49" s="625" t="s">
        <v>1093</v>
      </c>
      <c r="AC49" s="625" t="s">
        <v>1094</v>
      </c>
      <c r="AD49" s="625" t="s">
        <v>1095</v>
      </c>
      <c r="AE49" s="625" t="s">
        <v>1096</v>
      </c>
      <c r="AF49" s="627" t="s">
        <v>269</v>
      </c>
    </row>
    <row r="50" spans="1:32" s="1" customFormat="1" ht="11.25" x14ac:dyDescent="0.2">
      <c r="A50" s="46" t="s">
        <v>295</v>
      </c>
      <c r="B50" s="47"/>
      <c r="C50" s="47"/>
      <c r="D50" s="48"/>
      <c r="E50" s="49"/>
      <c r="F50" s="50">
        <f>SUM(F11:F48)</f>
        <v>38.1</v>
      </c>
      <c r="G50" s="688"/>
      <c r="H50" s="51"/>
      <c r="I50" s="40"/>
      <c r="J50" s="52"/>
      <c r="Q50" s="55"/>
      <c r="S50" s="628" t="s">
        <v>844</v>
      </c>
      <c r="T50" s="625" t="s">
        <v>231</v>
      </c>
      <c r="U50" s="625" t="s">
        <v>231</v>
      </c>
      <c r="V50" s="625" t="s">
        <v>231</v>
      </c>
      <c r="W50" s="625" t="s">
        <v>231</v>
      </c>
      <c r="X50" s="625" t="s">
        <v>231</v>
      </c>
      <c r="Y50" s="626" t="s">
        <v>231</v>
      </c>
      <c r="Z50" s="628"/>
      <c r="AA50" s="625" t="s">
        <v>231</v>
      </c>
      <c r="AB50" s="625" t="s">
        <v>231</v>
      </c>
      <c r="AC50" s="625" t="s">
        <v>231</v>
      </c>
      <c r="AD50" s="625" t="s">
        <v>231</v>
      </c>
      <c r="AE50" s="625" t="s">
        <v>231</v>
      </c>
      <c r="AF50" s="626" t="s">
        <v>231</v>
      </c>
    </row>
    <row r="51" spans="1:32" s="1" customFormat="1" ht="11.25" x14ac:dyDescent="0.2">
      <c r="A51" s="56" t="s">
        <v>270</v>
      </c>
      <c r="B51" s="57"/>
      <c r="C51" s="57"/>
      <c r="D51" s="58"/>
      <c r="E51" s="59"/>
      <c r="F51" s="60">
        <f>F34+F37+F47</f>
        <v>1.3</v>
      </c>
      <c r="G51" s="81"/>
      <c r="H51" s="61"/>
      <c r="I51" s="62"/>
      <c r="J51" s="55"/>
      <c r="K51" s="63"/>
      <c r="L51" s="64"/>
      <c r="M51" s="64"/>
      <c r="N51" s="55"/>
      <c r="O51" s="55"/>
      <c r="P51" s="55"/>
      <c r="Q51" s="55"/>
      <c r="S51" s="616" t="s">
        <v>847</v>
      </c>
      <c r="T51" s="624">
        <f>SUMIFS(F11:F48,C11:C48,"A",H11:H48,"melnais")</f>
        <v>0</v>
      </c>
      <c r="U51" s="624">
        <f>SUMIFS(F11:F48,C11:C48,"A",H11:H48,"dubultā virsma")</f>
        <v>0</v>
      </c>
      <c r="V51" s="624">
        <f>SUMIFS(F11:F48,C11:C48,"A",H11:H48,"bruģis")</f>
        <v>0</v>
      </c>
      <c r="W51" s="624">
        <f>SUMIFS(F11:F48,C11:C48,"A",H11:H48,"grants")</f>
        <v>0</v>
      </c>
      <c r="X51" s="624">
        <f>SUMIFS(F11:F48,C11:C48,"A",H11:H48,"cits segums")</f>
        <v>0</v>
      </c>
      <c r="Y51" s="624">
        <f>SUM(T51:X51)</f>
        <v>0</v>
      </c>
      <c r="Z51" s="616" t="s">
        <v>847</v>
      </c>
      <c r="AA51" s="614">
        <f>SUMIFS(F11:F48,C11:C48,"A",H11:H48,"melnais", Q11:Q48,"Nepiederošs")</f>
        <v>0</v>
      </c>
      <c r="AB51" s="614">
        <f>SUMIFS(F11:F48,C11:C48,"A",H11:H48,"dubultā virsma", Q11:Q48,"Nepiederošs")</f>
        <v>0</v>
      </c>
      <c r="AC51" s="614">
        <f>SUMIFS(F11:F48,C11:C48,"A",H11:H48,"bruģis", Q11:Q48,"Nepiederošs")</f>
        <v>0</v>
      </c>
      <c r="AD51" s="614">
        <f>SUMIFS(F11:F48,C11:C48,"A",H11:H48,"grants", Q11:Q48,"Nepiederošs")</f>
        <v>0</v>
      </c>
      <c r="AE51" s="614">
        <f>SUMIFS(F11:F48,C11:C48,"A",H11:H48,"cits segums", Q11:Q48,"Nepiederošs")</f>
        <v>0</v>
      </c>
      <c r="AF51" s="614">
        <f>SUM(AA51:AE51)</f>
        <v>0</v>
      </c>
    </row>
    <row r="52" spans="1:32" s="1" customFormat="1" ht="11.25" x14ac:dyDescent="0.2">
      <c r="A52" s="56" t="s">
        <v>271</v>
      </c>
      <c r="B52" s="57"/>
      <c r="C52" s="57"/>
      <c r="D52" s="58"/>
      <c r="E52" s="59"/>
      <c r="F52" s="60">
        <v>0</v>
      </c>
      <c r="G52" s="81"/>
      <c r="H52" s="65"/>
      <c r="I52" s="40"/>
      <c r="J52" s="66"/>
      <c r="K52" s="67"/>
      <c r="L52" s="67"/>
      <c r="M52" s="67"/>
      <c r="N52" s="68"/>
      <c r="O52" s="55"/>
      <c r="P52" s="55"/>
      <c r="Q52" s="55"/>
      <c r="S52" s="617" t="s">
        <v>848</v>
      </c>
      <c r="T52" s="624">
        <f>SUMIFS(F11:F48,C11:C48,"B",H11:H48,"melnais")</f>
        <v>0</v>
      </c>
      <c r="U52" s="624">
        <f>SUMIFS(F11:F48,C11:C48,"B",H11:H48,"dubultā virsma")</f>
        <v>0</v>
      </c>
      <c r="V52" s="624">
        <f>SUMIFS(F11:F48,C11:C48,"B",H11:H48,"bruģis")</f>
        <v>0</v>
      </c>
      <c r="W52" s="624">
        <f>SUMIFS(F11:F48,C11:C48,"B",H11:H48,"grants")</f>
        <v>0</v>
      </c>
      <c r="X52" s="624">
        <f>SUMIFS(F11:F48,C11:C48,"B",H11:H48,"cits segums")</f>
        <v>0</v>
      </c>
      <c r="Y52" s="624">
        <f t="shared" ref="Y52:Y54" si="1">SUM(T52:X52)</f>
        <v>0</v>
      </c>
      <c r="Z52" s="617" t="s">
        <v>848</v>
      </c>
      <c r="AA52" s="614">
        <f>SUMIFS(F11:F48,C11:C48,"B",H11:H48,"melnais", Q11:Q48,"Nepiederošs")</f>
        <v>0</v>
      </c>
      <c r="AB52" s="614">
        <f>SUMIFS(F11:F48,C11:C48,"B",H11:H48,"dubultā virsma", Q11:Q48,"Nepiederošs")</f>
        <v>0</v>
      </c>
      <c r="AC52" s="614">
        <f>SUMIFS(F11:F48,C11:C48,"B",H11:H48,"bruģis", Q11:Q48,"Nepiederošs")</f>
        <v>0</v>
      </c>
      <c r="AD52" s="614">
        <f>SUMIFS(F11:F48,C11:C48,"B",H11:H48,"grants", Q11:Q48,"Nepiederošs")</f>
        <v>0</v>
      </c>
      <c r="AE52" s="614">
        <f>SUMIFS(F11:F48,C11:C48,"B",H11:H48,"cits segums", Q11:Q48,"Nepiederošs")</f>
        <v>0</v>
      </c>
      <c r="AF52" s="614">
        <f t="shared" ref="AF52:AF54" si="2">SUM(AA52:AE52)</f>
        <v>0</v>
      </c>
    </row>
    <row r="53" spans="1:32" s="1" customFormat="1" ht="11.25" x14ac:dyDescent="0.2">
      <c r="A53" s="56" t="s">
        <v>272</v>
      </c>
      <c r="B53" s="57"/>
      <c r="C53" s="57"/>
      <c r="D53" s="58"/>
      <c r="E53" s="59"/>
      <c r="F53" s="60">
        <f>F50-F51-F54</f>
        <v>35.800000000000004</v>
      </c>
      <c r="G53" s="81"/>
      <c r="H53" s="65"/>
      <c r="I53" s="65"/>
      <c r="J53" s="66"/>
      <c r="K53" s="67"/>
      <c r="L53" s="67"/>
      <c r="M53" s="67"/>
      <c r="N53" s="68"/>
      <c r="O53" s="55"/>
      <c r="P53" s="55"/>
      <c r="Q53" s="55"/>
      <c r="S53" s="615" t="s">
        <v>845</v>
      </c>
      <c r="T53" s="624">
        <f>SUMIFS(F11:F48,C11:C48,"C",H11:H48,"melnais")</f>
        <v>0.72</v>
      </c>
      <c r="U53" s="624">
        <f>SUMIFS(F11:F48,C11:C48,"C",H11:H48,"dubultā virsma")</f>
        <v>0</v>
      </c>
      <c r="V53" s="624">
        <f>SUMIFS(F11:F48,C11:C48,"C",H11:H48,"bruģis")</f>
        <v>0</v>
      </c>
      <c r="W53" s="624">
        <f>SUMIFS(F11:F48,C11:C48,"C",H11:H48,"grants")</f>
        <v>17.190000000000001</v>
      </c>
      <c r="X53" s="624">
        <f>SUMIFS(F11:F48,C11:C48,"C",H11:H48,"cits segums")</f>
        <v>2.9999999999999805E-2</v>
      </c>
      <c r="Y53" s="624">
        <f t="shared" si="1"/>
        <v>17.940000000000001</v>
      </c>
      <c r="Z53" s="615" t="s">
        <v>845</v>
      </c>
      <c r="AA53" s="614">
        <f>SUMIFS(F11:F48,C11:C48,"C",H11:H48,"melnais", Q11:Q48,"Nepiederošs")</f>
        <v>0</v>
      </c>
      <c r="AB53" s="614">
        <f>SUMIFS(F11:F48,C11:C48,"C",H11:H48,"dubultā virsma", Q11:Q48,"Nepiederošs")</f>
        <v>0</v>
      </c>
      <c r="AC53" s="614">
        <f>SUMIFS(F11:F48,C11:C48,"C",H11:H48,"bruģis", Q11:Q48,"Nepiederošs")</f>
        <v>0</v>
      </c>
      <c r="AD53" s="614">
        <f>SUMIFS(F11:F48,C11:C48,"C",H11:H48,"grants", Q11:Q48,"Nepiederošs")</f>
        <v>4.879999999999999</v>
      </c>
      <c r="AE53" s="614">
        <f>SUMIFS(F11:F48,C11:C48,"C",H11:H48,"cits segums", Q11:Q48,"Nepiederošs")</f>
        <v>0</v>
      </c>
      <c r="AF53" s="614">
        <f t="shared" si="2"/>
        <v>4.879999999999999</v>
      </c>
    </row>
    <row r="54" spans="1:32" s="1" customFormat="1" ht="11.25" x14ac:dyDescent="0.2">
      <c r="A54" s="56" t="s">
        <v>273</v>
      </c>
      <c r="B54" s="57"/>
      <c r="C54" s="57"/>
      <c r="D54" s="58"/>
      <c r="E54" s="59"/>
      <c r="F54" s="60">
        <f>F42+F39+F23+F13</f>
        <v>0.99999999999999989</v>
      </c>
      <c r="G54" s="81"/>
      <c r="H54" s="69"/>
      <c r="I54" s="65"/>
      <c r="J54" s="70"/>
      <c r="K54" s="67"/>
      <c r="L54" s="67"/>
      <c r="M54" s="67"/>
      <c r="N54" s="68"/>
      <c r="O54" s="55"/>
      <c r="P54" s="55"/>
      <c r="Q54" s="55"/>
      <c r="S54" s="616" t="s">
        <v>846</v>
      </c>
      <c r="T54" s="624">
        <f>SUMIFS(F11:F48,C11:C48,"D",H11:H48,"melnais")</f>
        <v>0.57999999999999996</v>
      </c>
      <c r="U54" s="624">
        <f>SUMIFS(F11:F48,C11:C48,"D",H11:H48,"dubultā virsma")</f>
        <v>0</v>
      </c>
      <c r="V54" s="624">
        <f>SUMIFS(F11:F48,C11:C48,"D",H11:H48,"bruģis")</f>
        <v>0</v>
      </c>
      <c r="W54" s="624">
        <f>SUMIFS(F11:F48,C11:C48,"D",H11:H48,"grants")</f>
        <v>18.61</v>
      </c>
      <c r="X54" s="624">
        <f>SUMIFS(F11:F48,C11:C48,"D",H11:H48,"cits segums")</f>
        <v>0.97000000000000008</v>
      </c>
      <c r="Y54" s="624">
        <f t="shared" si="1"/>
        <v>20.159999999999997</v>
      </c>
      <c r="Z54" s="616" t="s">
        <v>846</v>
      </c>
      <c r="AA54" s="614">
        <f>SUMIFS(F11:F48,C11:C48,"D",H11:H48,"melnais", Q11:Q48,"Nepiederošs")</f>
        <v>0</v>
      </c>
      <c r="AB54" s="614">
        <f>SUMIFS(F11:F48,C11:C48,"D",H11:H48,"dubultā virsma", Q11:Q48,"Nepiederošs")</f>
        <v>0</v>
      </c>
      <c r="AC54" s="614">
        <f>SUMIFS(F11:F48,C11:C48,"D",H11:H48,"bruģis", Q11:Q48,"Nepiederošs")</f>
        <v>0</v>
      </c>
      <c r="AD54" s="614">
        <f>SUMIFS(F11:F48,C11:C48,"D",H11:H48,"grants", Q11:Q48,"Nepiederošs")</f>
        <v>0.67999999999999994</v>
      </c>
      <c r="AE54" s="614">
        <f>SUMIFS(F11:F48,C11:C48,"D",H11:H48,"cits segums", Q11:Q48,"Nepiederošs")</f>
        <v>0</v>
      </c>
      <c r="AF54" s="614">
        <f t="shared" si="2"/>
        <v>0.67999999999999994</v>
      </c>
    </row>
    <row r="55" spans="1:32" x14ac:dyDescent="0.25">
      <c r="B55" s="731"/>
      <c r="C55" s="438"/>
      <c r="T55" s="630">
        <f>SUM(T51:T54)</f>
        <v>1.2999999999999998</v>
      </c>
      <c r="U55" s="630">
        <f t="shared" ref="U55:Y55" si="3">SUM(U51:U54)</f>
        <v>0</v>
      </c>
      <c r="V55" s="630">
        <f t="shared" si="3"/>
        <v>0</v>
      </c>
      <c r="W55" s="630">
        <f t="shared" si="3"/>
        <v>35.799999999999997</v>
      </c>
      <c r="X55" s="630">
        <f t="shared" si="3"/>
        <v>0.99999999999999989</v>
      </c>
      <c r="Y55" s="630">
        <f t="shared" si="3"/>
        <v>38.099999999999994</v>
      </c>
      <c r="AA55" s="629">
        <f>SUM(AA51:AA54)</f>
        <v>0</v>
      </c>
      <c r="AB55" s="629">
        <f t="shared" ref="AB55:AF55" si="4">SUM(AB51:AB54)</f>
        <v>0</v>
      </c>
      <c r="AC55" s="629">
        <f>SUM(AC51:AC54)</f>
        <v>0</v>
      </c>
      <c r="AD55" s="629">
        <f t="shared" si="4"/>
        <v>5.5599999999999987</v>
      </c>
      <c r="AE55" s="629">
        <f t="shared" si="4"/>
        <v>0</v>
      </c>
      <c r="AF55" s="629">
        <f t="shared" si="4"/>
        <v>5.5599999999999987</v>
      </c>
    </row>
    <row r="56" spans="1:32" s="32" customFormat="1" ht="15" customHeight="1" x14ac:dyDescent="0.25">
      <c r="A56" s="33"/>
      <c r="B56" s="33"/>
      <c r="C56" s="33"/>
      <c r="D56" s="781" t="s">
        <v>1050</v>
      </c>
      <c r="E56" s="781"/>
      <c r="F56" s="781"/>
      <c r="G56" s="781"/>
      <c r="H56" s="781"/>
      <c r="I56" s="781"/>
      <c r="J56" s="781"/>
      <c r="K56" s="781"/>
      <c r="L56" s="781"/>
      <c r="M56" s="781"/>
      <c r="N56" s="781"/>
      <c r="O56" s="781"/>
      <c r="P56" s="781"/>
      <c r="Q56" s="30"/>
      <c r="R56" s="37"/>
      <c r="AC56" s="631"/>
    </row>
    <row r="57" spans="1:32" s="32" customFormat="1" ht="11.25" x14ac:dyDescent="0.25">
      <c r="A57" s="33"/>
      <c r="B57" s="33"/>
      <c r="C57" s="33"/>
      <c r="D57" s="38"/>
      <c r="E57" s="29"/>
      <c r="F57" s="29"/>
      <c r="G57" s="29"/>
      <c r="H57" s="30"/>
      <c r="I57" s="28"/>
      <c r="J57" s="28"/>
      <c r="K57" s="28"/>
      <c r="L57" s="28"/>
      <c r="M57" s="28"/>
      <c r="N57" s="39"/>
      <c r="O57" s="39"/>
      <c r="P57" s="28"/>
      <c r="Q57" s="28"/>
      <c r="R57" s="37"/>
    </row>
    <row r="58" spans="1:32" s="40" customFormat="1" ht="5.25" customHeight="1" x14ac:dyDescent="0.2">
      <c r="A58" s="44"/>
      <c r="B58" s="732"/>
      <c r="C58" s="39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 spans="1:32" s="40" customFormat="1" ht="12.75" customHeight="1" x14ac:dyDescent="0.2">
      <c r="A59" s="782" t="s">
        <v>244</v>
      </c>
      <c r="B59" s="790" t="s">
        <v>245</v>
      </c>
      <c r="C59" s="413"/>
      <c r="D59" s="793" t="s">
        <v>246</v>
      </c>
      <c r="E59" s="794"/>
      <c r="F59" s="794"/>
      <c r="G59" s="794"/>
      <c r="H59" s="794"/>
      <c r="I59" s="794"/>
      <c r="J59" s="794"/>
      <c r="K59" s="794"/>
      <c r="L59" s="794"/>
      <c r="M59" s="794"/>
      <c r="N59" s="794"/>
      <c r="O59" s="794"/>
      <c r="P59" s="784"/>
      <c r="Q59" s="795" t="s">
        <v>247</v>
      </c>
      <c r="R59" s="796"/>
    </row>
    <row r="60" spans="1:32" s="40" customFormat="1" ht="12.75" customHeight="1" x14ac:dyDescent="0.2">
      <c r="A60" s="782"/>
      <c r="B60" s="791"/>
      <c r="C60" s="395"/>
      <c r="D60" s="785" t="s">
        <v>248</v>
      </c>
      <c r="E60" s="785"/>
      <c r="F60" s="785"/>
      <c r="G60" s="785"/>
      <c r="H60" s="785"/>
      <c r="I60" s="788" t="s">
        <v>249</v>
      </c>
      <c r="J60" s="788"/>
      <c r="K60" s="788"/>
      <c r="L60" s="788"/>
      <c r="M60" s="788"/>
      <c r="N60" s="788"/>
      <c r="O60" s="788"/>
      <c r="P60" s="801" t="s">
        <v>250</v>
      </c>
      <c r="Q60" s="797"/>
      <c r="R60" s="798"/>
    </row>
    <row r="61" spans="1:32" s="40" customFormat="1" ht="15.2" customHeight="1" x14ac:dyDescent="0.2">
      <c r="A61" s="782"/>
      <c r="B61" s="791"/>
      <c r="C61" s="395"/>
      <c r="D61" s="785" t="s">
        <v>251</v>
      </c>
      <c r="E61" s="785"/>
      <c r="F61" s="786" t="s">
        <v>252</v>
      </c>
      <c r="G61" s="786" t="s">
        <v>881</v>
      </c>
      <c r="H61" s="782" t="s">
        <v>253</v>
      </c>
      <c r="I61" s="789" t="s">
        <v>254</v>
      </c>
      <c r="J61" s="788" t="s">
        <v>255</v>
      </c>
      <c r="K61" s="788"/>
      <c r="L61" s="787" t="s">
        <v>256</v>
      </c>
      <c r="M61" s="787" t="s">
        <v>257</v>
      </c>
      <c r="N61" s="787" t="s">
        <v>258</v>
      </c>
      <c r="O61" s="787" t="s">
        <v>259</v>
      </c>
      <c r="P61" s="799"/>
      <c r="Q61" s="799" t="s">
        <v>260</v>
      </c>
      <c r="R61" s="791" t="s">
        <v>261</v>
      </c>
    </row>
    <row r="62" spans="1:32" s="40" customFormat="1" ht="59.25" customHeight="1" x14ac:dyDescent="0.2">
      <c r="A62" s="782"/>
      <c r="B62" s="792"/>
      <c r="C62" s="432" t="s">
        <v>844</v>
      </c>
      <c r="D62" s="74" t="s">
        <v>262</v>
      </c>
      <c r="E62" s="74" t="s">
        <v>263</v>
      </c>
      <c r="F62" s="786"/>
      <c r="G62" s="786"/>
      <c r="H62" s="782"/>
      <c r="I62" s="789"/>
      <c r="J62" s="75" t="s">
        <v>231</v>
      </c>
      <c r="K62" s="75" t="s">
        <v>264</v>
      </c>
      <c r="L62" s="787"/>
      <c r="M62" s="787"/>
      <c r="N62" s="787"/>
      <c r="O62" s="787"/>
      <c r="P62" s="800"/>
      <c r="Q62" s="800"/>
      <c r="R62" s="792"/>
    </row>
    <row r="63" spans="1:32" s="41" customFormat="1" ht="12" customHeight="1" x14ac:dyDescent="0.25">
      <c r="A63" s="42">
        <v>1</v>
      </c>
      <c r="B63" s="42">
        <v>2</v>
      </c>
      <c r="C63" s="42"/>
      <c r="D63" s="42">
        <v>3</v>
      </c>
      <c r="E63" s="42">
        <v>4</v>
      </c>
      <c r="F63" s="42">
        <v>5</v>
      </c>
      <c r="G63" s="42">
        <v>5.0999999999999996</v>
      </c>
      <c r="H63" s="42">
        <v>6</v>
      </c>
      <c r="I63" s="43">
        <v>7</v>
      </c>
      <c r="J63" s="43">
        <v>8</v>
      </c>
      <c r="K63" s="43">
        <v>9</v>
      </c>
      <c r="L63" s="43">
        <v>10</v>
      </c>
      <c r="M63" s="43">
        <v>11</v>
      </c>
      <c r="N63" s="43">
        <v>12</v>
      </c>
      <c r="O63" s="43">
        <v>13</v>
      </c>
      <c r="P63" s="43">
        <v>14</v>
      </c>
      <c r="Q63" s="43">
        <v>15</v>
      </c>
      <c r="R63" s="42">
        <v>16</v>
      </c>
    </row>
    <row r="64" spans="1:32" s="1" customFormat="1" ht="11.25" x14ac:dyDescent="0.2">
      <c r="A64" s="76">
        <v>1</v>
      </c>
      <c r="B64" s="733" t="s">
        <v>310</v>
      </c>
      <c r="C64" s="405" t="s">
        <v>846</v>
      </c>
      <c r="D64" s="6">
        <v>0</v>
      </c>
      <c r="E64" s="6">
        <v>0.98</v>
      </c>
      <c r="F64" s="6">
        <v>0.98</v>
      </c>
      <c r="G64" s="6">
        <v>3.5</v>
      </c>
      <c r="H64" s="3" t="s">
        <v>0</v>
      </c>
      <c r="I64" s="22"/>
      <c r="J64" s="23"/>
      <c r="K64" s="22"/>
      <c r="L64" s="22"/>
      <c r="M64" s="22"/>
      <c r="N64" s="22"/>
      <c r="O64" s="22"/>
      <c r="P64" s="22"/>
      <c r="Q64" s="19">
        <v>42660010116</v>
      </c>
      <c r="R64" s="19">
        <v>42660010116</v>
      </c>
    </row>
    <row r="65" spans="1:18" s="1" customFormat="1" ht="11.25" x14ac:dyDescent="0.2">
      <c r="A65" s="76">
        <v>2</v>
      </c>
      <c r="B65" s="698" t="s">
        <v>311</v>
      </c>
      <c r="C65" s="476" t="s">
        <v>846</v>
      </c>
      <c r="D65" s="6">
        <v>0</v>
      </c>
      <c r="E65" s="6">
        <v>0.21</v>
      </c>
      <c r="F65" s="6">
        <v>0.21</v>
      </c>
      <c r="G65" s="6">
        <v>3.5</v>
      </c>
      <c r="H65" s="3" t="s">
        <v>0</v>
      </c>
      <c r="I65" s="22"/>
      <c r="J65" s="23"/>
      <c r="K65" s="22"/>
      <c r="L65" s="22"/>
      <c r="M65" s="22"/>
      <c r="N65" s="22"/>
      <c r="O65" s="22"/>
      <c r="P65" s="22"/>
      <c r="Q65" s="453" t="s">
        <v>859</v>
      </c>
      <c r="R65" s="19">
        <v>42660010002</v>
      </c>
    </row>
    <row r="66" spans="1:18" s="1" customFormat="1" ht="11.25" x14ac:dyDescent="0.2">
      <c r="A66" s="76"/>
      <c r="B66" s="698"/>
      <c r="C66" s="476" t="s">
        <v>846</v>
      </c>
      <c r="D66" s="6">
        <v>0.21</v>
      </c>
      <c r="E66" s="6">
        <v>1.32</v>
      </c>
      <c r="F66" s="6">
        <v>1.32</v>
      </c>
      <c r="G66" s="6">
        <v>3.5</v>
      </c>
      <c r="H66" s="3" t="s">
        <v>0</v>
      </c>
      <c r="I66" s="22"/>
      <c r="J66" s="23"/>
      <c r="K66" s="22"/>
      <c r="L66" s="22"/>
      <c r="M66" s="22"/>
      <c r="N66" s="22"/>
      <c r="O66" s="22"/>
      <c r="P66" s="22"/>
      <c r="Q66" s="19">
        <v>42660010118</v>
      </c>
      <c r="R66" s="19">
        <v>42660010118</v>
      </c>
    </row>
    <row r="67" spans="1:18" s="1" customFormat="1" ht="11.25" x14ac:dyDescent="0.2">
      <c r="A67" s="76">
        <v>3</v>
      </c>
      <c r="B67" s="698" t="s">
        <v>312</v>
      </c>
      <c r="C67" s="476" t="s">
        <v>846</v>
      </c>
      <c r="D67" s="6">
        <v>0</v>
      </c>
      <c r="E67" s="6">
        <v>2.42</v>
      </c>
      <c r="F67" s="6">
        <v>2.42</v>
      </c>
      <c r="G67" s="6">
        <v>3.5</v>
      </c>
      <c r="H67" s="3" t="s">
        <v>0</v>
      </c>
      <c r="I67" s="22"/>
      <c r="J67" s="22"/>
      <c r="K67" s="22"/>
      <c r="L67" s="22"/>
      <c r="M67" s="23"/>
      <c r="N67" s="22"/>
      <c r="O67" s="22"/>
      <c r="P67" s="22"/>
      <c r="Q67" s="19">
        <v>42660020093</v>
      </c>
      <c r="R67" s="19">
        <v>42660020093</v>
      </c>
    </row>
    <row r="68" spans="1:18" s="1" customFormat="1" ht="11.25" x14ac:dyDescent="0.2">
      <c r="A68" s="89"/>
      <c r="B68" s="734" t="s">
        <v>239</v>
      </c>
      <c r="C68" s="476" t="s">
        <v>846</v>
      </c>
      <c r="D68" s="6">
        <v>0</v>
      </c>
      <c r="E68" s="6">
        <v>0.22</v>
      </c>
      <c r="F68" s="23">
        <v>0.22</v>
      </c>
      <c r="G68" s="72">
        <v>3</v>
      </c>
      <c r="H68" s="3" t="s">
        <v>0</v>
      </c>
      <c r="I68" s="22"/>
      <c r="J68" s="22"/>
      <c r="K68" s="22"/>
      <c r="L68" s="22"/>
      <c r="M68" s="23"/>
      <c r="N68" s="22"/>
      <c r="O68" s="22"/>
      <c r="P68" s="22"/>
      <c r="Q68" s="19">
        <v>42660020093</v>
      </c>
      <c r="R68" s="19">
        <v>42660020093</v>
      </c>
    </row>
    <row r="69" spans="1:18" s="1" customFormat="1" ht="22.5" x14ac:dyDescent="0.2">
      <c r="A69" s="76">
        <v>4</v>
      </c>
      <c r="B69" s="698" t="s">
        <v>313</v>
      </c>
      <c r="C69" s="476" t="s">
        <v>846</v>
      </c>
      <c r="D69" s="11">
        <v>0</v>
      </c>
      <c r="E69" s="11">
        <v>0.85</v>
      </c>
      <c r="F69" s="11">
        <v>0.85</v>
      </c>
      <c r="G69" s="11">
        <v>3.5</v>
      </c>
      <c r="H69" s="3" t="s">
        <v>0</v>
      </c>
      <c r="I69" s="22"/>
      <c r="J69" s="22"/>
      <c r="K69" s="22"/>
      <c r="L69" s="22"/>
      <c r="M69" s="23"/>
      <c r="N69" s="22"/>
      <c r="O69" s="22"/>
      <c r="P69" s="22"/>
      <c r="Q69" s="19">
        <v>42660020101</v>
      </c>
      <c r="R69" s="19">
        <v>42660020101</v>
      </c>
    </row>
    <row r="70" spans="1:18" s="1" customFormat="1" ht="11.25" x14ac:dyDescent="0.2">
      <c r="A70" s="89"/>
      <c r="B70" s="704" t="s">
        <v>314</v>
      </c>
      <c r="C70" s="476" t="s">
        <v>846</v>
      </c>
      <c r="D70" s="11">
        <v>0.85</v>
      </c>
      <c r="E70" s="11">
        <v>1.1000000000000001</v>
      </c>
      <c r="F70" s="11">
        <v>0.25</v>
      </c>
      <c r="G70" s="11">
        <v>3</v>
      </c>
      <c r="H70" s="3" t="s">
        <v>325</v>
      </c>
      <c r="I70" s="22"/>
      <c r="J70" s="22"/>
      <c r="K70" s="22"/>
      <c r="L70" s="22"/>
      <c r="M70" s="23"/>
      <c r="N70" s="22"/>
      <c r="O70" s="22"/>
      <c r="P70" s="22"/>
      <c r="Q70" s="19">
        <v>42660020101</v>
      </c>
      <c r="R70" s="19">
        <v>42660020101</v>
      </c>
    </row>
    <row r="71" spans="1:18" s="1" customFormat="1" ht="11.25" x14ac:dyDescent="0.2">
      <c r="A71" s="76">
        <v>5</v>
      </c>
      <c r="B71" s="698" t="s">
        <v>315</v>
      </c>
      <c r="C71" s="476" t="s">
        <v>846</v>
      </c>
      <c r="D71" s="6">
        <v>0</v>
      </c>
      <c r="E71" s="6">
        <v>0.35</v>
      </c>
      <c r="F71" s="6">
        <v>0.35</v>
      </c>
      <c r="G71" s="6">
        <v>5</v>
      </c>
      <c r="H71" s="3" t="s">
        <v>0</v>
      </c>
      <c r="I71" s="22"/>
      <c r="J71" s="22"/>
      <c r="K71" s="22"/>
      <c r="L71" s="22"/>
      <c r="M71" s="23"/>
      <c r="N71" s="22"/>
      <c r="O71" s="22"/>
      <c r="P71" s="22"/>
      <c r="Q71" s="19">
        <v>42660020094</v>
      </c>
      <c r="R71" s="19">
        <v>42660020120</v>
      </c>
    </row>
    <row r="72" spans="1:18" s="1" customFormat="1" ht="22.5" x14ac:dyDescent="0.2">
      <c r="A72" s="89"/>
      <c r="B72" s="704"/>
      <c r="C72" s="476" t="s">
        <v>846</v>
      </c>
      <c r="D72" s="6">
        <v>0.35</v>
      </c>
      <c r="E72" s="6">
        <f>D72+0.19</f>
        <v>0.54</v>
      </c>
      <c r="F72" s="6">
        <v>0.19</v>
      </c>
      <c r="G72" s="6">
        <v>5</v>
      </c>
      <c r="H72" s="3" t="s">
        <v>0</v>
      </c>
      <c r="I72" s="22"/>
      <c r="J72" s="22"/>
      <c r="K72" s="22"/>
      <c r="L72" s="22"/>
      <c r="M72" s="23"/>
      <c r="N72" s="22"/>
      <c r="O72" s="22"/>
      <c r="P72" s="22"/>
      <c r="Q72" s="453" t="s">
        <v>859</v>
      </c>
      <c r="R72" s="12" t="s">
        <v>861</v>
      </c>
    </row>
    <row r="73" spans="1:18" s="1" customFormat="1" ht="11.25" x14ac:dyDescent="0.2">
      <c r="A73" s="89"/>
      <c r="B73" s="704" t="s">
        <v>314</v>
      </c>
      <c r="C73" s="476" t="s">
        <v>846</v>
      </c>
      <c r="D73" s="6">
        <v>0.54</v>
      </c>
      <c r="E73" s="6">
        <v>1.05</v>
      </c>
      <c r="F73" s="6">
        <v>0.51</v>
      </c>
      <c r="G73" s="6">
        <v>3.5</v>
      </c>
      <c r="H73" s="3" t="s">
        <v>0</v>
      </c>
      <c r="I73" s="22"/>
      <c r="J73" s="22"/>
      <c r="K73" s="22"/>
      <c r="L73" s="22"/>
      <c r="M73" s="23"/>
      <c r="N73" s="22"/>
      <c r="O73" s="22"/>
      <c r="P73" s="22"/>
      <c r="Q73" s="19">
        <v>42660020094</v>
      </c>
      <c r="R73" s="19">
        <v>42660020094</v>
      </c>
    </row>
    <row r="74" spans="1:18" s="1" customFormat="1" ht="11.25" x14ac:dyDescent="0.2">
      <c r="A74" s="76">
        <v>6</v>
      </c>
      <c r="B74" s="698" t="s">
        <v>316</v>
      </c>
      <c r="C74" s="476" t="s">
        <v>846</v>
      </c>
      <c r="D74" s="6">
        <v>0</v>
      </c>
      <c r="E74" s="6">
        <v>7.0000000000000007E-2</v>
      </c>
      <c r="F74" s="6">
        <v>7.0000000000000007E-2</v>
      </c>
      <c r="G74" s="6">
        <v>3.5</v>
      </c>
      <c r="H74" s="3" t="s">
        <v>154</v>
      </c>
      <c r="I74" s="22"/>
      <c r="J74" s="22"/>
      <c r="K74" s="22"/>
      <c r="L74" s="22"/>
      <c r="M74" s="23"/>
      <c r="N74" s="22"/>
      <c r="O74" s="22"/>
      <c r="P74" s="22"/>
      <c r="Q74" s="19">
        <v>42660040175</v>
      </c>
      <c r="R74" s="19">
        <v>42660040175</v>
      </c>
    </row>
    <row r="75" spans="1:18" s="1" customFormat="1" ht="11.25" x14ac:dyDescent="0.2">
      <c r="A75" s="89"/>
      <c r="B75" s="704" t="s">
        <v>314</v>
      </c>
      <c r="C75" s="476" t="s">
        <v>846</v>
      </c>
      <c r="D75" s="6">
        <v>7.0000000000000007E-2</v>
      </c>
      <c r="E75" s="6">
        <v>0.99</v>
      </c>
      <c r="F75" s="6">
        <v>0.92</v>
      </c>
      <c r="G75" s="6">
        <v>3.5</v>
      </c>
      <c r="H75" s="3" t="s">
        <v>0</v>
      </c>
      <c r="I75" s="22"/>
      <c r="J75" s="22"/>
      <c r="K75" s="22"/>
      <c r="L75" s="22"/>
      <c r="M75" s="23"/>
      <c r="N75" s="22"/>
      <c r="O75" s="22"/>
      <c r="P75" s="22"/>
      <c r="Q75" s="19">
        <v>42660040175</v>
      </c>
      <c r="R75" s="19">
        <v>42660040175</v>
      </c>
    </row>
    <row r="76" spans="1:18" s="1" customFormat="1" ht="11.25" x14ac:dyDescent="0.2">
      <c r="A76" s="76">
        <v>7</v>
      </c>
      <c r="B76" s="698" t="s">
        <v>317</v>
      </c>
      <c r="C76" s="476" t="s">
        <v>846</v>
      </c>
      <c r="D76" s="6">
        <v>0</v>
      </c>
      <c r="E76" s="6">
        <v>2.31</v>
      </c>
      <c r="F76" s="6">
        <v>2.31</v>
      </c>
      <c r="G76" s="6">
        <v>4</v>
      </c>
      <c r="H76" s="3" t="s">
        <v>0</v>
      </c>
      <c r="I76" s="22"/>
      <c r="J76" s="22"/>
      <c r="K76" s="22"/>
      <c r="L76" s="22"/>
      <c r="M76" s="23"/>
      <c r="N76" s="22"/>
      <c r="O76" s="22"/>
      <c r="P76" s="22"/>
      <c r="Q76" s="19">
        <v>42660040164</v>
      </c>
      <c r="R76" s="19">
        <v>42660040164</v>
      </c>
    </row>
    <row r="77" spans="1:18" s="1" customFormat="1" ht="11.25" x14ac:dyDescent="0.2">
      <c r="A77" s="278"/>
      <c r="B77" s="700" t="s">
        <v>314</v>
      </c>
      <c r="C77" s="476" t="s">
        <v>846</v>
      </c>
      <c r="D77" s="6">
        <v>2.31</v>
      </c>
      <c r="E77" s="6">
        <v>4.33</v>
      </c>
      <c r="F77" s="6">
        <v>2.02</v>
      </c>
      <c r="G77" s="6">
        <v>4</v>
      </c>
      <c r="H77" s="3" t="s">
        <v>0</v>
      </c>
      <c r="I77" s="22"/>
      <c r="J77" s="22"/>
      <c r="K77" s="22"/>
      <c r="L77" s="22"/>
      <c r="M77" s="23"/>
      <c r="N77" s="22"/>
      <c r="O77" s="22"/>
      <c r="P77" s="22"/>
      <c r="Q77" s="19">
        <v>42660060097</v>
      </c>
      <c r="R77" s="19">
        <v>42660060097</v>
      </c>
    </row>
    <row r="78" spans="1:18" s="1" customFormat="1" ht="11.25" x14ac:dyDescent="0.2">
      <c r="A78" s="89">
        <v>8</v>
      </c>
      <c r="B78" s="701" t="s">
        <v>318</v>
      </c>
      <c r="C78" s="476" t="s">
        <v>846</v>
      </c>
      <c r="D78" s="6">
        <v>0</v>
      </c>
      <c r="E78" s="6">
        <v>2.36</v>
      </c>
      <c r="F78" s="6">
        <v>2.36</v>
      </c>
      <c r="G78" s="6">
        <v>4</v>
      </c>
      <c r="H78" s="22" t="s">
        <v>0</v>
      </c>
      <c r="I78" s="22"/>
      <c r="J78" s="22"/>
      <c r="K78" s="22"/>
      <c r="L78" s="22"/>
      <c r="M78" s="23"/>
      <c r="N78" s="22"/>
      <c r="O78" s="22"/>
      <c r="P78" s="22"/>
      <c r="Q78" s="19">
        <v>42660060098</v>
      </c>
      <c r="R78" s="19">
        <v>42660060098</v>
      </c>
    </row>
    <row r="79" spans="1:18" s="1" customFormat="1" ht="22.5" x14ac:dyDescent="0.2">
      <c r="A79" s="76">
        <v>9</v>
      </c>
      <c r="B79" s="733" t="s">
        <v>319</v>
      </c>
      <c r="C79" s="476" t="s">
        <v>846</v>
      </c>
      <c r="D79" s="6">
        <v>0</v>
      </c>
      <c r="E79" s="6">
        <v>2.5099999999999998</v>
      </c>
      <c r="F79" s="6">
        <v>2.5099999999999998</v>
      </c>
      <c r="G79" s="6">
        <v>4.5</v>
      </c>
      <c r="H79" s="22" t="s">
        <v>0</v>
      </c>
      <c r="I79" s="22"/>
      <c r="J79" s="22"/>
      <c r="K79" s="22"/>
      <c r="L79" s="22"/>
      <c r="M79" s="23"/>
      <c r="N79" s="22"/>
      <c r="O79" s="22"/>
      <c r="P79" s="22"/>
      <c r="Q79" s="19">
        <v>42660060100</v>
      </c>
      <c r="R79" s="19">
        <v>42660060100</v>
      </c>
    </row>
    <row r="80" spans="1:18" s="1" customFormat="1" ht="23.25" customHeight="1" x14ac:dyDescent="0.2">
      <c r="A80" s="27">
        <v>10</v>
      </c>
      <c r="B80" s="735" t="s">
        <v>320</v>
      </c>
      <c r="C80" s="476" t="s">
        <v>846</v>
      </c>
      <c r="D80" s="11">
        <v>0</v>
      </c>
      <c r="E80" s="11">
        <v>0.06</v>
      </c>
      <c r="F80" s="11">
        <v>0.06</v>
      </c>
      <c r="G80" s="11">
        <v>3.5</v>
      </c>
      <c r="H80" s="82" t="s">
        <v>0</v>
      </c>
      <c r="I80" s="692"/>
      <c r="J80" s="27"/>
      <c r="K80" s="476"/>
      <c r="L80" s="27"/>
      <c r="M80" s="27"/>
      <c r="N80" s="82"/>
      <c r="O80" s="476"/>
      <c r="P80" s="82"/>
      <c r="Q80" s="453" t="s">
        <v>859</v>
      </c>
      <c r="R80" s="19">
        <v>42660060040</v>
      </c>
    </row>
    <row r="81" spans="1:32" s="1" customFormat="1" ht="22.5" x14ac:dyDescent="0.2">
      <c r="A81" s="27"/>
      <c r="B81" s="735"/>
      <c r="C81" s="476" t="s">
        <v>846</v>
      </c>
      <c r="D81" s="11">
        <v>0.06</v>
      </c>
      <c r="E81" s="11">
        <v>0.73</v>
      </c>
      <c r="F81" s="11">
        <v>0.65</v>
      </c>
      <c r="G81" s="11">
        <v>3.5</v>
      </c>
      <c r="H81" s="82" t="s">
        <v>0</v>
      </c>
      <c r="I81" s="692" t="s">
        <v>326</v>
      </c>
      <c r="J81" s="27">
        <v>7.0000000000000007E-2</v>
      </c>
      <c r="K81" s="476" t="s">
        <v>327</v>
      </c>
      <c r="L81" s="90">
        <v>18.100000000000001</v>
      </c>
      <c r="M81" s="27">
        <v>127</v>
      </c>
      <c r="N81" s="82"/>
      <c r="O81" s="476" t="s">
        <v>328</v>
      </c>
      <c r="P81" s="82"/>
      <c r="Q81" s="693">
        <v>42660060101</v>
      </c>
      <c r="R81" s="693">
        <v>42660060101</v>
      </c>
    </row>
    <row r="82" spans="1:32" s="1" customFormat="1" ht="11.25" x14ac:dyDescent="0.2">
      <c r="A82" s="89">
        <v>11</v>
      </c>
      <c r="B82" s="710" t="s">
        <v>321</v>
      </c>
      <c r="C82" s="405" t="s">
        <v>846</v>
      </c>
      <c r="D82" s="6">
        <v>0</v>
      </c>
      <c r="E82" s="6">
        <v>1.98</v>
      </c>
      <c r="F82" s="6">
        <v>1.98</v>
      </c>
      <c r="G82" s="6">
        <v>4.5</v>
      </c>
      <c r="H82" s="22" t="s">
        <v>0</v>
      </c>
      <c r="I82" s="22"/>
      <c r="J82" s="22"/>
      <c r="K82" s="22"/>
      <c r="L82" s="22"/>
      <c r="M82" s="22"/>
      <c r="N82" s="22"/>
      <c r="O82" s="22"/>
      <c r="P82" s="22"/>
      <c r="Q82" s="19">
        <v>42660040177</v>
      </c>
      <c r="R82" s="19">
        <v>42660040177</v>
      </c>
    </row>
    <row r="83" spans="1:32" s="1" customFormat="1" ht="22.5" x14ac:dyDescent="0.2">
      <c r="A83" s="76">
        <v>12</v>
      </c>
      <c r="B83" s="698" t="s">
        <v>322</v>
      </c>
      <c r="C83" s="476" t="s">
        <v>845</v>
      </c>
      <c r="D83" s="6">
        <v>0</v>
      </c>
      <c r="E83" s="6">
        <v>3.05</v>
      </c>
      <c r="F83" s="6">
        <v>3.05</v>
      </c>
      <c r="G83" s="6">
        <v>7</v>
      </c>
      <c r="H83" s="22" t="s">
        <v>0</v>
      </c>
      <c r="I83" s="22"/>
      <c r="J83" s="22"/>
      <c r="K83" s="22"/>
      <c r="L83" s="22"/>
      <c r="M83" s="22"/>
      <c r="N83" s="22"/>
      <c r="O83" s="22"/>
      <c r="P83" s="22"/>
      <c r="Q83" s="19">
        <v>42660010114</v>
      </c>
      <c r="R83" s="19">
        <v>42660030106</v>
      </c>
    </row>
    <row r="84" spans="1:32" s="1" customFormat="1" ht="11.25" x14ac:dyDescent="0.2">
      <c r="A84" s="278"/>
      <c r="B84" s="700" t="s">
        <v>314</v>
      </c>
      <c r="C84" s="476" t="s">
        <v>845</v>
      </c>
      <c r="D84" s="6">
        <v>3.05</v>
      </c>
      <c r="E84" s="6">
        <v>5.46</v>
      </c>
      <c r="F84" s="6">
        <v>2.41</v>
      </c>
      <c r="G84" s="6">
        <v>7</v>
      </c>
      <c r="H84" s="22" t="s">
        <v>0</v>
      </c>
      <c r="I84" s="22"/>
      <c r="J84" s="22"/>
      <c r="K84" s="22"/>
      <c r="L84" s="22"/>
      <c r="M84" s="22"/>
      <c r="N84" s="22"/>
      <c r="O84" s="22"/>
      <c r="P84" s="22"/>
      <c r="Q84" s="19">
        <v>42660010114</v>
      </c>
      <c r="R84" s="19">
        <v>42660010114</v>
      </c>
    </row>
    <row r="85" spans="1:32" s="1" customFormat="1" ht="22.5" x14ac:dyDescent="0.2">
      <c r="A85" s="89">
        <v>13</v>
      </c>
      <c r="B85" s="701" t="s">
        <v>323</v>
      </c>
      <c r="C85" s="405" t="s">
        <v>846</v>
      </c>
      <c r="D85" s="6">
        <v>0</v>
      </c>
      <c r="E85" s="6">
        <v>0.32</v>
      </c>
      <c r="F85" s="6">
        <v>0.32</v>
      </c>
      <c r="G85" s="6">
        <v>3</v>
      </c>
      <c r="H85" s="22" t="s">
        <v>0</v>
      </c>
      <c r="I85" s="22"/>
      <c r="J85" s="22"/>
      <c r="K85" s="22"/>
      <c r="L85" s="22"/>
      <c r="M85" s="22"/>
      <c r="N85" s="22"/>
      <c r="O85" s="22"/>
      <c r="P85" s="22"/>
      <c r="Q85" s="19">
        <v>42660030113</v>
      </c>
      <c r="R85" s="19">
        <v>42660030113</v>
      </c>
    </row>
    <row r="86" spans="1:32" s="1" customFormat="1" ht="23.25" x14ac:dyDescent="0.25">
      <c r="A86" s="27">
        <v>14</v>
      </c>
      <c r="B86" s="702" t="s">
        <v>324</v>
      </c>
      <c r="C86" s="405" t="s">
        <v>846</v>
      </c>
      <c r="D86" s="6">
        <v>0</v>
      </c>
      <c r="E86" s="6">
        <v>1.04</v>
      </c>
      <c r="F86" s="6">
        <v>1.04</v>
      </c>
      <c r="G86" s="6">
        <v>3.8</v>
      </c>
      <c r="H86" s="22" t="s">
        <v>0</v>
      </c>
      <c r="I86" s="22"/>
      <c r="J86" s="22"/>
      <c r="K86" s="22"/>
      <c r="L86" s="22"/>
      <c r="M86" s="22"/>
      <c r="N86" s="22"/>
      <c r="O86" s="22"/>
      <c r="P86" s="22"/>
      <c r="Q86" s="19">
        <v>42660030114</v>
      </c>
      <c r="R86" s="19">
        <v>42660030114</v>
      </c>
      <c r="S86"/>
      <c r="T86"/>
      <c r="U86"/>
      <c r="V86"/>
      <c r="W86"/>
      <c r="X86"/>
      <c r="Y86"/>
      <c r="Z86"/>
      <c r="AA86" t="s">
        <v>1097</v>
      </c>
      <c r="AB86"/>
      <c r="AC86"/>
      <c r="AD86"/>
      <c r="AE86"/>
      <c r="AF86"/>
    </row>
    <row r="87" spans="1:32" s="1" customFormat="1" ht="22.5" x14ac:dyDescent="0.2">
      <c r="B87" s="7"/>
      <c r="C87" s="439"/>
      <c r="K87" s="53" t="s">
        <v>268</v>
      </c>
      <c r="L87" s="50">
        <f>SUM(L64:L86)</f>
        <v>18.100000000000001</v>
      </c>
      <c r="M87" s="50">
        <f>SUM(M64:M86)</f>
        <v>127</v>
      </c>
      <c r="N87" s="55"/>
      <c r="O87" s="53" t="s">
        <v>269</v>
      </c>
      <c r="P87" s="50">
        <f>SUM(P64:P86)</f>
        <v>0</v>
      </c>
      <c r="S87" s="102"/>
      <c r="T87" s="625" t="s">
        <v>1092</v>
      </c>
      <c r="U87" s="625" t="s">
        <v>1093</v>
      </c>
      <c r="V87" s="625" t="s">
        <v>1094</v>
      </c>
      <c r="W87" s="625" t="s">
        <v>1095</v>
      </c>
      <c r="X87" s="625" t="s">
        <v>1096</v>
      </c>
      <c r="Y87" s="627" t="s">
        <v>269</v>
      </c>
      <c r="Z87" s="102"/>
      <c r="AA87" s="625" t="s">
        <v>1092</v>
      </c>
      <c r="AB87" s="625" t="s">
        <v>1093</v>
      </c>
      <c r="AC87" s="625" t="s">
        <v>1094</v>
      </c>
      <c r="AD87" s="625" t="s">
        <v>1095</v>
      </c>
      <c r="AE87" s="625" t="s">
        <v>1096</v>
      </c>
      <c r="AF87" s="627" t="s">
        <v>269</v>
      </c>
    </row>
    <row r="88" spans="1:32" s="1" customFormat="1" ht="11.25" x14ac:dyDescent="0.2">
      <c r="A88" s="46" t="s">
        <v>329</v>
      </c>
      <c r="B88" s="47"/>
      <c r="C88" s="47"/>
      <c r="D88" s="48"/>
      <c r="E88" s="49"/>
      <c r="F88" s="50">
        <f>SUM(F64:F86)</f>
        <v>26.999999999999996</v>
      </c>
      <c r="G88" s="688"/>
      <c r="H88" s="51"/>
      <c r="I88" s="40"/>
      <c r="J88" s="52"/>
      <c r="Q88" s="55"/>
      <c r="S88" s="628" t="s">
        <v>844</v>
      </c>
      <c r="T88" s="625" t="s">
        <v>231</v>
      </c>
      <c r="U88" s="625" t="s">
        <v>231</v>
      </c>
      <c r="V88" s="625" t="s">
        <v>231</v>
      </c>
      <c r="W88" s="625" t="s">
        <v>231</v>
      </c>
      <c r="X88" s="625" t="s">
        <v>231</v>
      </c>
      <c r="Y88" s="626" t="s">
        <v>231</v>
      </c>
      <c r="Z88" s="628"/>
      <c r="AA88" s="625" t="s">
        <v>231</v>
      </c>
      <c r="AB88" s="625" t="s">
        <v>231</v>
      </c>
      <c r="AC88" s="625" t="s">
        <v>231</v>
      </c>
      <c r="AD88" s="625" t="s">
        <v>231</v>
      </c>
      <c r="AE88" s="625" t="s">
        <v>231</v>
      </c>
      <c r="AF88" s="626" t="s">
        <v>231</v>
      </c>
    </row>
    <row r="89" spans="1:32" s="1" customFormat="1" ht="11.25" x14ac:dyDescent="0.2">
      <c r="A89" s="56" t="s">
        <v>270</v>
      </c>
      <c r="B89" s="57"/>
      <c r="C89" s="57"/>
      <c r="D89" s="58"/>
      <c r="E89" s="59"/>
      <c r="F89" s="60">
        <v>0</v>
      </c>
      <c r="G89" s="81"/>
      <c r="H89" s="61"/>
      <c r="I89" s="62"/>
      <c r="J89" s="55"/>
      <c r="K89" s="63"/>
      <c r="L89" s="64"/>
      <c r="M89" s="64"/>
      <c r="N89" s="55"/>
      <c r="O89" s="55"/>
      <c r="P89" s="55"/>
      <c r="Q89" s="55"/>
      <c r="S89" s="616" t="s">
        <v>847</v>
      </c>
      <c r="T89" s="624">
        <f>SUMIFS(F49:F86,C49:C86,"A",H49:H86,"melnais")</f>
        <v>0</v>
      </c>
      <c r="U89" s="624">
        <f>SUMIFS(F49:F86,C49:C86,"A",H49:H86,"dubultā virsma")</f>
        <v>0</v>
      </c>
      <c r="V89" s="624">
        <f>SUMIFS(F49:F86,C49:C86,"A",H49:H86,"bruģis")</f>
        <v>0</v>
      </c>
      <c r="W89" s="624">
        <f>SUMIFS(F49:F86,C49:C86,"A",H49:H86,"grants")</f>
        <v>0</v>
      </c>
      <c r="X89" s="624">
        <f>SUMIFS(F49:F86,C49:C86,"A",H49:H86,"cits segums")</f>
        <v>0</v>
      </c>
      <c r="Y89" s="624">
        <f>SUM(T89:X89)</f>
        <v>0</v>
      </c>
      <c r="Z89" s="616" t="s">
        <v>847</v>
      </c>
      <c r="AA89" s="614">
        <f>SUMIFS(F49:F86,C49:C86,"A",H49:H86,"melnais", Q49:Q86,"Nepiederošs")</f>
        <v>0</v>
      </c>
      <c r="AB89" s="614">
        <f>SUMIFS(F49:F86,C49:C86,"A",H49:H86,"dubultā virsma", Q49:Q86,"Nepiederošs")</f>
        <v>0</v>
      </c>
      <c r="AC89" s="614">
        <f>SUMIFS(F49:F86,C49:C86,"A",H49:H86,"bruģis", Q49:Q86,"Nepiederošs")</f>
        <v>0</v>
      </c>
      <c r="AD89" s="614">
        <f>SUMIFS(F49:F86,C49:C86,"A",H49:H86,"grants", Q49:Q86,"Nepiederošs")</f>
        <v>0</v>
      </c>
      <c r="AE89" s="614">
        <f>SUMIFS(F49:F86,C49:C86,"A",H49:H86,"cits segums", Q49:Q86,"Nepiederošs")</f>
        <v>0</v>
      </c>
      <c r="AF89" s="614">
        <f>SUM(AA89:AE89)</f>
        <v>0</v>
      </c>
    </row>
    <row r="90" spans="1:32" s="1" customFormat="1" ht="11.25" x14ac:dyDescent="0.2">
      <c r="A90" s="56" t="s">
        <v>271</v>
      </c>
      <c r="B90" s="57"/>
      <c r="C90" s="57"/>
      <c r="D90" s="58"/>
      <c r="E90" s="59"/>
      <c r="F90" s="60">
        <f>F74</f>
        <v>7.0000000000000007E-2</v>
      </c>
      <c r="G90" s="81"/>
      <c r="H90" s="65"/>
      <c r="I90" s="40"/>
      <c r="J90" s="66"/>
      <c r="K90" s="67"/>
      <c r="L90" s="67"/>
      <c r="M90" s="67"/>
      <c r="N90" s="68"/>
      <c r="O90" s="55"/>
      <c r="P90" s="55"/>
      <c r="Q90" s="55"/>
      <c r="S90" s="617" t="s">
        <v>848</v>
      </c>
      <c r="T90" s="624">
        <f>SUMIFS(F49:F86,C49:C86,"B",H49:H86,"melnais")</f>
        <v>0</v>
      </c>
      <c r="U90" s="624">
        <f>SUMIFS(F49:F86,C49:C86,"B",H49:H86,"dubultā virsma")</f>
        <v>0</v>
      </c>
      <c r="V90" s="624">
        <f>SUMIFS(F49:F86,C49:C86,"B",H49:H86,"bruģis")</f>
        <v>0</v>
      </c>
      <c r="W90" s="624">
        <f>SUMIFS(F49:F86,C49:C86,"B",H49:H86,"grants")</f>
        <v>0</v>
      </c>
      <c r="X90" s="624">
        <f>SUMIFS(F49:F86,C49:C86,"B",H49:H86,"cits segums")</f>
        <v>0</v>
      </c>
      <c r="Y90" s="624">
        <f t="shared" ref="Y90:Y92" si="5">SUM(T90:X90)</f>
        <v>0</v>
      </c>
      <c r="Z90" s="617" t="s">
        <v>848</v>
      </c>
      <c r="AA90" s="614">
        <f>SUMIFS(F49:F86,C49:C86,"B",H49:H86,"melnais", Q49:Q86,"Nepiederošs")</f>
        <v>0</v>
      </c>
      <c r="AB90" s="614">
        <f>SUMIFS(F49:F86,C49:C86,"B",H49:H86,"dubultā virsma", Q49:Q86,"Nepiederošs")</f>
        <v>0</v>
      </c>
      <c r="AC90" s="614">
        <f>SUMIFS(F49:F86,C49:C86,"B",H49:H86,"bruģis", Q49:Q86,"Nepiederošs")</f>
        <v>0</v>
      </c>
      <c r="AD90" s="614">
        <f>SUMIFS(F49:F86,C49:C86,"B",H49:H86,"grants", Q49:Q86,"Nepiederošs")</f>
        <v>0</v>
      </c>
      <c r="AE90" s="614">
        <f>SUMIFS(F49:F86,C49:C86,"B",H49:H86,"cits segums", Q49:Q86,"Nepiederošs")</f>
        <v>0</v>
      </c>
      <c r="AF90" s="614">
        <f t="shared" ref="AF90:AF92" si="6">SUM(AA90:AE90)</f>
        <v>0</v>
      </c>
    </row>
    <row r="91" spans="1:32" s="1" customFormat="1" ht="11.25" x14ac:dyDescent="0.2">
      <c r="A91" s="56" t="s">
        <v>272</v>
      </c>
      <c r="B91" s="57"/>
      <c r="C91" s="57"/>
      <c r="D91" s="58"/>
      <c r="E91" s="59"/>
      <c r="F91" s="60">
        <f>F88-F89-F92-F90</f>
        <v>26.679999999999996</v>
      </c>
      <c r="G91" s="81"/>
      <c r="H91" s="65"/>
      <c r="I91" s="65"/>
      <c r="J91" s="66"/>
      <c r="K91" s="67"/>
      <c r="L91" s="67"/>
      <c r="M91" s="67"/>
      <c r="N91" s="68"/>
      <c r="O91" s="55"/>
      <c r="P91" s="55"/>
      <c r="Q91" s="55"/>
      <c r="S91" s="615" t="s">
        <v>845</v>
      </c>
      <c r="T91" s="624">
        <f>SUMIFS(F49:F86,C49:C86,"C",H49:H86,"melnais")</f>
        <v>0</v>
      </c>
      <c r="U91" s="624">
        <f>SUMIFS(F49:F86,C49:C86,"C",H49:H86,"dubultā virsma")</f>
        <v>0</v>
      </c>
      <c r="V91" s="624">
        <f>SUMIFS(F49:F86,C49:C86,"C",H49:H86,"bruģis")</f>
        <v>0</v>
      </c>
      <c r="W91" s="624">
        <f>SUMIFS(F49:F86,C49:C86,"C",H49:H86,"grants")</f>
        <v>5.46</v>
      </c>
      <c r="X91" s="624">
        <f>SUMIFS(F49:F86,C49:C86,"C",H49:H86,"cits segums")</f>
        <v>0</v>
      </c>
      <c r="Y91" s="624">
        <f t="shared" si="5"/>
        <v>5.46</v>
      </c>
      <c r="Z91" s="615" t="s">
        <v>845</v>
      </c>
      <c r="AA91" s="614">
        <f>SUMIFS(F49:F86,C49:C86,"C",H49:H86,"melnais", Q49:Q86,"Nepiederošs")</f>
        <v>0</v>
      </c>
      <c r="AB91" s="614">
        <f>SUMIFS(F49:F86,C49:C86,"C",H49:H86,"dubultā virsma", Q49:Q86,"Nepiederošs")</f>
        <v>0</v>
      </c>
      <c r="AC91" s="614">
        <f>SUMIFS(F49:F86,C49:C86,"C",H49:H86,"bruģis", Q49:Q86,"Nepiederošs")</f>
        <v>0</v>
      </c>
      <c r="AD91" s="614">
        <f>SUMIFS(F49:F86,C49:C86,"C",H49:H86,"grants", Q49:Q86,"Nepiederošs")</f>
        <v>0</v>
      </c>
      <c r="AE91" s="614">
        <f>SUMIFS(F49:F86,C49:C86,"C",H49:H86,"cits segums", Q49:Q86,"Nepiederošs")</f>
        <v>0</v>
      </c>
      <c r="AF91" s="614">
        <f t="shared" si="6"/>
        <v>0</v>
      </c>
    </row>
    <row r="92" spans="1:32" s="1" customFormat="1" ht="11.25" x14ac:dyDescent="0.2">
      <c r="A92" s="56" t="s">
        <v>273</v>
      </c>
      <c r="B92" s="57"/>
      <c r="C92" s="57"/>
      <c r="D92" s="58"/>
      <c r="E92" s="59"/>
      <c r="F92" s="60">
        <f>F70</f>
        <v>0.25</v>
      </c>
      <c r="G92" s="81"/>
      <c r="H92" s="69"/>
      <c r="I92" s="65"/>
      <c r="J92" s="70"/>
      <c r="K92" s="67"/>
      <c r="L92" s="67"/>
      <c r="M92" s="67"/>
      <c r="N92" s="68"/>
      <c r="O92" s="55"/>
      <c r="P92" s="55"/>
      <c r="Q92" s="55"/>
      <c r="S92" s="616" t="s">
        <v>846</v>
      </c>
      <c r="T92" s="624">
        <f>SUMIFS(F49:F86,C49:C86,"D",H49:H86,"melnais")</f>
        <v>0</v>
      </c>
      <c r="U92" s="624">
        <f>SUMIFS(F49:F86,C49:C86,"D",H49:H86,"dubultā virsma")</f>
        <v>0</v>
      </c>
      <c r="V92" s="624">
        <f>SUMIFS(F49:F86,C49:C86,"D",H49:H86,"bruģis")</f>
        <v>7.0000000000000007E-2</v>
      </c>
      <c r="W92" s="624">
        <f>SUMIFS(F49:F86,C49:C86,"D",H49:H86,"grants")</f>
        <v>21.219999999999995</v>
      </c>
      <c r="X92" s="624">
        <f>SUMIFS(F49:F86,C49:C86,"D",H49:H86,"cits segums")</f>
        <v>0.25</v>
      </c>
      <c r="Y92" s="624">
        <f t="shared" si="5"/>
        <v>21.539999999999996</v>
      </c>
      <c r="Z92" s="616" t="s">
        <v>846</v>
      </c>
      <c r="AA92" s="614">
        <f>SUMIFS(F49:F86,C49:C86,"D",H49:H86,"melnais", Q49:Q86,"Nepiederošs")</f>
        <v>0</v>
      </c>
      <c r="AB92" s="614">
        <f>SUMIFS(F49:F86,C49:C86,"D",H49:H86,"dubultā virsma", Q49:Q86,"Nepiederošs")</f>
        <v>0</v>
      </c>
      <c r="AC92" s="614">
        <f>SUMIFS(F49:F86,C49:C86,"D",H49:H86,"bruģis", Q49:Q86,"Nepiederošs")</f>
        <v>0</v>
      </c>
      <c r="AD92" s="614">
        <f>SUMIFS(F49:F86,C49:C86,"D",H49:H86,"grants", Q49:Q86,"Nepiederošs")</f>
        <v>0.46</v>
      </c>
      <c r="AE92" s="614">
        <f>SUMIFS(F49:F86,C49:C86,"D",H49:H86,"cits segums", Q49:Q86,"Nepiederošs")</f>
        <v>0</v>
      </c>
      <c r="AF92" s="614">
        <f t="shared" si="6"/>
        <v>0.46</v>
      </c>
    </row>
    <row r="93" spans="1:32" x14ac:dyDescent="0.25">
      <c r="B93" s="731"/>
      <c r="C93" s="438"/>
      <c r="T93" s="630">
        <f>SUM(T89:T92)</f>
        <v>0</v>
      </c>
      <c r="U93" s="630">
        <f t="shared" ref="U93" si="7">SUM(U89:U92)</f>
        <v>0</v>
      </c>
      <c r="V93" s="630">
        <f t="shared" ref="V93" si="8">SUM(V89:V92)</f>
        <v>7.0000000000000007E-2</v>
      </c>
      <c r="W93" s="630">
        <f t="shared" ref="W93" si="9">SUM(W89:W92)</f>
        <v>26.679999999999996</v>
      </c>
      <c r="X93" s="630">
        <f t="shared" ref="X93" si="10">SUM(X89:X92)</f>
        <v>0.25</v>
      </c>
      <c r="Y93" s="630">
        <f t="shared" ref="Y93" si="11">SUM(Y89:Y92)</f>
        <v>26.999999999999996</v>
      </c>
      <c r="AA93" s="629">
        <f>SUM(AA89:AA92)</f>
        <v>0</v>
      </c>
      <c r="AB93" s="629">
        <f t="shared" ref="AB93" si="12">SUM(AB89:AB92)</f>
        <v>0</v>
      </c>
      <c r="AC93" s="629">
        <f>SUM(AC89:AC92)</f>
        <v>0</v>
      </c>
      <c r="AD93" s="629">
        <f t="shared" ref="AD93" si="13">SUM(AD89:AD92)</f>
        <v>0.46</v>
      </c>
      <c r="AE93" s="629">
        <f t="shared" ref="AE93" si="14">SUM(AE89:AE92)</f>
        <v>0</v>
      </c>
      <c r="AF93" s="629">
        <f t="shared" ref="AF93" si="15">SUM(AF89:AF92)</f>
        <v>0.46</v>
      </c>
    </row>
    <row r="94" spans="1:32" s="32" customFormat="1" ht="15" customHeight="1" x14ac:dyDescent="0.25">
      <c r="A94" s="33"/>
      <c r="B94" s="33"/>
      <c r="C94" s="33"/>
      <c r="D94" s="781" t="s">
        <v>1051</v>
      </c>
      <c r="E94" s="781"/>
      <c r="F94" s="781"/>
      <c r="G94" s="781"/>
      <c r="H94" s="781"/>
      <c r="I94" s="781"/>
      <c r="J94" s="781"/>
      <c r="K94" s="781"/>
      <c r="L94" s="781"/>
      <c r="M94" s="781"/>
      <c r="N94" s="781"/>
      <c r="O94" s="781"/>
      <c r="P94" s="781"/>
      <c r="Q94" s="30"/>
      <c r="R94" s="37"/>
    </row>
    <row r="95" spans="1:32" s="32" customFormat="1" ht="11.25" x14ac:dyDescent="0.25">
      <c r="A95" s="33"/>
      <c r="B95" s="33"/>
      <c r="C95" s="33"/>
      <c r="D95" s="38"/>
      <c r="E95" s="29"/>
      <c r="F95" s="29"/>
      <c r="G95" s="29"/>
      <c r="H95" s="30"/>
      <c r="I95" s="28"/>
      <c r="J95" s="28"/>
      <c r="K95" s="28"/>
      <c r="L95" s="28"/>
      <c r="M95" s="28"/>
      <c r="N95" s="39"/>
      <c r="O95" s="39"/>
      <c r="P95" s="28"/>
      <c r="Q95" s="28"/>
      <c r="R95" s="37"/>
    </row>
    <row r="96" spans="1:32" s="40" customFormat="1" ht="5.25" customHeight="1" x14ac:dyDescent="0.2">
      <c r="A96" s="44"/>
      <c r="B96" s="732"/>
      <c r="C96" s="39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</row>
    <row r="97" spans="1:18" s="40" customFormat="1" ht="12.75" customHeight="1" x14ac:dyDescent="0.2">
      <c r="A97" s="782" t="s">
        <v>244</v>
      </c>
      <c r="B97" s="790" t="s">
        <v>245</v>
      </c>
      <c r="C97" s="413"/>
      <c r="D97" s="793" t="s">
        <v>246</v>
      </c>
      <c r="E97" s="794"/>
      <c r="F97" s="794"/>
      <c r="G97" s="794"/>
      <c r="H97" s="794"/>
      <c r="I97" s="794"/>
      <c r="J97" s="794"/>
      <c r="K97" s="794"/>
      <c r="L97" s="794"/>
      <c r="M97" s="794"/>
      <c r="N97" s="794"/>
      <c r="O97" s="794"/>
      <c r="P97" s="784"/>
      <c r="Q97" s="795" t="s">
        <v>247</v>
      </c>
      <c r="R97" s="796"/>
    </row>
    <row r="98" spans="1:18" s="40" customFormat="1" ht="12.75" customHeight="1" x14ac:dyDescent="0.2">
      <c r="A98" s="782"/>
      <c r="B98" s="791"/>
      <c r="C98" s="395"/>
      <c r="D98" s="785" t="s">
        <v>248</v>
      </c>
      <c r="E98" s="785"/>
      <c r="F98" s="785"/>
      <c r="G98" s="785"/>
      <c r="H98" s="785"/>
      <c r="I98" s="788" t="s">
        <v>249</v>
      </c>
      <c r="J98" s="788"/>
      <c r="K98" s="788"/>
      <c r="L98" s="788"/>
      <c r="M98" s="788"/>
      <c r="N98" s="788"/>
      <c r="O98" s="788"/>
      <c r="P98" s="801" t="s">
        <v>250</v>
      </c>
      <c r="Q98" s="797"/>
      <c r="R98" s="798"/>
    </row>
    <row r="99" spans="1:18" s="40" customFormat="1" ht="15.2" customHeight="1" x14ac:dyDescent="0.2">
      <c r="A99" s="782"/>
      <c r="B99" s="791"/>
      <c r="C99" s="395"/>
      <c r="D99" s="785" t="s">
        <v>251</v>
      </c>
      <c r="E99" s="785"/>
      <c r="F99" s="786" t="s">
        <v>252</v>
      </c>
      <c r="G99" s="786" t="s">
        <v>881</v>
      </c>
      <c r="H99" s="782" t="s">
        <v>253</v>
      </c>
      <c r="I99" s="789" t="s">
        <v>254</v>
      </c>
      <c r="J99" s="788" t="s">
        <v>255</v>
      </c>
      <c r="K99" s="788"/>
      <c r="L99" s="787" t="s">
        <v>256</v>
      </c>
      <c r="M99" s="787" t="s">
        <v>257</v>
      </c>
      <c r="N99" s="787" t="s">
        <v>258</v>
      </c>
      <c r="O99" s="787" t="s">
        <v>259</v>
      </c>
      <c r="P99" s="799"/>
      <c r="Q99" s="799" t="s">
        <v>260</v>
      </c>
      <c r="R99" s="791" t="s">
        <v>261</v>
      </c>
    </row>
    <row r="100" spans="1:18" s="40" customFormat="1" ht="59.25" customHeight="1" x14ac:dyDescent="0.2">
      <c r="A100" s="782"/>
      <c r="B100" s="792"/>
      <c r="C100" s="432" t="s">
        <v>844</v>
      </c>
      <c r="D100" s="74" t="s">
        <v>262</v>
      </c>
      <c r="E100" s="74" t="s">
        <v>263</v>
      </c>
      <c r="F100" s="786"/>
      <c r="G100" s="786"/>
      <c r="H100" s="782"/>
      <c r="I100" s="789"/>
      <c r="J100" s="75" t="s">
        <v>231</v>
      </c>
      <c r="K100" s="75" t="s">
        <v>264</v>
      </c>
      <c r="L100" s="787"/>
      <c r="M100" s="787"/>
      <c r="N100" s="787"/>
      <c r="O100" s="787"/>
      <c r="P100" s="800"/>
      <c r="Q100" s="800"/>
      <c r="R100" s="792"/>
    </row>
    <row r="101" spans="1:18" s="41" customFormat="1" ht="12" customHeight="1" x14ac:dyDescent="0.25">
      <c r="A101" s="276">
        <v>1</v>
      </c>
      <c r="B101" s="276">
        <v>2</v>
      </c>
      <c r="C101" s="276"/>
      <c r="D101" s="42">
        <v>3</v>
      </c>
      <c r="E101" s="42">
        <v>4</v>
      </c>
      <c r="F101" s="42">
        <v>5</v>
      </c>
      <c r="G101" s="42">
        <v>5.0999999999999996</v>
      </c>
      <c r="H101" s="42">
        <v>6</v>
      </c>
      <c r="I101" s="43">
        <v>7</v>
      </c>
      <c r="J101" s="43">
        <v>8</v>
      </c>
      <c r="K101" s="43">
        <v>9</v>
      </c>
      <c r="L101" s="43">
        <v>10</v>
      </c>
      <c r="M101" s="43">
        <v>11</v>
      </c>
      <c r="N101" s="43">
        <v>12</v>
      </c>
      <c r="O101" s="43">
        <v>13</v>
      </c>
      <c r="P101" s="43">
        <v>14</v>
      </c>
      <c r="Q101" s="43">
        <v>15</v>
      </c>
      <c r="R101" s="42">
        <v>16</v>
      </c>
    </row>
    <row r="102" spans="1:18" s="1" customFormat="1" ht="11.25" x14ac:dyDescent="0.2">
      <c r="A102" s="285">
        <v>1</v>
      </c>
      <c r="B102" s="733" t="s">
        <v>339</v>
      </c>
      <c r="C102" s="476" t="s">
        <v>845</v>
      </c>
      <c r="D102" s="90">
        <v>0</v>
      </c>
      <c r="E102" s="90">
        <v>1.9</v>
      </c>
      <c r="F102" s="90">
        <v>1.9</v>
      </c>
      <c r="G102" s="90">
        <v>5</v>
      </c>
      <c r="H102" s="91" t="s">
        <v>0</v>
      </c>
      <c r="I102" s="27"/>
      <c r="J102" s="27"/>
      <c r="K102" s="27"/>
      <c r="L102" s="27"/>
      <c r="M102" s="27"/>
      <c r="N102" s="27"/>
      <c r="O102" s="27"/>
      <c r="P102" s="27"/>
      <c r="Q102" s="27">
        <v>80420020158</v>
      </c>
      <c r="R102" s="27">
        <v>80420020158</v>
      </c>
    </row>
    <row r="103" spans="1:18" s="1" customFormat="1" ht="11.25" x14ac:dyDescent="0.2">
      <c r="A103" s="282"/>
      <c r="B103" s="701" t="s">
        <v>314</v>
      </c>
      <c r="C103" s="476" t="s">
        <v>845</v>
      </c>
      <c r="D103" s="90">
        <v>1.9</v>
      </c>
      <c r="E103" s="90">
        <v>2.4299999999999997</v>
      </c>
      <c r="F103" s="90">
        <v>0.53</v>
      </c>
      <c r="G103" s="90">
        <v>5</v>
      </c>
      <c r="H103" s="91" t="s">
        <v>0</v>
      </c>
      <c r="I103" s="27"/>
      <c r="J103" s="27"/>
      <c r="K103" s="27"/>
      <c r="L103" s="27"/>
      <c r="M103" s="27"/>
      <c r="N103" s="27"/>
      <c r="O103" s="27"/>
      <c r="P103" s="27"/>
      <c r="Q103" s="27">
        <v>80420020158</v>
      </c>
      <c r="R103" s="27">
        <v>80420030069</v>
      </c>
    </row>
    <row r="104" spans="1:18" s="1" customFormat="1" ht="22.5" x14ac:dyDescent="0.2">
      <c r="A104" s="283">
        <v>2</v>
      </c>
      <c r="B104" s="733" t="s">
        <v>340</v>
      </c>
      <c r="C104" s="476" t="s">
        <v>846</v>
      </c>
      <c r="D104" s="90">
        <v>0</v>
      </c>
      <c r="E104" s="90">
        <v>2.11</v>
      </c>
      <c r="F104" s="90">
        <v>2.11</v>
      </c>
      <c r="G104" s="90">
        <v>5</v>
      </c>
      <c r="H104" s="91" t="s">
        <v>0</v>
      </c>
      <c r="I104" s="27"/>
      <c r="J104" s="27"/>
      <c r="K104" s="27"/>
      <c r="L104" s="27"/>
      <c r="M104" s="27"/>
      <c r="N104" s="27"/>
      <c r="O104" s="27"/>
      <c r="P104" s="27"/>
      <c r="Q104" s="27">
        <v>80420010383</v>
      </c>
      <c r="R104" s="27">
        <v>80420020159</v>
      </c>
    </row>
    <row r="105" spans="1:18" s="1" customFormat="1" ht="11.25" x14ac:dyDescent="0.2">
      <c r="A105" s="282"/>
      <c r="B105" s="701" t="s">
        <v>314</v>
      </c>
      <c r="C105" s="476" t="s">
        <v>846</v>
      </c>
      <c r="D105" s="90">
        <v>2.11</v>
      </c>
      <c r="E105" s="90">
        <v>3.61</v>
      </c>
      <c r="F105" s="90">
        <v>1.5</v>
      </c>
      <c r="G105" s="90">
        <v>4</v>
      </c>
      <c r="H105" s="91" t="s">
        <v>0</v>
      </c>
      <c r="I105" s="27"/>
      <c r="J105" s="27"/>
      <c r="K105" s="27"/>
      <c r="L105" s="27"/>
      <c r="M105" s="27"/>
      <c r="N105" s="27"/>
      <c r="O105" s="27"/>
      <c r="P105" s="27"/>
      <c r="Q105" s="27">
        <v>80420010383</v>
      </c>
      <c r="R105" s="27">
        <v>80420010383</v>
      </c>
    </row>
    <row r="106" spans="1:18" s="1" customFormat="1" ht="22.5" x14ac:dyDescent="0.2">
      <c r="A106" s="283">
        <v>3</v>
      </c>
      <c r="B106" s="736" t="s">
        <v>341</v>
      </c>
      <c r="C106" s="476" t="s">
        <v>846</v>
      </c>
      <c r="D106" s="462">
        <v>0</v>
      </c>
      <c r="E106" s="90">
        <v>0.84</v>
      </c>
      <c r="F106" s="90">
        <v>0.84</v>
      </c>
      <c r="G106" s="90">
        <v>4</v>
      </c>
      <c r="H106" s="91" t="s">
        <v>0</v>
      </c>
      <c r="I106" s="27"/>
      <c r="J106" s="27"/>
      <c r="K106" s="27"/>
      <c r="L106" s="27"/>
      <c r="M106" s="27"/>
      <c r="N106" s="27"/>
      <c r="O106" s="27"/>
      <c r="P106" s="27"/>
      <c r="Q106" s="27">
        <v>80420010384</v>
      </c>
      <c r="R106" s="27">
        <v>80420010384</v>
      </c>
    </row>
    <row r="107" spans="1:18" s="1" customFormat="1" ht="11.25" x14ac:dyDescent="0.2">
      <c r="A107" s="288"/>
      <c r="B107" s="737" t="s">
        <v>314</v>
      </c>
      <c r="C107" s="476" t="s">
        <v>846</v>
      </c>
      <c r="D107" s="462">
        <v>0.84</v>
      </c>
      <c r="E107" s="90">
        <v>1.01</v>
      </c>
      <c r="F107" s="90">
        <v>0.17</v>
      </c>
      <c r="G107" s="90">
        <v>3</v>
      </c>
      <c r="H107" s="91" t="s">
        <v>325</v>
      </c>
      <c r="I107" s="27"/>
      <c r="J107" s="27"/>
      <c r="K107" s="27"/>
      <c r="L107" s="27"/>
      <c r="M107" s="27"/>
      <c r="N107" s="27"/>
      <c r="O107" s="27"/>
      <c r="P107" s="27"/>
      <c r="Q107" s="27">
        <v>80420010384</v>
      </c>
      <c r="R107" s="27">
        <v>80420010384</v>
      </c>
    </row>
    <row r="108" spans="1:18" s="1" customFormat="1" ht="11.25" x14ac:dyDescent="0.2">
      <c r="A108" s="288"/>
      <c r="B108" s="738" t="s">
        <v>862</v>
      </c>
      <c r="C108" s="476" t="s">
        <v>846</v>
      </c>
      <c r="D108" s="459">
        <v>0</v>
      </c>
      <c r="E108" s="460">
        <v>0.21</v>
      </c>
      <c r="F108" s="460">
        <v>0.21</v>
      </c>
      <c r="G108" s="460">
        <v>4</v>
      </c>
      <c r="H108" s="461" t="s">
        <v>0</v>
      </c>
      <c r="I108" s="89"/>
      <c r="J108" s="89"/>
      <c r="K108" s="89"/>
      <c r="L108" s="89"/>
      <c r="M108" s="89"/>
      <c r="N108" s="89"/>
      <c r="O108" s="89"/>
      <c r="P108" s="89"/>
      <c r="Q108" s="454" t="s">
        <v>859</v>
      </c>
      <c r="R108" s="14">
        <v>80420010157</v>
      </c>
    </row>
    <row r="109" spans="1:18" s="1" customFormat="1" ht="11.25" x14ac:dyDescent="0.2">
      <c r="A109" s="283">
        <v>4</v>
      </c>
      <c r="B109" s="733" t="s">
        <v>342</v>
      </c>
      <c r="C109" s="476" t="s">
        <v>846</v>
      </c>
      <c r="D109" s="90">
        <v>0</v>
      </c>
      <c r="E109" s="90">
        <v>0.13</v>
      </c>
      <c r="F109" s="90">
        <v>0.13</v>
      </c>
      <c r="G109" s="90">
        <v>4</v>
      </c>
      <c r="H109" s="91" t="s">
        <v>0</v>
      </c>
      <c r="I109" s="27"/>
      <c r="J109" s="27"/>
      <c r="K109" s="27"/>
      <c r="L109" s="27"/>
      <c r="M109" s="27"/>
      <c r="N109" s="27"/>
      <c r="O109" s="27"/>
      <c r="P109" s="27"/>
      <c r="Q109" s="27">
        <v>80420020157</v>
      </c>
      <c r="R109" s="27">
        <v>80420020157</v>
      </c>
    </row>
    <row r="110" spans="1:18" s="1" customFormat="1" ht="11.25" x14ac:dyDescent="0.2">
      <c r="A110" s="282"/>
      <c r="B110" s="701" t="s">
        <v>314</v>
      </c>
      <c r="C110" s="476" t="s">
        <v>846</v>
      </c>
      <c r="D110" s="90">
        <v>0.13</v>
      </c>
      <c r="E110" s="90">
        <v>0.4</v>
      </c>
      <c r="F110" s="90">
        <v>0.27</v>
      </c>
      <c r="G110" s="90">
        <v>3</v>
      </c>
      <c r="H110" s="91" t="s">
        <v>325</v>
      </c>
      <c r="I110" s="27"/>
      <c r="J110" s="27"/>
      <c r="K110" s="27"/>
      <c r="L110" s="27"/>
      <c r="M110" s="27"/>
      <c r="N110" s="27"/>
      <c r="O110" s="27"/>
      <c r="P110" s="27"/>
      <c r="Q110" s="27">
        <v>80420020157</v>
      </c>
      <c r="R110" s="27">
        <v>80420020157</v>
      </c>
    </row>
    <row r="111" spans="1:18" s="1" customFormat="1" ht="22.5" x14ac:dyDescent="0.2">
      <c r="A111" s="288">
        <v>5</v>
      </c>
      <c r="B111" s="710" t="s">
        <v>343</v>
      </c>
      <c r="C111" s="476" t="s">
        <v>845</v>
      </c>
      <c r="D111" s="284">
        <v>0</v>
      </c>
      <c r="E111" s="72">
        <v>0.14000000000000001</v>
      </c>
      <c r="F111" s="23">
        <v>0.14000000000000001</v>
      </c>
      <c r="G111" s="72">
        <v>4.5</v>
      </c>
      <c r="H111" s="24" t="s">
        <v>0</v>
      </c>
      <c r="I111" s="22"/>
      <c r="J111" s="22"/>
      <c r="K111" s="22"/>
      <c r="L111" s="22"/>
      <c r="M111" s="22"/>
      <c r="N111" s="22"/>
      <c r="O111" s="22"/>
      <c r="P111" s="22"/>
      <c r="Q111" s="458">
        <v>80420020274</v>
      </c>
      <c r="R111" s="458">
        <v>80420020274</v>
      </c>
    </row>
    <row r="112" spans="1:18" s="1" customFormat="1" ht="11.25" x14ac:dyDescent="0.2">
      <c r="A112" s="288"/>
      <c r="B112" s="710"/>
      <c r="C112" s="476" t="s">
        <v>845</v>
      </c>
      <c r="D112" s="90">
        <v>0.14000000000000001</v>
      </c>
      <c r="E112" s="90">
        <v>0.68</v>
      </c>
      <c r="F112" s="90">
        <v>0.54</v>
      </c>
      <c r="G112" s="90">
        <v>4</v>
      </c>
      <c r="H112" s="24" t="s">
        <v>0</v>
      </c>
      <c r="I112" s="27"/>
      <c r="J112" s="27"/>
      <c r="K112" s="27"/>
      <c r="L112" s="27"/>
      <c r="M112" s="27"/>
      <c r="N112" s="27"/>
      <c r="O112" s="27"/>
      <c r="P112" s="27"/>
      <c r="Q112" s="27">
        <v>80420020161</v>
      </c>
      <c r="R112" s="27">
        <v>80420020161</v>
      </c>
    </row>
    <row r="113" spans="1:18" s="1" customFormat="1" ht="11.25" x14ac:dyDescent="0.2">
      <c r="A113" s="288"/>
      <c r="B113" s="710"/>
      <c r="C113" s="476" t="s">
        <v>845</v>
      </c>
      <c r="D113" s="463">
        <f>E112</f>
        <v>0.68</v>
      </c>
      <c r="E113" s="464">
        <f>D113+0.4</f>
        <v>1.08</v>
      </c>
      <c r="F113" s="464">
        <f>E113-D113</f>
        <v>0.4</v>
      </c>
      <c r="G113" s="460">
        <v>3</v>
      </c>
      <c r="H113" s="24" t="s">
        <v>0</v>
      </c>
      <c r="I113" s="465"/>
      <c r="J113" s="465"/>
      <c r="K113" s="465"/>
      <c r="L113" s="465"/>
      <c r="M113" s="465"/>
      <c r="N113" s="465"/>
      <c r="O113" s="465"/>
      <c r="P113" s="465"/>
      <c r="Q113" s="454" t="s">
        <v>859</v>
      </c>
      <c r="R113" s="458">
        <v>80420020255</v>
      </c>
    </row>
    <row r="114" spans="1:18" s="1" customFormat="1" ht="11.25" x14ac:dyDescent="0.2">
      <c r="A114" s="288"/>
      <c r="B114" s="710"/>
      <c r="C114" s="476" t="s">
        <v>845</v>
      </c>
      <c r="D114" s="463">
        <v>1.08</v>
      </c>
      <c r="E114" s="464">
        <v>1.18</v>
      </c>
      <c r="F114" s="464">
        <v>0.1</v>
      </c>
      <c r="G114" s="460">
        <v>3</v>
      </c>
      <c r="H114" s="24" t="s">
        <v>0</v>
      </c>
      <c r="I114" s="465"/>
      <c r="J114" s="465"/>
      <c r="K114" s="465"/>
      <c r="L114" s="465"/>
      <c r="M114" s="465"/>
      <c r="N114" s="465"/>
      <c r="O114" s="465"/>
      <c r="P114" s="465"/>
      <c r="Q114" s="454" t="s">
        <v>859</v>
      </c>
      <c r="R114" s="469">
        <v>80420020095</v>
      </c>
    </row>
    <row r="115" spans="1:18" s="1" customFormat="1" ht="11.25" x14ac:dyDescent="0.2">
      <c r="A115" s="288"/>
      <c r="B115" s="710"/>
      <c r="C115" s="476" t="s">
        <v>845</v>
      </c>
      <c r="D115" s="90">
        <v>1.18</v>
      </c>
      <c r="E115" s="90">
        <v>1.54</v>
      </c>
      <c r="F115" s="90">
        <v>0.36</v>
      </c>
      <c r="G115" s="90">
        <v>3</v>
      </c>
      <c r="H115" s="24" t="s">
        <v>0</v>
      </c>
      <c r="I115" s="27"/>
      <c r="J115" s="27"/>
      <c r="K115" s="27"/>
      <c r="L115" s="27"/>
      <c r="M115" s="27"/>
      <c r="N115" s="27"/>
      <c r="O115" s="27"/>
      <c r="P115" s="27"/>
      <c r="Q115" s="27">
        <v>80420020161</v>
      </c>
      <c r="R115" s="19">
        <v>80420020180</v>
      </c>
    </row>
    <row r="116" spans="1:18" s="1" customFormat="1" ht="11.25" x14ac:dyDescent="0.2">
      <c r="A116" s="288"/>
      <c r="B116" s="710"/>
      <c r="C116" s="476" t="s">
        <v>845</v>
      </c>
      <c r="D116" s="466">
        <f>E115</f>
        <v>1.54</v>
      </c>
      <c r="E116" s="467">
        <f>D116+0.2</f>
        <v>1.74</v>
      </c>
      <c r="F116" s="467">
        <v>0.2</v>
      </c>
      <c r="G116" s="460">
        <v>3</v>
      </c>
      <c r="H116" s="24" t="s">
        <v>0</v>
      </c>
      <c r="I116" s="468"/>
      <c r="J116" s="468"/>
      <c r="K116" s="468"/>
      <c r="L116" s="468"/>
      <c r="M116" s="468"/>
      <c r="N116" s="468"/>
      <c r="O116" s="468"/>
      <c r="P116" s="468"/>
      <c r="Q116" s="454" t="s">
        <v>859</v>
      </c>
      <c r="R116" s="458">
        <v>80420020009</v>
      </c>
    </row>
    <row r="117" spans="1:18" s="1" customFormat="1" ht="11.25" x14ac:dyDescent="0.2">
      <c r="A117" s="288"/>
      <c r="B117" s="710" t="s">
        <v>314</v>
      </c>
      <c r="C117" s="476" t="s">
        <v>845</v>
      </c>
      <c r="D117" s="90">
        <v>1.74</v>
      </c>
      <c r="E117" s="90">
        <v>2.16</v>
      </c>
      <c r="F117" s="90">
        <v>0.42</v>
      </c>
      <c r="G117" s="90">
        <v>3</v>
      </c>
      <c r="H117" s="91" t="s">
        <v>0</v>
      </c>
      <c r="I117" s="27"/>
      <c r="J117" s="27"/>
      <c r="K117" s="27"/>
      <c r="L117" s="27"/>
      <c r="M117" s="27"/>
      <c r="N117" s="27"/>
      <c r="O117" s="27"/>
      <c r="P117" s="27"/>
      <c r="Q117" s="27">
        <v>80420020250</v>
      </c>
      <c r="R117" s="27">
        <v>80420020249</v>
      </c>
    </row>
    <row r="118" spans="1:18" s="1" customFormat="1" ht="11.25" x14ac:dyDescent="0.2">
      <c r="A118" s="288"/>
      <c r="B118" s="710" t="s">
        <v>314</v>
      </c>
      <c r="C118" s="476" t="s">
        <v>845</v>
      </c>
      <c r="D118" s="90">
        <v>2.16</v>
      </c>
      <c r="E118" s="90">
        <v>2.95</v>
      </c>
      <c r="F118" s="90">
        <v>0.79</v>
      </c>
      <c r="G118" s="90">
        <v>3</v>
      </c>
      <c r="H118" s="91" t="s">
        <v>325</v>
      </c>
      <c r="I118" s="27"/>
      <c r="J118" s="27"/>
      <c r="K118" s="27"/>
      <c r="L118" s="27"/>
      <c r="M118" s="27"/>
      <c r="N118" s="27"/>
      <c r="O118" s="27"/>
      <c r="P118" s="27"/>
      <c r="Q118" s="27">
        <v>80420020161</v>
      </c>
      <c r="R118" s="27">
        <v>80420020248</v>
      </c>
    </row>
    <row r="119" spans="1:18" s="1" customFormat="1" ht="11.25" x14ac:dyDescent="0.2">
      <c r="A119" s="283">
        <v>6</v>
      </c>
      <c r="B119" s="733" t="s">
        <v>344</v>
      </c>
      <c r="C119" s="476" t="s">
        <v>846</v>
      </c>
      <c r="D119" s="90">
        <v>0</v>
      </c>
      <c r="E119" s="90">
        <v>0.28999999999999998</v>
      </c>
      <c r="F119" s="90">
        <v>0.28999999999999998</v>
      </c>
      <c r="G119" s="90">
        <v>3</v>
      </c>
      <c r="H119" s="91" t="s">
        <v>0</v>
      </c>
      <c r="I119" s="27"/>
      <c r="J119" s="27"/>
      <c r="K119" s="27"/>
      <c r="L119" s="27"/>
      <c r="M119" s="27"/>
      <c r="N119" s="27"/>
      <c r="O119" s="27"/>
      <c r="P119" s="27"/>
      <c r="Q119" s="27">
        <v>80420020163</v>
      </c>
      <c r="R119" s="27">
        <v>80420020222</v>
      </c>
    </row>
    <row r="120" spans="1:18" s="1" customFormat="1" ht="11.25" x14ac:dyDescent="0.2">
      <c r="A120" s="288"/>
      <c r="B120" s="710"/>
      <c r="C120" s="476" t="s">
        <v>846</v>
      </c>
      <c r="D120" s="463">
        <f>E119</f>
        <v>0.28999999999999998</v>
      </c>
      <c r="E120" s="464">
        <v>0.47</v>
      </c>
      <c r="F120" s="464">
        <f>E120-D120</f>
        <v>0.18</v>
      </c>
      <c r="G120" s="464">
        <v>3</v>
      </c>
      <c r="H120" s="470" t="s">
        <v>0</v>
      </c>
      <c r="I120" s="465"/>
      <c r="J120" s="465"/>
      <c r="K120" s="465"/>
      <c r="L120" s="465"/>
      <c r="M120" s="465"/>
      <c r="N120" s="465"/>
      <c r="O120" s="465"/>
      <c r="P120" s="465"/>
      <c r="Q120" s="454" t="s">
        <v>859</v>
      </c>
      <c r="R120" s="14">
        <v>80420020097</v>
      </c>
    </row>
    <row r="121" spans="1:18" s="1" customFormat="1" ht="11.25" x14ac:dyDescent="0.2">
      <c r="A121" s="288"/>
      <c r="B121" s="710" t="s">
        <v>314</v>
      </c>
      <c r="C121" s="476" t="s">
        <v>846</v>
      </c>
      <c r="D121" s="90">
        <v>0.47</v>
      </c>
      <c r="E121" s="90">
        <v>1.1599999999999999</v>
      </c>
      <c r="F121" s="90">
        <v>0.69</v>
      </c>
      <c r="G121" s="90">
        <v>3</v>
      </c>
      <c r="H121" s="91" t="s">
        <v>0</v>
      </c>
      <c r="I121" s="27"/>
      <c r="J121" s="27"/>
      <c r="K121" s="27"/>
      <c r="L121" s="27"/>
      <c r="M121" s="27"/>
      <c r="N121" s="27"/>
      <c r="O121" s="27"/>
      <c r="P121" s="27"/>
      <c r="Q121" s="27">
        <v>80420020163</v>
      </c>
      <c r="R121" s="27">
        <v>80420020182</v>
      </c>
    </row>
    <row r="122" spans="1:18" s="1" customFormat="1" ht="11.25" x14ac:dyDescent="0.2">
      <c r="A122" s="288"/>
      <c r="B122" s="710"/>
      <c r="C122" s="476" t="s">
        <v>846</v>
      </c>
      <c r="D122" s="471">
        <f>E121</f>
        <v>1.1599999999999999</v>
      </c>
      <c r="E122" s="464">
        <v>1.21</v>
      </c>
      <c r="F122" s="464">
        <f>E122-D122</f>
        <v>5.0000000000000044E-2</v>
      </c>
      <c r="G122" s="464">
        <v>3</v>
      </c>
      <c r="H122" s="470" t="s">
        <v>0</v>
      </c>
      <c r="I122" s="472"/>
      <c r="J122" s="472"/>
      <c r="K122" s="472"/>
      <c r="L122" s="472"/>
      <c r="M122" s="472"/>
      <c r="N122" s="472"/>
      <c r="O122" s="472"/>
      <c r="P122" s="472"/>
      <c r="Q122" s="454" t="s">
        <v>859</v>
      </c>
      <c r="R122" s="458">
        <v>80420020030</v>
      </c>
    </row>
    <row r="123" spans="1:18" s="1" customFormat="1" ht="11.25" x14ac:dyDescent="0.2">
      <c r="A123" s="282"/>
      <c r="B123" s="701" t="s">
        <v>314</v>
      </c>
      <c r="C123" s="476" t="s">
        <v>846</v>
      </c>
      <c r="D123" s="90">
        <v>1.21</v>
      </c>
      <c r="E123" s="90">
        <v>2.06</v>
      </c>
      <c r="F123" s="90">
        <v>0.85</v>
      </c>
      <c r="G123" s="90">
        <v>3</v>
      </c>
      <c r="H123" s="91" t="s">
        <v>0</v>
      </c>
      <c r="I123" s="27"/>
      <c r="J123" s="27"/>
      <c r="K123" s="27"/>
      <c r="L123" s="27"/>
      <c r="M123" s="27"/>
      <c r="N123" s="27"/>
      <c r="O123" s="27"/>
      <c r="P123" s="27"/>
      <c r="Q123" s="27">
        <v>80420020163</v>
      </c>
      <c r="R123" s="27">
        <v>80420020163</v>
      </c>
    </row>
    <row r="124" spans="1:18" s="1" customFormat="1" ht="11.25" x14ac:dyDescent="0.2">
      <c r="A124" s="288">
        <v>7</v>
      </c>
      <c r="B124" s="710" t="s">
        <v>345</v>
      </c>
      <c r="C124" s="476" t="s">
        <v>845</v>
      </c>
      <c r="D124" s="90">
        <v>0</v>
      </c>
      <c r="E124" s="90">
        <v>1.1499999999999999</v>
      </c>
      <c r="F124" s="90">
        <v>1.1499999999999999</v>
      </c>
      <c r="G124" s="90">
        <v>6</v>
      </c>
      <c r="H124" s="91" t="s">
        <v>0</v>
      </c>
      <c r="I124" s="27"/>
      <c r="J124" s="27"/>
      <c r="K124" s="27"/>
      <c r="L124" s="27"/>
      <c r="M124" s="27"/>
      <c r="N124" s="27"/>
      <c r="O124" s="27"/>
      <c r="P124" s="27"/>
      <c r="Q124" s="27">
        <v>80420020156</v>
      </c>
      <c r="R124" s="27">
        <v>80420020156</v>
      </c>
    </row>
    <row r="125" spans="1:18" s="1" customFormat="1" ht="11.25" x14ac:dyDescent="0.2">
      <c r="A125" s="288"/>
      <c r="B125" s="710" t="s">
        <v>314</v>
      </c>
      <c r="C125" s="476" t="s">
        <v>845</v>
      </c>
      <c r="D125" s="90">
        <v>1.1499999999999999</v>
      </c>
      <c r="E125" s="90">
        <v>1.9</v>
      </c>
      <c r="F125" s="90">
        <v>0.75</v>
      </c>
      <c r="G125" s="90">
        <v>4.5</v>
      </c>
      <c r="H125" s="91" t="s">
        <v>0</v>
      </c>
      <c r="I125" s="27"/>
      <c r="J125" s="27"/>
      <c r="K125" s="27"/>
      <c r="L125" s="27"/>
      <c r="M125" s="27"/>
      <c r="N125" s="27"/>
      <c r="O125" s="27"/>
      <c r="P125" s="27"/>
      <c r="Q125" s="27">
        <v>80420020156</v>
      </c>
      <c r="R125" s="27">
        <v>80420020156</v>
      </c>
    </row>
    <row r="126" spans="1:18" s="1" customFormat="1" ht="11.25" x14ac:dyDescent="0.2">
      <c r="A126" s="280">
        <v>8</v>
      </c>
      <c r="B126" s="702" t="s">
        <v>346</v>
      </c>
      <c r="C126" s="405" t="s">
        <v>846</v>
      </c>
      <c r="D126" s="90">
        <v>0</v>
      </c>
      <c r="E126" s="90">
        <v>0.82</v>
      </c>
      <c r="F126" s="90">
        <v>0.82</v>
      </c>
      <c r="G126" s="90">
        <v>4</v>
      </c>
      <c r="H126" s="91" t="s">
        <v>0</v>
      </c>
      <c r="I126" s="27"/>
      <c r="J126" s="27"/>
      <c r="K126" s="27"/>
      <c r="L126" s="27"/>
      <c r="M126" s="27"/>
      <c r="N126" s="27"/>
      <c r="O126" s="27"/>
      <c r="P126" s="27"/>
      <c r="Q126" s="27">
        <v>80420020162</v>
      </c>
      <c r="R126" s="27">
        <v>80420020162</v>
      </c>
    </row>
    <row r="127" spans="1:18" s="1" customFormat="1" ht="22.5" x14ac:dyDescent="0.2">
      <c r="A127" s="288">
        <v>9</v>
      </c>
      <c r="B127" s="710" t="s">
        <v>347</v>
      </c>
      <c r="C127" s="476" t="s">
        <v>846</v>
      </c>
      <c r="D127" s="90">
        <v>0</v>
      </c>
      <c r="E127" s="90">
        <v>1.43</v>
      </c>
      <c r="F127" s="90">
        <v>1.43</v>
      </c>
      <c r="G127" s="90">
        <v>4</v>
      </c>
      <c r="H127" s="91" t="s">
        <v>0</v>
      </c>
      <c r="I127" s="27"/>
      <c r="J127" s="27"/>
      <c r="K127" s="27"/>
      <c r="L127" s="27"/>
      <c r="M127" s="27"/>
      <c r="N127" s="27"/>
      <c r="O127" s="27"/>
      <c r="P127" s="27"/>
      <c r="Q127" s="27">
        <v>80420040257</v>
      </c>
      <c r="R127" s="27">
        <v>80420040257</v>
      </c>
    </row>
    <row r="128" spans="1:18" s="1" customFormat="1" ht="11.25" x14ac:dyDescent="0.2">
      <c r="A128" s="288"/>
      <c r="B128" s="710" t="s">
        <v>314</v>
      </c>
      <c r="C128" s="476" t="s">
        <v>846</v>
      </c>
      <c r="D128" s="90">
        <v>1.43</v>
      </c>
      <c r="E128" s="90">
        <v>2.73</v>
      </c>
      <c r="F128" s="90">
        <v>1.3</v>
      </c>
      <c r="G128" s="90">
        <v>4</v>
      </c>
      <c r="H128" s="91" t="s">
        <v>0</v>
      </c>
      <c r="I128" s="27"/>
      <c r="J128" s="27"/>
      <c r="K128" s="27"/>
      <c r="L128" s="27"/>
      <c r="M128" s="27"/>
      <c r="N128" s="27"/>
      <c r="O128" s="27"/>
      <c r="P128" s="27"/>
      <c r="Q128" s="27">
        <v>80420040257</v>
      </c>
      <c r="R128" s="27">
        <v>80420020160</v>
      </c>
    </row>
    <row r="129" spans="1:19" s="1" customFormat="1" ht="11.25" x14ac:dyDescent="0.2">
      <c r="A129" s="288"/>
      <c r="B129" s="710" t="s">
        <v>314</v>
      </c>
      <c r="C129" s="476" t="s">
        <v>846</v>
      </c>
      <c r="D129" s="90">
        <v>2.73</v>
      </c>
      <c r="E129" s="90">
        <v>2.79</v>
      </c>
      <c r="F129" s="90">
        <v>0.06</v>
      </c>
      <c r="G129" s="90">
        <v>5</v>
      </c>
      <c r="H129" s="91" t="s">
        <v>4</v>
      </c>
      <c r="I129" s="27"/>
      <c r="J129" s="27"/>
      <c r="K129" s="27"/>
      <c r="L129" s="27"/>
      <c r="M129" s="27"/>
      <c r="N129" s="27"/>
      <c r="O129" s="27"/>
      <c r="P129" s="27"/>
      <c r="Q129" s="27">
        <v>80420040257</v>
      </c>
      <c r="R129" s="27">
        <v>80420020160</v>
      </c>
    </row>
    <row r="130" spans="1:19" s="1" customFormat="1" ht="11.25" x14ac:dyDescent="0.2">
      <c r="A130" s="283">
        <v>10</v>
      </c>
      <c r="B130" s="733" t="s">
        <v>348</v>
      </c>
      <c r="C130" s="476" t="s">
        <v>846</v>
      </c>
      <c r="D130" s="90">
        <v>0</v>
      </c>
      <c r="E130" s="90">
        <v>0.53</v>
      </c>
      <c r="F130" s="90">
        <v>0.53</v>
      </c>
      <c r="G130" s="90">
        <v>4</v>
      </c>
      <c r="H130" s="91" t="s">
        <v>0</v>
      </c>
      <c r="I130" s="27"/>
      <c r="J130" s="27"/>
      <c r="K130" s="27"/>
      <c r="L130" s="27"/>
      <c r="M130" s="27"/>
      <c r="N130" s="27"/>
      <c r="O130" s="27"/>
      <c r="P130" s="27"/>
      <c r="Q130" s="27">
        <v>80420040253</v>
      </c>
      <c r="R130" s="27">
        <v>80420040253</v>
      </c>
    </row>
    <row r="131" spans="1:19" s="1" customFormat="1" ht="11.25" x14ac:dyDescent="0.2">
      <c r="A131" s="288"/>
      <c r="B131" s="710"/>
      <c r="C131" s="476" t="s">
        <v>846</v>
      </c>
      <c r="D131" s="459">
        <f>F130</f>
        <v>0.53</v>
      </c>
      <c r="E131" s="460">
        <v>0.96</v>
      </c>
      <c r="F131" s="460">
        <f>E131-D131</f>
        <v>0.42999999999999994</v>
      </c>
      <c r="G131" s="460">
        <v>4</v>
      </c>
      <c r="H131" s="470" t="s">
        <v>0</v>
      </c>
      <c r="I131" s="89"/>
      <c r="J131" s="89"/>
      <c r="K131" s="89"/>
      <c r="L131" s="89"/>
      <c r="M131" s="89"/>
      <c r="N131" s="89"/>
      <c r="O131" s="89"/>
      <c r="P131" s="89"/>
      <c r="Q131" s="454" t="s">
        <v>859</v>
      </c>
      <c r="R131" s="14">
        <v>80420040012</v>
      </c>
    </row>
    <row r="132" spans="1:19" s="1" customFormat="1" ht="11.25" x14ac:dyDescent="0.2">
      <c r="A132" s="282"/>
      <c r="B132" s="701" t="s">
        <v>314</v>
      </c>
      <c r="C132" s="476" t="s">
        <v>846</v>
      </c>
      <c r="D132" s="90">
        <v>0.96</v>
      </c>
      <c r="E132" s="90">
        <v>1.6099999999999999</v>
      </c>
      <c r="F132" s="90">
        <v>0.65</v>
      </c>
      <c r="G132" s="90">
        <v>4</v>
      </c>
      <c r="H132" s="91" t="s">
        <v>0</v>
      </c>
      <c r="I132" s="27"/>
      <c r="J132" s="27"/>
      <c r="K132" s="27"/>
      <c r="L132" s="27"/>
      <c r="M132" s="27"/>
      <c r="N132" s="27"/>
      <c r="O132" s="27"/>
      <c r="P132" s="27"/>
      <c r="Q132" s="27">
        <v>80420040253</v>
      </c>
      <c r="R132" s="27">
        <v>80420040289</v>
      </c>
    </row>
    <row r="133" spans="1:19" s="1" customFormat="1" ht="11.25" x14ac:dyDescent="0.2">
      <c r="A133" s="280">
        <v>11</v>
      </c>
      <c r="B133" s="702" t="s">
        <v>349</v>
      </c>
      <c r="C133" s="405" t="s">
        <v>845</v>
      </c>
      <c r="D133" s="90">
        <v>0</v>
      </c>
      <c r="E133" s="90">
        <v>0.86</v>
      </c>
      <c r="F133" s="90">
        <v>0.86</v>
      </c>
      <c r="G133" s="90">
        <v>4</v>
      </c>
      <c r="H133" s="91" t="s">
        <v>0</v>
      </c>
      <c r="I133" s="27"/>
      <c r="J133" s="27"/>
      <c r="K133" s="27"/>
      <c r="L133" s="27"/>
      <c r="M133" s="27"/>
      <c r="N133" s="27"/>
      <c r="O133" s="27"/>
      <c r="P133" s="27"/>
      <c r="Q133" s="27">
        <v>80420040254</v>
      </c>
      <c r="R133" s="27">
        <v>80420040254</v>
      </c>
    </row>
    <row r="134" spans="1:19" s="1" customFormat="1" ht="11.25" x14ac:dyDescent="0.2">
      <c r="A134" s="288">
        <v>12</v>
      </c>
      <c r="B134" s="710" t="s">
        <v>350</v>
      </c>
      <c r="C134" s="476" t="s">
        <v>846</v>
      </c>
      <c r="D134" s="90">
        <v>0</v>
      </c>
      <c r="E134" s="90">
        <v>0.05</v>
      </c>
      <c r="F134" s="90">
        <v>0.05</v>
      </c>
      <c r="G134" s="90">
        <v>6</v>
      </c>
      <c r="H134" s="91" t="s">
        <v>4</v>
      </c>
      <c r="I134" s="27"/>
      <c r="J134" s="27"/>
      <c r="K134" s="27"/>
      <c r="L134" s="27"/>
      <c r="M134" s="27"/>
      <c r="N134" s="27"/>
      <c r="O134" s="27"/>
      <c r="P134" s="27"/>
      <c r="Q134" s="27">
        <v>80420040256</v>
      </c>
      <c r="R134" s="27">
        <v>80420040256</v>
      </c>
    </row>
    <row r="135" spans="1:19" s="1" customFormat="1" ht="11.25" x14ac:dyDescent="0.2">
      <c r="A135" s="288"/>
      <c r="B135" s="710" t="s">
        <v>314</v>
      </c>
      <c r="C135" s="476" t="s">
        <v>846</v>
      </c>
      <c r="D135" s="90">
        <v>0.05</v>
      </c>
      <c r="E135" s="90">
        <v>0.42</v>
      </c>
      <c r="F135" s="90">
        <v>0.37</v>
      </c>
      <c r="G135" s="90">
        <v>6</v>
      </c>
      <c r="H135" s="91" t="s">
        <v>0</v>
      </c>
      <c r="I135" s="27"/>
      <c r="J135" s="27"/>
      <c r="K135" s="27"/>
      <c r="L135" s="27"/>
      <c r="M135" s="27"/>
      <c r="N135" s="27"/>
      <c r="O135" s="27"/>
      <c r="P135" s="27"/>
      <c r="Q135" s="27">
        <v>80420040256</v>
      </c>
      <c r="R135" s="27">
        <v>80420040256</v>
      </c>
    </row>
    <row r="136" spans="1:19" s="1" customFormat="1" ht="11.25" x14ac:dyDescent="0.2">
      <c r="A136" s="288"/>
      <c r="B136" s="710" t="s">
        <v>314</v>
      </c>
      <c r="C136" s="476" t="s">
        <v>846</v>
      </c>
      <c r="D136" s="90">
        <v>0.42</v>
      </c>
      <c r="E136" s="90">
        <v>0.72</v>
      </c>
      <c r="F136" s="90">
        <v>0.3</v>
      </c>
      <c r="G136" s="90">
        <v>6</v>
      </c>
      <c r="H136" s="91" t="s">
        <v>4</v>
      </c>
      <c r="I136" s="27"/>
      <c r="J136" s="27"/>
      <c r="K136" s="27"/>
      <c r="L136" s="27"/>
      <c r="M136" s="27"/>
      <c r="N136" s="27"/>
      <c r="O136" s="27"/>
      <c r="P136" s="27"/>
      <c r="Q136" s="27">
        <v>80420040256</v>
      </c>
      <c r="R136" s="27">
        <v>80420040256</v>
      </c>
    </row>
    <row r="137" spans="1:19" s="1" customFormat="1" ht="11.25" x14ac:dyDescent="0.2">
      <c r="A137" s="288"/>
      <c r="B137" s="710" t="s">
        <v>314</v>
      </c>
      <c r="C137" s="476" t="s">
        <v>846</v>
      </c>
      <c r="D137" s="90">
        <v>0.72</v>
      </c>
      <c r="E137" s="90">
        <v>3.46</v>
      </c>
      <c r="F137" s="90">
        <v>2.74</v>
      </c>
      <c r="G137" s="90">
        <v>4.5</v>
      </c>
      <c r="H137" s="91" t="s">
        <v>0</v>
      </c>
      <c r="I137" s="27"/>
      <c r="J137" s="27"/>
      <c r="K137" s="27"/>
      <c r="L137" s="27"/>
      <c r="M137" s="27"/>
      <c r="N137" s="27"/>
      <c r="O137" s="27"/>
      <c r="P137" s="27"/>
      <c r="Q137" s="27">
        <v>80420040256</v>
      </c>
      <c r="R137" s="27">
        <v>80420040256</v>
      </c>
    </row>
    <row r="138" spans="1:19" s="1" customFormat="1" ht="11.25" x14ac:dyDescent="0.2">
      <c r="A138" s="288"/>
      <c r="B138" s="739" t="s">
        <v>201</v>
      </c>
      <c r="C138" s="476" t="s">
        <v>846</v>
      </c>
      <c r="D138" s="90">
        <v>0</v>
      </c>
      <c r="E138" s="90">
        <v>0.11</v>
      </c>
      <c r="F138" s="90">
        <v>0.11</v>
      </c>
      <c r="G138" s="90">
        <v>6</v>
      </c>
      <c r="H138" s="91" t="s">
        <v>4</v>
      </c>
      <c r="I138" s="27"/>
      <c r="J138" s="27"/>
      <c r="K138" s="27"/>
      <c r="L138" s="27"/>
      <c r="M138" s="27"/>
      <c r="N138" s="27"/>
      <c r="O138" s="27"/>
      <c r="P138" s="27"/>
      <c r="Q138" s="27">
        <v>80420040256</v>
      </c>
      <c r="R138" s="27">
        <v>80420040256</v>
      </c>
    </row>
    <row r="139" spans="1:19" s="1" customFormat="1" ht="11.25" x14ac:dyDescent="0.2">
      <c r="A139" s="71">
        <v>13</v>
      </c>
      <c r="B139" s="698" t="s">
        <v>351</v>
      </c>
      <c r="C139" s="476" t="s">
        <v>846</v>
      </c>
      <c r="D139" s="90">
        <v>0</v>
      </c>
      <c r="E139" s="90">
        <v>0.74</v>
      </c>
      <c r="F139" s="90">
        <v>0.74</v>
      </c>
      <c r="G139" s="90">
        <v>4</v>
      </c>
      <c r="H139" s="91" t="s">
        <v>0</v>
      </c>
      <c r="I139" s="27"/>
      <c r="J139" s="27"/>
      <c r="K139" s="27"/>
      <c r="L139" s="27"/>
      <c r="M139" s="27"/>
      <c r="N139" s="27"/>
      <c r="O139" s="27"/>
      <c r="P139" s="27"/>
      <c r="Q139" s="27">
        <v>80420040261</v>
      </c>
      <c r="R139" s="27">
        <v>80420040261</v>
      </c>
    </row>
    <row r="140" spans="1:19" s="1" customFormat="1" ht="11.25" x14ac:dyDescent="0.2">
      <c r="A140" s="277"/>
      <c r="B140" s="700"/>
      <c r="C140" s="476" t="s">
        <v>846</v>
      </c>
      <c r="D140" s="462">
        <f>E139</f>
        <v>0.74</v>
      </c>
      <c r="E140" s="90">
        <f>D140+F140</f>
        <v>0.88</v>
      </c>
      <c r="F140" s="90">
        <v>0.14000000000000001</v>
      </c>
      <c r="G140" s="90">
        <v>4</v>
      </c>
      <c r="H140" s="91" t="s">
        <v>0</v>
      </c>
      <c r="I140" s="27"/>
      <c r="J140" s="27"/>
      <c r="K140" s="27"/>
      <c r="L140" s="27"/>
      <c r="M140" s="27"/>
      <c r="N140" s="27"/>
      <c r="O140" s="27"/>
      <c r="P140" s="27"/>
      <c r="Q140" s="454" t="s">
        <v>859</v>
      </c>
      <c r="R140" s="14">
        <v>80420040100</v>
      </c>
    </row>
    <row r="141" spans="1:19" s="1" customFormat="1" ht="22.5" x14ac:dyDescent="0.2">
      <c r="A141" s="288">
        <v>14</v>
      </c>
      <c r="B141" s="710" t="s">
        <v>352</v>
      </c>
      <c r="C141" s="476" t="s">
        <v>845</v>
      </c>
      <c r="D141" s="90">
        <v>0</v>
      </c>
      <c r="E141" s="90">
        <v>1.1200000000000001</v>
      </c>
      <c r="F141" s="90">
        <v>1.1200000000000001</v>
      </c>
      <c r="G141" s="90">
        <v>7.5</v>
      </c>
      <c r="H141" s="91" t="s">
        <v>0</v>
      </c>
      <c r="I141" s="27"/>
      <c r="J141" s="27"/>
      <c r="K141" s="27"/>
      <c r="L141" s="27"/>
      <c r="M141" s="27"/>
      <c r="N141" s="27"/>
      <c r="O141" s="27"/>
      <c r="P141" s="27"/>
      <c r="Q141" s="27">
        <v>80420040259</v>
      </c>
      <c r="R141" s="27">
        <v>80420040259</v>
      </c>
    </row>
    <row r="142" spans="1:19" s="1" customFormat="1" ht="11.25" x14ac:dyDescent="0.2">
      <c r="A142" s="288"/>
      <c r="B142" s="710" t="s">
        <v>314</v>
      </c>
      <c r="C142" s="476" t="s">
        <v>845</v>
      </c>
      <c r="D142" s="90">
        <v>1.1200000000000001</v>
      </c>
      <c r="E142" s="90">
        <v>3.77</v>
      </c>
      <c r="F142" s="90">
        <v>2.65</v>
      </c>
      <c r="G142" s="90">
        <v>4.5</v>
      </c>
      <c r="H142" s="91" t="s">
        <v>0</v>
      </c>
      <c r="I142" s="27"/>
      <c r="J142" s="27"/>
      <c r="K142" s="27"/>
      <c r="L142" s="27"/>
      <c r="M142" s="27"/>
      <c r="N142" s="27"/>
      <c r="O142" s="27"/>
      <c r="P142" s="27"/>
      <c r="Q142" s="27">
        <v>80420040259</v>
      </c>
      <c r="R142" s="27">
        <v>80420040259</v>
      </c>
    </row>
    <row r="143" spans="1:19" s="1" customFormat="1" ht="11.25" x14ac:dyDescent="0.2">
      <c r="A143" s="288"/>
      <c r="B143" s="710"/>
      <c r="C143" s="476" t="s">
        <v>845</v>
      </c>
      <c r="D143" s="90">
        <v>3.77</v>
      </c>
      <c r="E143" s="90">
        <v>4</v>
      </c>
      <c r="F143" s="90">
        <v>0.22999999999999998</v>
      </c>
      <c r="G143" s="90">
        <v>4.5</v>
      </c>
      <c r="H143" s="91" t="s">
        <v>0</v>
      </c>
      <c r="I143" s="27"/>
      <c r="J143" s="27"/>
      <c r="K143" s="27"/>
      <c r="L143" s="27"/>
      <c r="M143" s="27"/>
      <c r="N143" s="27"/>
      <c r="O143" s="27"/>
      <c r="P143" s="27"/>
      <c r="Q143" s="19">
        <v>80740010443</v>
      </c>
      <c r="R143" s="19">
        <v>80740010443</v>
      </c>
      <c r="S143" s="7"/>
    </row>
    <row r="144" spans="1:19" s="1" customFormat="1" ht="11.25" x14ac:dyDescent="0.2">
      <c r="A144" s="288"/>
      <c r="B144" s="710" t="s">
        <v>314</v>
      </c>
      <c r="C144" s="476" t="s">
        <v>845</v>
      </c>
      <c r="D144" s="90">
        <v>4</v>
      </c>
      <c r="E144" s="90">
        <v>6.48</v>
      </c>
      <c r="F144" s="90">
        <v>2.48</v>
      </c>
      <c r="G144" s="90">
        <v>4.5</v>
      </c>
      <c r="H144" s="91" t="s">
        <v>0</v>
      </c>
      <c r="I144" s="27"/>
      <c r="J144" s="27"/>
      <c r="K144" s="27"/>
      <c r="L144" s="27"/>
      <c r="M144" s="27"/>
      <c r="N144" s="27"/>
      <c r="O144" s="27"/>
      <c r="P144" s="27"/>
      <c r="Q144" s="27">
        <v>80420040259</v>
      </c>
      <c r="R144" s="27">
        <v>80420080122</v>
      </c>
    </row>
    <row r="145" spans="1:18" s="1" customFormat="1" ht="11.25" x14ac:dyDescent="0.2">
      <c r="A145" s="283">
        <v>15</v>
      </c>
      <c r="B145" s="733" t="s">
        <v>353</v>
      </c>
      <c r="C145" s="476" t="s">
        <v>846</v>
      </c>
      <c r="D145" s="90">
        <v>0</v>
      </c>
      <c r="E145" s="90">
        <v>0.8</v>
      </c>
      <c r="F145" s="90">
        <v>0.8</v>
      </c>
      <c r="G145" s="90">
        <v>4</v>
      </c>
      <c r="H145" s="91" t="s">
        <v>0</v>
      </c>
      <c r="I145" s="27"/>
      <c r="J145" s="27"/>
      <c r="K145" s="27"/>
      <c r="L145" s="27"/>
      <c r="M145" s="27"/>
      <c r="N145" s="27"/>
      <c r="O145" s="27"/>
      <c r="P145" s="27"/>
      <c r="Q145" s="27">
        <v>80420080125</v>
      </c>
      <c r="R145" s="27">
        <v>80420080125</v>
      </c>
    </row>
    <row r="146" spans="1:18" s="1" customFormat="1" ht="11.25" x14ac:dyDescent="0.2">
      <c r="A146" s="282"/>
      <c r="B146" s="701" t="s">
        <v>314</v>
      </c>
      <c r="C146" s="476" t="s">
        <v>846</v>
      </c>
      <c r="D146" s="90">
        <v>0.8</v>
      </c>
      <c r="E146" s="90">
        <v>1.32</v>
      </c>
      <c r="F146" s="90">
        <v>0.52</v>
      </c>
      <c r="G146" s="90">
        <v>4</v>
      </c>
      <c r="H146" s="91" t="s">
        <v>0</v>
      </c>
      <c r="I146" s="27"/>
      <c r="J146" s="27"/>
      <c r="K146" s="27"/>
      <c r="L146" s="27"/>
      <c r="M146" s="27"/>
      <c r="N146" s="27"/>
      <c r="O146" s="27"/>
      <c r="P146" s="27"/>
      <c r="Q146" s="27">
        <v>80420080125</v>
      </c>
      <c r="R146" s="27">
        <v>80420070161</v>
      </c>
    </row>
    <row r="147" spans="1:18" s="1" customFormat="1" ht="11.25" x14ac:dyDescent="0.2">
      <c r="A147" s="288">
        <v>16</v>
      </c>
      <c r="B147" s="710" t="s">
        <v>354</v>
      </c>
      <c r="C147" s="476" t="s">
        <v>846</v>
      </c>
      <c r="D147" s="90">
        <v>0</v>
      </c>
      <c r="E147" s="90">
        <v>0.84</v>
      </c>
      <c r="F147" s="90">
        <v>0.84</v>
      </c>
      <c r="G147" s="90">
        <v>4</v>
      </c>
      <c r="H147" s="91" t="s">
        <v>0</v>
      </c>
      <c r="I147" s="27"/>
      <c r="J147" s="27"/>
      <c r="K147" s="27"/>
      <c r="L147" s="27"/>
      <c r="M147" s="27"/>
      <c r="N147" s="27"/>
      <c r="O147" s="27"/>
      <c r="P147" s="27"/>
      <c r="Q147" s="27">
        <v>80420080126</v>
      </c>
      <c r="R147" s="27">
        <v>80420080126</v>
      </c>
    </row>
    <row r="148" spans="1:18" s="1" customFormat="1" ht="11.25" x14ac:dyDescent="0.2">
      <c r="A148" s="288"/>
      <c r="B148" s="710" t="s">
        <v>314</v>
      </c>
      <c r="C148" s="476" t="s">
        <v>846</v>
      </c>
      <c r="D148" s="90">
        <v>0.84</v>
      </c>
      <c r="E148" s="90">
        <v>2</v>
      </c>
      <c r="F148" s="90">
        <v>1.1599999999999999</v>
      </c>
      <c r="G148" s="90">
        <v>4</v>
      </c>
      <c r="H148" s="91" t="s">
        <v>0</v>
      </c>
      <c r="I148" s="27"/>
      <c r="J148" s="27"/>
      <c r="K148" s="27"/>
      <c r="L148" s="27"/>
      <c r="M148" s="27"/>
      <c r="N148" s="27"/>
      <c r="O148" s="27"/>
      <c r="P148" s="27"/>
      <c r="Q148" s="27">
        <v>80420080126</v>
      </c>
      <c r="R148" s="27">
        <v>80420070162</v>
      </c>
    </row>
    <row r="149" spans="1:18" s="1" customFormat="1" ht="11.25" x14ac:dyDescent="0.2">
      <c r="A149" s="283">
        <v>17</v>
      </c>
      <c r="B149" s="733" t="s">
        <v>355</v>
      </c>
      <c r="C149" s="476" t="s">
        <v>846</v>
      </c>
      <c r="D149" s="90">
        <v>0</v>
      </c>
      <c r="E149" s="90">
        <v>4.4000000000000004</v>
      </c>
      <c r="F149" s="90">
        <v>4.4000000000000004</v>
      </c>
      <c r="G149" s="90">
        <v>4.5</v>
      </c>
      <c r="H149" s="91" t="s">
        <v>0</v>
      </c>
      <c r="I149" s="27"/>
      <c r="J149" s="27"/>
      <c r="K149" s="27"/>
      <c r="L149" s="27"/>
      <c r="M149" s="27"/>
      <c r="N149" s="27"/>
      <c r="O149" s="27"/>
      <c r="P149" s="27"/>
      <c r="Q149" s="27">
        <v>80420080127</v>
      </c>
      <c r="R149" s="27">
        <v>80420080127</v>
      </c>
    </row>
    <row r="150" spans="1:18" s="1" customFormat="1" ht="11.25" x14ac:dyDescent="0.2">
      <c r="A150" s="282"/>
      <c r="B150" s="701" t="s">
        <v>314</v>
      </c>
      <c r="C150" s="476" t="s">
        <v>846</v>
      </c>
      <c r="D150" s="90">
        <v>4.4000000000000004</v>
      </c>
      <c r="E150" s="90">
        <v>5.3800000000000008</v>
      </c>
      <c r="F150" s="90">
        <v>0.98</v>
      </c>
      <c r="G150" s="90">
        <v>4</v>
      </c>
      <c r="H150" s="91" t="s">
        <v>0</v>
      </c>
      <c r="I150" s="27"/>
      <c r="J150" s="27"/>
      <c r="K150" s="27"/>
      <c r="L150" s="27"/>
      <c r="M150" s="27"/>
      <c r="N150" s="27"/>
      <c r="O150" s="27"/>
      <c r="P150" s="27"/>
      <c r="Q150" s="27">
        <v>80420080127</v>
      </c>
      <c r="R150" s="27">
        <v>80420090051</v>
      </c>
    </row>
    <row r="151" spans="1:18" s="1" customFormat="1" ht="11.25" x14ac:dyDescent="0.2">
      <c r="A151" s="288">
        <v>18</v>
      </c>
      <c r="B151" s="710" t="s">
        <v>356</v>
      </c>
      <c r="C151" s="476" t="s">
        <v>846</v>
      </c>
      <c r="D151" s="90">
        <v>0</v>
      </c>
      <c r="E151" s="90">
        <v>1.94</v>
      </c>
      <c r="F151" s="90">
        <v>1.94</v>
      </c>
      <c r="G151" s="90">
        <v>4</v>
      </c>
      <c r="H151" s="91" t="s">
        <v>0</v>
      </c>
      <c r="I151" s="27"/>
      <c r="J151" s="27"/>
      <c r="K151" s="27"/>
      <c r="L151" s="27"/>
      <c r="M151" s="27"/>
      <c r="N151" s="27"/>
      <c r="O151" s="27"/>
      <c r="P151" s="27"/>
      <c r="Q151" s="27">
        <v>80420090049</v>
      </c>
      <c r="R151" s="27">
        <v>80420090049</v>
      </c>
    </row>
    <row r="152" spans="1:18" s="1" customFormat="1" ht="33.75" x14ac:dyDescent="0.2">
      <c r="A152" s="288"/>
      <c r="B152" s="739" t="s">
        <v>357</v>
      </c>
      <c r="C152" s="476" t="s">
        <v>846</v>
      </c>
      <c r="D152" s="90">
        <v>0</v>
      </c>
      <c r="E152" s="27">
        <v>0.45</v>
      </c>
      <c r="F152" s="27">
        <v>0.45</v>
      </c>
      <c r="G152" s="90">
        <v>4</v>
      </c>
      <c r="H152" s="91" t="s">
        <v>0</v>
      </c>
      <c r="I152" s="82"/>
      <c r="J152" s="22"/>
      <c r="K152" s="22"/>
      <c r="L152" s="22"/>
      <c r="M152" s="22"/>
      <c r="N152" s="22"/>
      <c r="O152" s="22"/>
      <c r="P152" s="22"/>
      <c r="Q152" s="404" t="s">
        <v>368</v>
      </c>
      <c r="R152" s="404" t="s">
        <v>368</v>
      </c>
    </row>
    <row r="153" spans="1:18" s="1" customFormat="1" ht="11.25" x14ac:dyDescent="0.2">
      <c r="A153" s="283">
        <v>19</v>
      </c>
      <c r="B153" s="733" t="s">
        <v>358</v>
      </c>
      <c r="C153" s="476" t="s">
        <v>846</v>
      </c>
      <c r="D153" s="90">
        <v>0</v>
      </c>
      <c r="E153" s="90">
        <v>1.65</v>
      </c>
      <c r="F153" s="90">
        <v>1.65</v>
      </c>
      <c r="G153" s="90">
        <v>4</v>
      </c>
      <c r="H153" s="91" t="s">
        <v>0</v>
      </c>
      <c r="I153" s="27"/>
      <c r="J153" s="27"/>
      <c r="K153" s="27"/>
      <c r="L153" s="27"/>
      <c r="M153" s="27"/>
      <c r="N153" s="27"/>
      <c r="O153" s="27"/>
      <c r="P153" s="27"/>
      <c r="Q153" s="27">
        <v>80420090050</v>
      </c>
      <c r="R153" s="27">
        <v>80420090050</v>
      </c>
    </row>
    <row r="154" spans="1:18" s="1" customFormat="1" ht="11.25" x14ac:dyDescent="0.2">
      <c r="A154" s="288"/>
      <c r="B154" s="710" t="s">
        <v>314</v>
      </c>
      <c r="C154" s="476" t="s">
        <v>846</v>
      </c>
      <c r="D154" s="90">
        <v>1.65</v>
      </c>
      <c r="E154" s="90">
        <v>3.09</v>
      </c>
      <c r="F154" s="90">
        <v>1.44</v>
      </c>
      <c r="G154" s="90">
        <v>4</v>
      </c>
      <c r="H154" s="91" t="s">
        <v>0</v>
      </c>
      <c r="I154" s="27"/>
      <c r="J154" s="27"/>
      <c r="K154" s="27"/>
      <c r="L154" s="27"/>
      <c r="M154" s="27"/>
      <c r="N154" s="27"/>
      <c r="O154" s="27"/>
      <c r="P154" s="27"/>
      <c r="Q154" s="27">
        <v>80420090050</v>
      </c>
      <c r="R154" s="27">
        <v>80420070163</v>
      </c>
    </row>
    <row r="155" spans="1:18" s="1" customFormat="1" ht="11.25" x14ac:dyDescent="0.2">
      <c r="A155" s="288"/>
      <c r="B155" s="710"/>
      <c r="C155" s="476" t="s">
        <v>846</v>
      </c>
      <c r="D155" s="459">
        <f>E154</f>
        <v>3.09</v>
      </c>
      <c r="E155" s="460">
        <f>D155+F155</f>
        <v>3.4699999999999998</v>
      </c>
      <c r="F155" s="460">
        <v>0.38</v>
      </c>
      <c r="G155" s="460">
        <v>4</v>
      </c>
      <c r="H155" s="88" t="s">
        <v>0</v>
      </c>
      <c r="I155" s="89"/>
      <c r="J155" s="89"/>
      <c r="K155" s="89"/>
      <c r="L155" s="89"/>
      <c r="M155" s="89"/>
      <c r="N155" s="89"/>
      <c r="O155" s="89"/>
      <c r="P155" s="89"/>
      <c r="Q155" s="454" t="s">
        <v>859</v>
      </c>
      <c r="R155" s="14">
        <v>80420070013</v>
      </c>
    </row>
    <row r="156" spans="1:18" s="1" customFormat="1" ht="11.25" x14ac:dyDescent="0.2">
      <c r="A156" s="283">
        <v>20</v>
      </c>
      <c r="B156" s="733" t="s">
        <v>359</v>
      </c>
      <c r="C156" s="476" t="s">
        <v>845</v>
      </c>
      <c r="D156" s="90">
        <v>0</v>
      </c>
      <c r="E156" s="90">
        <v>0.47</v>
      </c>
      <c r="F156" s="90">
        <v>0.47</v>
      </c>
      <c r="G156" s="90">
        <v>6</v>
      </c>
      <c r="H156" s="91" t="s">
        <v>0</v>
      </c>
      <c r="I156" s="27"/>
      <c r="J156" s="27"/>
      <c r="K156" s="27"/>
      <c r="L156" s="27"/>
      <c r="M156" s="27"/>
      <c r="N156" s="27"/>
      <c r="O156" s="27"/>
      <c r="P156" s="27"/>
      <c r="Q156" s="27">
        <v>80420070168</v>
      </c>
      <c r="R156" s="27">
        <v>80420070168</v>
      </c>
    </row>
    <row r="157" spans="1:18" s="1" customFormat="1" ht="11.25" x14ac:dyDescent="0.2">
      <c r="A157" s="282"/>
      <c r="B157" s="701" t="s">
        <v>314</v>
      </c>
      <c r="C157" s="476" t="s">
        <v>845</v>
      </c>
      <c r="D157" s="90">
        <v>0.47</v>
      </c>
      <c r="E157" s="90">
        <v>2.5199999999999996</v>
      </c>
      <c r="F157" s="90">
        <v>2.0499999999999998</v>
      </c>
      <c r="G157" s="90">
        <v>4</v>
      </c>
      <c r="H157" s="91" t="s">
        <v>0</v>
      </c>
      <c r="I157" s="27"/>
      <c r="J157" s="27"/>
      <c r="K157" s="27"/>
      <c r="L157" s="27"/>
      <c r="M157" s="27"/>
      <c r="N157" s="27"/>
      <c r="O157" s="27"/>
      <c r="P157" s="27"/>
      <c r="Q157" s="27">
        <v>80420070168</v>
      </c>
      <c r="R157" s="27">
        <v>80420070168</v>
      </c>
    </row>
    <row r="158" spans="1:18" s="1" customFormat="1" ht="11.25" x14ac:dyDescent="0.2">
      <c r="A158" s="283">
        <v>21</v>
      </c>
      <c r="B158" s="733" t="s">
        <v>360</v>
      </c>
      <c r="C158" s="476" t="s">
        <v>846</v>
      </c>
      <c r="D158" s="90">
        <v>0</v>
      </c>
      <c r="E158" s="90">
        <v>0.77</v>
      </c>
      <c r="F158" s="90">
        <v>0.77</v>
      </c>
      <c r="G158" s="90">
        <v>3.2</v>
      </c>
      <c r="H158" s="91" t="s">
        <v>0</v>
      </c>
      <c r="I158" s="27"/>
      <c r="J158" s="27"/>
      <c r="K158" s="27"/>
      <c r="L158" s="27"/>
      <c r="M158" s="27"/>
      <c r="N158" s="27"/>
      <c r="O158" s="27"/>
      <c r="P158" s="27"/>
      <c r="Q158" s="27">
        <v>80420070165</v>
      </c>
      <c r="R158" s="27">
        <v>80420070165</v>
      </c>
    </row>
    <row r="159" spans="1:18" s="1" customFormat="1" ht="11.25" x14ac:dyDescent="0.2">
      <c r="A159" s="282"/>
      <c r="B159" s="701" t="s">
        <v>314</v>
      </c>
      <c r="C159" s="476" t="s">
        <v>846</v>
      </c>
      <c r="D159" s="90">
        <v>0.77</v>
      </c>
      <c r="E159" s="90">
        <v>1.27</v>
      </c>
      <c r="F159" s="90">
        <v>0.5</v>
      </c>
      <c r="G159" s="90">
        <v>3.2</v>
      </c>
      <c r="H159" s="91" t="s">
        <v>0</v>
      </c>
      <c r="I159" s="27"/>
      <c r="J159" s="27"/>
      <c r="K159" s="27"/>
      <c r="L159" s="27"/>
      <c r="M159" s="27"/>
      <c r="N159" s="27"/>
      <c r="O159" s="27"/>
      <c r="P159" s="27"/>
      <c r="Q159" s="27">
        <v>80420070165</v>
      </c>
      <c r="R159" s="27">
        <v>80420070177</v>
      </c>
    </row>
    <row r="160" spans="1:18" s="1" customFormat="1" ht="11.25" x14ac:dyDescent="0.2">
      <c r="A160" s="288">
        <v>22</v>
      </c>
      <c r="B160" s="710" t="s">
        <v>361</v>
      </c>
      <c r="C160" s="476" t="s">
        <v>846</v>
      </c>
      <c r="D160" s="90">
        <v>0</v>
      </c>
      <c r="E160" s="90">
        <v>0.55000000000000004</v>
      </c>
      <c r="F160" s="90">
        <v>0.55000000000000004</v>
      </c>
      <c r="G160" s="90">
        <v>3</v>
      </c>
      <c r="H160" s="91" t="s">
        <v>0</v>
      </c>
      <c r="I160" s="27"/>
      <c r="J160" s="27"/>
      <c r="K160" s="27"/>
      <c r="L160" s="27"/>
      <c r="M160" s="27"/>
      <c r="N160" s="27"/>
      <c r="O160" s="27"/>
      <c r="P160" s="27"/>
      <c r="Q160" s="27">
        <v>80420070166</v>
      </c>
      <c r="R160" s="27">
        <v>80420070166</v>
      </c>
    </row>
    <row r="161" spans="1:32" s="1" customFormat="1" ht="11.25" x14ac:dyDescent="0.2">
      <c r="A161" s="288"/>
      <c r="B161" s="710" t="s">
        <v>314</v>
      </c>
      <c r="C161" s="476" t="s">
        <v>846</v>
      </c>
      <c r="D161" s="90">
        <v>0.55000000000000004</v>
      </c>
      <c r="E161" s="90">
        <v>1.08</v>
      </c>
      <c r="F161" s="90">
        <v>0.53</v>
      </c>
      <c r="G161" s="90">
        <v>3.5</v>
      </c>
      <c r="H161" s="91" t="s">
        <v>0</v>
      </c>
      <c r="I161" s="27"/>
      <c r="J161" s="27"/>
      <c r="K161" s="27"/>
      <c r="L161" s="27"/>
      <c r="M161" s="27"/>
      <c r="N161" s="27"/>
      <c r="O161" s="27"/>
      <c r="P161" s="27"/>
      <c r="Q161" s="27">
        <v>80420070166</v>
      </c>
      <c r="R161" s="27">
        <v>80420070178</v>
      </c>
    </row>
    <row r="162" spans="1:32" s="1" customFormat="1" ht="11.25" x14ac:dyDescent="0.2">
      <c r="A162" s="283">
        <v>23</v>
      </c>
      <c r="B162" s="733" t="s">
        <v>362</v>
      </c>
      <c r="C162" s="476" t="s">
        <v>846</v>
      </c>
      <c r="D162" s="90">
        <v>0</v>
      </c>
      <c r="E162" s="90">
        <v>4.4800000000000004</v>
      </c>
      <c r="F162" s="90">
        <v>4.4800000000000004</v>
      </c>
      <c r="G162" s="90">
        <v>4</v>
      </c>
      <c r="H162" s="91" t="s">
        <v>0</v>
      </c>
      <c r="I162" s="27"/>
      <c r="J162" s="27"/>
      <c r="K162" s="27"/>
      <c r="L162" s="27"/>
      <c r="M162" s="27"/>
      <c r="N162" s="27"/>
      <c r="O162" s="27"/>
      <c r="P162" s="27"/>
      <c r="Q162" s="27">
        <v>80420030071</v>
      </c>
      <c r="R162" s="27">
        <v>80420030071</v>
      </c>
    </row>
    <row r="163" spans="1:32" s="1" customFormat="1" ht="11.25" x14ac:dyDescent="0.2">
      <c r="A163" s="282"/>
      <c r="B163" s="701" t="s">
        <v>314</v>
      </c>
      <c r="C163" s="476" t="s">
        <v>846</v>
      </c>
      <c r="D163" s="90">
        <v>4.4800000000000004</v>
      </c>
      <c r="E163" s="90">
        <v>6.5200000000000005</v>
      </c>
      <c r="F163" s="90">
        <v>2.04</v>
      </c>
      <c r="G163" s="90">
        <v>4</v>
      </c>
      <c r="H163" s="91" t="s">
        <v>0</v>
      </c>
      <c r="I163" s="27"/>
      <c r="J163" s="27"/>
      <c r="K163" s="27"/>
      <c r="L163" s="27"/>
      <c r="M163" s="27"/>
      <c r="N163" s="27"/>
      <c r="O163" s="27"/>
      <c r="P163" s="27"/>
      <c r="Q163" s="27">
        <v>80420030071</v>
      </c>
      <c r="R163" s="27">
        <v>80420070167</v>
      </c>
    </row>
    <row r="164" spans="1:32" s="1" customFormat="1" ht="11.25" x14ac:dyDescent="0.2">
      <c r="A164" s="288">
        <v>24</v>
      </c>
      <c r="B164" s="710" t="s">
        <v>363</v>
      </c>
      <c r="C164" s="416" t="s">
        <v>846</v>
      </c>
      <c r="D164" s="90">
        <v>0</v>
      </c>
      <c r="E164" s="90">
        <v>0.66</v>
      </c>
      <c r="F164" s="90">
        <v>0.66</v>
      </c>
      <c r="G164" s="90">
        <v>3</v>
      </c>
      <c r="H164" s="91" t="s">
        <v>0</v>
      </c>
      <c r="I164" s="27"/>
      <c r="J164" s="27"/>
      <c r="K164" s="27"/>
      <c r="L164" s="27"/>
      <c r="M164" s="27"/>
      <c r="N164" s="27"/>
      <c r="O164" s="27"/>
      <c r="P164" s="27"/>
      <c r="Q164" s="27">
        <v>80420030075</v>
      </c>
      <c r="R164" s="27">
        <v>80420030075</v>
      </c>
    </row>
    <row r="165" spans="1:32" s="1" customFormat="1" ht="11.25" x14ac:dyDescent="0.2">
      <c r="A165" s="280">
        <v>25</v>
      </c>
      <c r="B165" s="702" t="s">
        <v>364</v>
      </c>
      <c r="C165" s="405" t="s">
        <v>846</v>
      </c>
      <c r="D165" s="90">
        <v>0</v>
      </c>
      <c r="E165" s="90">
        <v>1.01</v>
      </c>
      <c r="F165" s="90">
        <v>1.01</v>
      </c>
      <c r="G165" s="90">
        <v>3.3</v>
      </c>
      <c r="H165" s="91" t="s">
        <v>0</v>
      </c>
      <c r="I165" s="27"/>
      <c r="J165" s="27"/>
      <c r="K165" s="27"/>
      <c r="L165" s="27"/>
      <c r="M165" s="27"/>
      <c r="N165" s="27"/>
      <c r="O165" s="27"/>
      <c r="P165" s="27"/>
      <c r="Q165" s="27">
        <v>80420030072</v>
      </c>
      <c r="R165" s="27">
        <v>80420030072</v>
      </c>
    </row>
    <row r="166" spans="1:32" s="1" customFormat="1" ht="11.25" x14ac:dyDescent="0.2">
      <c r="A166" s="288">
        <v>26</v>
      </c>
      <c r="B166" s="710" t="s">
        <v>365</v>
      </c>
      <c r="C166" s="476" t="s">
        <v>846</v>
      </c>
      <c r="D166" s="90">
        <v>0</v>
      </c>
      <c r="E166" s="90">
        <v>4.22</v>
      </c>
      <c r="F166" s="90">
        <v>4.22</v>
      </c>
      <c r="G166" s="90">
        <v>4</v>
      </c>
      <c r="H166" s="91" t="s">
        <v>0</v>
      </c>
      <c r="I166" s="27"/>
      <c r="J166" s="27"/>
      <c r="K166" s="27"/>
      <c r="L166" s="27"/>
      <c r="M166" s="27"/>
      <c r="N166" s="27"/>
      <c r="O166" s="27"/>
      <c r="P166" s="27"/>
      <c r="Q166" s="27">
        <v>80420030070</v>
      </c>
      <c r="R166" s="27">
        <v>80420030070</v>
      </c>
    </row>
    <row r="167" spans="1:32" s="1" customFormat="1" ht="11.25" x14ac:dyDescent="0.2">
      <c r="A167" s="288"/>
      <c r="B167" s="710" t="s">
        <v>314</v>
      </c>
      <c r="C167" s="476" t="s">
        <v>846</v>
      </c>
      <c r="D167" s="90">
        <v>4.22</v>
      </c>
      <c r="E167" s="90">
        <v>7.05</v>
      </c>
      <c r="F167" s="90">
        <v>2.83</v>
      </c>
      <c r="G167" s="90">
        <v>4</v>
      </c>
      <c r="H167" s="91" t="s">
        <v>0</v>
      </c>
      <c r="I167" s="27"/>
      <c r="J167" s="27"/>
      <c r="K167" s="27"/>
      <c r="L167" s="27"/>
      <c r="M167" s="27"/>
      <c r="N167" s="27"/>
      <c r="O167" s="27"/>
      <c r="P167" s="27"/>
      <c r="Q167" s="27">
        <v>80420030070</v>
      </c>
      <c r="R167" s="27">
        <v>80420060035</v>
      </c>
    </row>
    <row r="168" spans="1:32" s="1" customFormat="1" ht="11.25" x14ac:dyDescent="0.2">
      <c r="A168" s="288"/>
      <c r="B168" s="710" t="s">
        <v>314</v>
      </c>
      <c r="C168" s="476" t="s">
        <v>846</v>
      </c>
      <c r="D168" s="90">
        <v>7.05</v>
      </c>
      <c r="E168" s="90">
        <v>8.35</v>
      </c>
      <c r="F168" s="90">
        <v>1.3</v>
      </c>
      <c r="G168" s="90">
        <v>4</v>
      </c>
      <c r="H168" s="91" t="s">
        <v>0</v>
      </c>
      <c r="I168" s="27"/>
      <c r="J168" s="27"/>
      <c r="K168" s="27"/>
      <c r="L168" s="27"/>
      <c r="M168" s="27"/>
      <c r="N168" s="27"/>
      <c r="O168" s="27"/>
      <c r="P168" s="27"/>
      <c r="Q168" s="27">
        <v>80420030070</v>
      </c>
      <c r="R168" s="27">
        <v>80420050054</v>
      </c>
    </row>
    <row r="169" spans="1:32" s="1" customFormat="1" ht="11.25" x14ac:dyDescent="0.2">
      <c r="A169" s="283">
        <v>27</v>
      </c>
      <c r="B169" s="733" t="s">
        <v>366</v>
      </c>
      <c r="C169" s="476" t="s">
        <v>846</v>
      </c>
      <c r="D169" s="90">
        <v>0</v>
      </c>
      <c r="E169" s="90">
        <v>0.46</v>
      </c>
      <c r="F169" s="90">
        <v>0.46</v>
      </c>
      <c r="G169" s="90">
        <v>4</v>
      </c>
      <c r="H169" s="91" t="s">
        <v>0</v>
      </c>
      <c r="I169" s="27"/>
      <c r="J169" s="27"/>
      <c r="K169" s="27"/>
      <c r="L169" s="27"/>
      <c r="M169" s="27"/>
      <c r="N169" s="27"/>
      <c r="O169" s="27"/>
      <c r="P169" s="27"/>
      <c r="Q169" s="27">
        <v>80420050053</v>
      </c>
      <c r="R169" s="27">
        <v>80420050067</v>
      </c>
    </row>
    <row r="170" spans="1:32" s="1" customFormat="1" ht="11.25" x14ac:dyDescent="0.2">
      <c r="A170" s="288"/>
      <c r="B170" s="710"/>
      <c r="C170" s="476" t="s">
        <v>846</v>
      </c>
      <c r="D170" s="463">
        <f>E169</f>
        <v>0.46</v>
      </c>
      <c r="E170" s="464">
        <f>D170+F170</f>
        <v>0.76</v>
      </c>
      <c r="F170" s="9">
        <v>0.3</v>
      </c>
      <c r="G170" s="9">
        <v>3</v>
      </c>
      <c r="H170" s="88" t="s">
        <v>325</v>
      </c>
      <c r="I170" s="465"/>
      <c r="J170" s="465"/>
      <c r="K170" s="465"/>
      <c r="L170" s="465"/>
      <c r="M170" s="465"/>
      <c r="N170" s="465"/>
      <c r="O170" s="465"/>
      <c r="P170" s="465"/>
      <c r="Q170" s="454" t="s">
        <v>859</v>
      </c>
      <c r="R170" s="458">
        <v>80420050013</v>
      </c>
    </row>
    <row r="171" spans="1:32" s="1" customFormat="1" ht="11.25" x14ac:dyDescent="0.2">
      <c r="A171" s="288"/>
      <c r="B171" s="710" t="s">
        <v>314</v>
      </c>
      <c r="C171" s="476" t="s">
        <v>846</v>
      </c>
      <c r="D171" s="90">
        <v>0.76</v>
      </c>
      <c r="E171" s="90">
        <v>1.1099999999999999</v>
      </c>
      <c r="F171" s="90">
        <v>0.35</v>
      </c>
      <c r="G171" s="90">
        <v>3</v>
      </c>
      <c r="H171" s="91" t="s">
        <v>325</v>
      </c>
      <c r="I171" s="27"/>
      <c r="J171" s="27"/>
      <c r="K171" s="27"/>
      <c r="L171" s="27"/>
      <c r="M171" s="27"/>
      <c r="N171" s="27"/>
      <c r="O171" s="27"/>
      <c r="P171" s="27"/>
      <c r="Q171" s="27">
        <v>80420050053</v>
      </c>
      <c r="R171" s="27">
        <v>80420050053</v>
      </c>
    </row>
    <row r="172" spans="1:32" s="1" customFormat="1" ht="22.5" x14ac:dyDescent="0.2">
      <c r="A172" s="288"/>
      <c r="B172" s="710" t="s">
        <v>314</v>
      </c>
      <c r="C172" s="476" t="s">
        <v>846</v>
      </c>
      <c r="D172" s="90">
        <v>1.1099999999999999</v>
      </c>
      <c r="E172" s="90">
        <v>2.0699999999999998</v>
      </c>
      <c r="F172" s="90">
        <v>0.96</v>
      </c>
      <c r="G172" s="90">
        <v>3</v>
      </c>
      <c r="H172" s="91" t="s">
        <v>0</v>
      </c>
      <c r="I172" s="405" t="s">
        <v>370</v>
      </c>
      <c r="J172" s="27">
        <v>2.08</v>
      </c>
      <c r="K172" s="405" t="s">
        <v>371</v>
      </c>
      <c r="L172" s="406">
        <v>18</v>
      </c>
      <c r="M172" s="27">
        <v>129</v>
      </c>
      <c r="N172" s="27"/>
      <c r="O172" s="405" t="s">
        <v>328</v>
      </c>
      <c r="P172" s="27"/>
      <c r="Q172" s="27">
        <v>80420050053</v>
      </c>
      <c r="R172" s="27">
        <v>80420050053</v>
      </c>
    </row>
    <row r="173" spans="1:32" s="1" customFormat="1" ht="11.25" x14ac:dyDescent="0.2">
      <c r="A173" s="282"/>
      <c r="B173" s="701" t="s">
        <v>314</v>
      </c>
      <c r="C173" s="476" t="s">
        <v>846</v>
      </c>
      <c r="D173" s="90">
        <v>2.09</v>
      </c>
      <c r="E173" s="90">
        <v>2.71</v>
      </c>
      <c r="F173" s="90">
        <v>0.62</v>
      </c>
      <c r="G173" s="90">
        <v>4</v>
      </c>
      <c r="H173" s="91" t="s">
        <v>0</v>
      </c>
      <c r="I173" s="27"/>
      <c r="J173" s="27"/>
      <c r="K173" s="27"/>
      <c r="L173" s="27"/>
      <c r="M173" s="27"/>
      <c r="N173" s="27"/>
      <c r="O173" s="27"/>
      <c r="P173" s="27"/>
      <c r="Q173" s="27">
        <v>80420050053</v>
      </c>
      <c r="R173" s="27">
        <v>80420050053</v>
      </c>
    </row>
    <row r="174" spans="1:32" s="1" customFormat="1" ht="11.25" x14ac:dyDescent="0.2">
      <c r="A174" s="280">
        <v>28</v>
      </c>
      <c r="B174" s="702" t="s">
        <v>367</v>
      </c>
      <c r="C174" s="476" t="s">
        <v>846</v>
      </c>
      <c r="D174" s="90">
        <v>0</v>
      </c>
      <c r="E174" s="90">
        <v>0.64</v>
      </c>
      <c r="F174" s="90">
        <v>0.64</v>
      </c>
      <c r="G174" s="90">
        <v>3</v>
      </c>
      <c r="H174" s="91" t="s">
        <v>0</v>
      </c>
      <c r="I174" s="27"/>
      <c r="J174" s="27"/>
      <c r="K174" s="27"/>
      <c r="L174" s="27"/>
      <c r="M174" s="27"/>
      <c r="N174" s="27"/>
      <c r="O174" s="27"/>
      <c r="P174" s="27"/>
      <c r="Q174" s="27">
        <v>80420060037</v>
      </c>
      <c r="R174" s="27">
        <v>80420060037</v>
      </c>
    </row>
    <row r="175" spans="1:32" s="1" customFormat="1" x14ac:dyDescent="0.25">
      <c r="A175" s="280"/>
      <c r="B175" s="702"/>
      <c r="C175" s="476" t="s">
        <v>846</v>
      </c>
      <c r="D175" s="284">
        <f>E174</f>
        <v>0.64</v>
      </c>
      <c r="E175" s="72">
        <f>D175+F175</f>
        <v>1.1600000000000001</v>
      </c>
      <c r="F175" s="8">
        <v>0.52</v>
      </c>
      <c r="G175" s="8">
        <v>3</v>
      </c>
      <c r="H175" s="87" t="s">
        <v>0</v>
      </c>
      <c r="I175" s="22"/>
      <c r="J175" s="22"/>
      <c r="K175" s="22"/>
      <c r="L175" s="22"/>
      <c r="M175" s="22"/>
      <c r="N175" s="22"/>
      <c r="O175" s="22"/>
      <c r="P175" s="22"/>
      <c r="Q175" s="454" t="s">
        <v>859</v>
      </c>
      <c r="R175" s="14" t="s">
        <v>863</v>
      </c>
      <c r="S175"/>
      <c r="T175"/>
      <c r="U175"/>
      <c r="V175"/>
      <c r="W175"/>
      <c r="X175"/>
      <c r="Y175"/>
      <c r="Z175"/>
      <c r="AA175" t="s">
        <v>1097</v>
      </c>
      <c r="AB175"/>
      <c r="AC175"/>
      <c r="AD175"/>
      <c r="AE175"/>
      <c r="AF175"/>
    </row>
    <row r="176" spans="1:32" s="1" customFormat="1" ht="22.5" x14ac:dyDescent="0.2">
      <c r="B176" s="7"/>
      <c r="C176" s="439"/>
      <c r="H176" s="2"/>
      <c r="I176" s="10"/>
      <c r="J176" s="10"/>
      <c r="K176" s="53" t="s">
        <v>268</v>
      </c>
      <c r="L176" s="50">
        <f>SUM(L102:L175)</f>
        <v>18</v>
      </c>
      <c r="M176" s="50">
        <f>SUM(M102:M175)</f>
        <v>129</v>
      </c>
      <c r="N176" s="55"/>
      <c r="O176" s="53" t="s">
        <v>269</v>
      </c>
      <c r="P176" s="50">
        <f>SUM(P102:P175)</f>
        <v>0</v>
      </c>
      <c r="S176" s="102"/>
      <c r="T176" s="625" t="s">
        <v>1092</v>
      </c>
      <c r="U176" s="625" t="s">
        <v>1093</v>
      </c>
      <c r="V176" s="625" t="s">
        <v>1094</v>
      </c>
      <c r="W176" s="625" t="s">
        <v>1095</v>
      </c>
      <c r="X176" s="625" t="s">
        <v>1096</v>
      </c>
      <c r="Y176" s="627" t="s">
        <v>269</v>
      </c>
      <c r="Z176" s="102"/>
      <c r="AA176" s="625" t="s">
        <v>1092</v>
      </c>
      <c r="AB176" s="625" t="s">
        <v>1093</v>
      </c>
      <c r="AC176" s="625" t="s">
        <v>1094</v>
      </c>
      <c r="AD176" s="625" t="s">
        <v>1095</v>
      </c>
      <c r="AE176" s="625" t="s">
        <v>1096</v>
      </c>
      <c r="AF176" s="627" t="s">
        <v>269</v>
      </c>
    </row>
    <row r="177" spans="1:32" s="1" customFormat="1" ht="11.25" x14ac:dyDescent="0.2">
      <c r="A177" s="46" t="s">
        <v>372</v>
      </c>
      <c r="B177" s="47"/>
      <c r="C177" s="47"/>
      <c r="D177" s="48"/>
      <c r="E177" s="49"/>
      <c r="F177" s="50">
        <f>SUM(F102:F175)</f>
        <v>71.399999999999963</v>
      </c>
      <c r="G177" s="688"/>
      <c r="H177" s="51"/>
      <c r="I177" s="40"/>
      <c r="J177" s="52"/>
      <c r="Q177" s="55"/>
      <c r="S177" s="628" t="s">
        <v>844</v>
      </c>
      <c r="T177" s="625" t="s">
        <v>231</v>
      </c>
      <c r="U177" s="625" t="s">
        <v>231</v>
      </c>
      <c r="V177" s="625" t="s">
        <v>231</v>
      </c>
      <c r="W177" s="625" t="s">
        <v>231</v>
      </c>
      <c r="X177" s="625" t="s">
        <v>231</v>
      </c>
      <c r="Y177" s="626" t="s">
        <v>231</v>
      </c>
      <c r="Z177" s="628"/>
      <c r="AA177" s="625" t="s">
        <v>231</v>
      </c>
      <c r="AB177" s="625" t="s">
        <v>231</v>
      </c>
      <c r="AC177" s="625" t="s">
        <v>231</v>
      </c>
      <c r="AD177" s="625" t="s">
        <v>231</v>
      </c>
      <c r="AE177" s="625" t="s">
        <v>231</v>
      </c>
      <c r="AF177" s="626" t="s">
        <v>231</v>
      </c>
    </row>
    <row r="178" spans="1:32" s="1" customFormat="1" ht="11.25" x14ac:dyDescent="0.2">
      <c r="A178" s="56" t="s">
        <v>270</v>
      </c>
      <c r="B178" s="57"/>
      <c r="C178" s="57"/>
      <c r="D178" s="58"/>
      <c r="E178" s="59"/>
      <c r="F178" s="60">
        <f>F129+F134+F136+F138</f>
        <v>0.52</v>
      </c>
      <c r="G178" s="81"/>
      <c r="H178" s="61"/>
      <c r="I178" s="62"/>
      <c r="J178" s="55"/>
      <c r="K178" s="63"/>
      <c r="L178" s="64"/>
      <c r="M178" s="64"/>
      <c r="N178" s="55"/>
      <c r="O178" s="55"/>
      <c r="P178" s="55"/>
      <c r="Q178" s="55"/>
      <c r="S178" s="616" t="s">
        <v>847</v>
      </c>
      <c r="T178" s="624">
        <f>SUMIFS(F102:F175,C102:C175,"A",H102:H175,"melnais")</f>
        <v>0</v>
      </c>
      <c r="U178" s="624">
        <f>SUMIFS(F102:F175,C102:C175,"A",H102:H175,"dubultā virsma")</f>
        <v>0</v>
      </c>
      <c r="V178" s="624">
        <f>SUMIFS(F102:F175,C102:C175,"A",H102:H175,"bruģis")</f>
        <v>0</v>
      </c>
      <c r="W178" s="624">
        <f>SUMIFS(F102:F175,C102:C175,"A",H102:H175,"grants")</f>
        <v>0</v>
      </c>
      <c r="X178" s="624">
        <f>SUMIFS(F102:F175,C102:C175,"A",H102:H175,"cits segums")</f>
        <v>0</v>
      </c>
      <c r="Y178" s="624">
        <f>SUM(T178:X178)</f>
        <v>0</v>
      </c>
      <c r="Z178" s="616" t="s">
        <v>847</v>
      </c>
      <c r="AA178" s="614">
        <f>SUMIFS(F102:F175,C102:C175,"A",H102:H175,"melnais", Q102:Q175,"Nepiederošs")</f>
        <v>0</v>
      </c>
      <c r="AB178" s="614">
        <f>SUMIFS(F102:F175,C102:C175,"A",H102:H175,"dubultā virsma", Q102:Q175,"Nepiederošs")</f>
        <v>0</v>
      </c>
      <c r="AC178" s="614">
        <f>SUMIFS(F102:F175,C102:C175,"A",H102:H175,"bruģis", Q102:Q175,"Nepiederošs")</f>
        <v>0</v>
      </c>
      <c r="AD178" s="614">
        <f>SUMIFS(F102:F175,C102:C175,"A",H102:H175,"grants", Q102:Q175,"Nepiederošs")</f>
        <v>0</v>
      </c>
      <c r="AE178" s="614">
        <f>SUMIFS(F102:F175,C102:C175,"A",H102:H175,"cits segums", Q102:Q175,"Nepiederošs")</f>
        <v>0</v>
      </c>
      <c r="AF178" s="614">
        <f>SUM(AA178:AE178)</f>
        <v>0</v>
      </c>
    </row>
    <row r="179" spans="1:32" s="1" customFormat="1" ht="11.25" x14ac:dyDescent="0.2">
      <c r="A179" s="56" t="s">
        <v>271</v>
      </c>
      <c r="B179" s="57"/>
      <c r="C179" s="57"/>
      <c r="D179" s="58"/>
      <c r="E179" s="59"/>
      <c r="F179" s="60">
        <v>0</v>
      </c>
      <c r="G179" s="81"/>
      <c r="H179" s="65"/>
      <c r="I179" s="40"/>
      <c r="J179" s="66"/>
      <c r="K179" s="67"/>
      <c r="L179" s="67"/>
      <c r="M179" s="67"/>
      <c r="N179" s="68"/>
      <c r="O179" s="55"/>
      <c r="P179" s="55"/>
      <c r="Q179" s="55"/>
      <c r="S179" s="617" t="s">
        <v>848</v>
      </c>
      <c r="T179" s="624">
        <f>SUMIFS(F102:F175,C102:C175,"B",H102:H175,"melnais")</f>
        <v>0</v>
      </c>
      <c r="U179" s="624">
        <f>SUMIFS(F102:F175,C102:C175,"B",H102:H175,"dubultā virsma")</f>
        <v>0</v>
      </c>
      <c r="V179" s="624">
        <f>SUMIFS(F102:F175,C102:C175,"B",H102:H175,"bruģis")</f>
        <v>0</v>
      </c>
      <c r="W179" s="624">
        <f>SUMIFS(F102:F175,C102:C175,"B",H102:H175,"grants")</f>
        <v>0</v>
      </c>
      <c r="X179" s="624">
        <f>SUMIFS(F102:F175,C102:C175,"B",H102:H175,"cits segums")</f>
        <v>0</v>
      </c>
      <c r="Y179" s="624">
        <f t="shared" ref="Y179:Y181" si="16">SUM(T179:X179)</f>
        <v>0</v>
      </c>
      <c r="Z179" s="617" t="s">
        <v>848</v>
      </c>
      <c r="AA179" s="614">
        <f>SUMIFS(F102:F175,C102:C175,"B",H102:H175,"melnais", Q102:Q175,"Nepiederošs")</f>
        <v>0</v>
      </c>
      <c r="AB179" s="614">
        <f>SUMIFS(F102:F175,C102:C175,"B",H102:H175,"dubultā virsma", Q102:Q175,"Nepiederošs")</f>
        <v>0</v>
      </c>
      <c r="AC179" s="614">
        <f>SUMIFS(F102:F175,C102:C175,"B",H102:H175,"bruģis", Q102:Q175,"Nepiederošs")</f>
        <v>0</v>
      </c>
      <c r="AD179" s="614">
        <f>SUMIFS(F102:F175,C102:C175,"B",H102:H175,"grants", Q102:Q175,"Nepiederošs")</f>
        <v>0</v>
      </c>
      <c r="AE179" s="614">
        <f>SUMIFS(F102:F175,C102:C175,"B",H102:H175,"cits segums", Q102:Q175,"Nepiederošs")</f>
        <v>0</v>
      </c>
      <c r="AF179" s="614">
        <f t="shared" ref="AF179:AF181" si="17">SUM(AA179:AE179)</f>
        <v>0</v>
      </c>
    </row>
    <row r="180" spans="1:32" s="1" customFormat="1" ht="11.25" x14ac:dyDescent="0.2">
      <c r="A180" s="56" t="s">
        <v>272</v>
      </c>
      <c r="B180" s="57"/>
      <c r="C180" s="57"/>
      <c r="D180" s="58"/>
      <c r="E180" s="59"/>
      <c r="F180" s="60">
        <f>F177-F178-F181-F179</f>
        <v>69.299999999999969</v>
      </c>
      <c r="G180" s="81"/>
      <c r="H180" s="65"/>
      <c r="I180" s="65"/>
      <c r="J180" s="66"/>
      <c r="K180" s="67"/>
      <c r="L180" s="67"/>
      <c r="M180" s="67"/>
      <c r="N180" s="68"/>
      <c r="O180" s="55"/>
      <c r="P180" s="55"/>
      <c r="Q180" s="55"/>
      <c r="S180" s="615" t="s">
        <v>845</v>
      </c>
      <c r="T180" s="624">
        <f>SUMIFS(F102:F175,C102:C175,"C",H102:H175,"melnais")</f>
        <v>0</v>
      </c>
      <c r="U180" s="624">
        <f>SUMIFS(F102:F175,C102:C175,"C",H102:H175,"dubultā virsma")</f>
        <v>0</v>
      </c>
      <c r="V180" s="624">
        <f>SUMIFS(F102:F175,C102:C175,"C",H102:H175,"bruģis")</f>
        <v>0</v>
      </c>
      <c r="W180" s="624">
        <f>SUMIFS(F102:F175,C102:C175,"C",H102:H175,"grants")</f>
        <v>16.350000000000001</v>
      </c>
      <c r="X180" s="624">
        <f>SUMIFS(F102:F175,C102:C175,"C",H102:H175,"cits segums")</f>
        <v>0.79</v>
      </c>
      <c r="Y180" s="624">
        <f t="shared" si="16"/>
        <v>17.14</v>
      </c>
      <c r="Z180" s="615" t="s">
        <v>845</v>
      </c>
      <c r="AA180" s="614">
        <f>SUMIFS(F102:F175,C102:C175,"C",H102:H175,"melnais", Q102:Q175,"Nepiederošs")</f>
        <v>0</v>
      </c>
      <c r="AB180" s="614">
        <f>SUMIFS(F102:F175,C102:C175,"C",H102:H175,"dubultā virsma", Q102:Q175,"Nepiederošs")</f>
        <v>0</v>
      </c>
      <c r="AC180" s="614">
        <f>SUMIFS(F102:F175,C102:C175,"C",H102:H175,"bruģis", Q102:Q175,"Nepiederošs")</f>
        <v>0</v>
      </c>
      <c r="AD180" s="614">
        <f>SUMIFS(F102:F175,C102:C175,"C",H102:H175,"grants", Q102:Q175,"Nepiederošs")</f>
        <v>0.7</v>
      </c>
      <c r="AE180" s="614">
        <f>SUMIFS(F102:F175,C102:C175,"C",H102:H175,"cits segums", Q102:Q175,"Nepiederošs")</f>
        <v>0</v>
      </c>
      <c r="AF180" s="614">
        <f t="shared" si="17"/>
        <v>0.7</v>
      </c>
    </row>
    <row r="181" spans="1:32" s="1" customFormat="1" ht="11.25" x14ac:dyDescent="0.2">
      <c r="A181" s="56" t="s">
        <v>273</v>
      </c>
      <c r="B181" s="57"/>
      <c r="C181" s="57"/>
      <c r="D181" s="58"/>
      <c r="E181" s="59"/>
      <c r="F181" s="60">
        <f>F171+F118+F110+F107</f>
        <v>1.58</v>
      </c>
      <c r="G181" s="81"/>
      <c r="H181" s="69"/>
      <c r="I181" s="65"/>
      <c r="J181" s="70"/>
      <c r="K181" s="67"/>
      <c r="L181" s="67"/>
      <c r="M181" s="67"/>
      <c r="N181" s="68"/>
      <c r="O181" s="55"/>
      <c r="P181" s="55"/>
      <c r="Q181" s="55"/>
      <c r="S181" s="616" t="s">
        <v>846</v>
      </c>
      <c r="T181" s="624">
        <f>SUMIFS(F102:F175,C102:C175,"D",H102:H175,"melnais")</f>
        <v>0.52</v>
      </c>
      <c r="U181" s="624">
        <f>SUMIFS(F102:F175,C102:C175,"D",H102:H175,"dubultā virsma")</f>
        <v>0</v>
      </c>
      <c r="V181" s="624">
        <f>SUMIFS(F102:F175,C102:C175,"D",H102:H175,"bruģis")</f>
        <v>0</v>
      </c>
      <c r="W181" s="624">
        <f>SUMIFS(F102:F175,C102:C175,"D",H102:H175,"grants")</f>
        <v>52.649999999999991</v>
      </c>
      <c r="X181" s="624">
        <f>SUMIFS(F102:F175,C102:C175,"D",H102:H175,"cits segums")</f>
        <v>1.0899999999999999</v>
      </c>
      <c r="Y181" s="624">
        <f t="shared" si="16"/>
        <v>54.259999999999991</v>
      </c>
      <c r="Z181" s="616" t="s">
        <v>846</v>
      </c>
      <c r="AA181" s="614">
        <f>SUMIFS(F102:F175,C102:C175,"D",H102:H175,"melnais", Q102:Q175,"Nepiederošs")</f>
        <v>0</v>
      </c>
      <c r="AB181" s="614">
        <f>SUMIFS(F102:F175,C102:C175,"D",H102:H175,"dubultā virsma", Q102:Q175,"Nepiederošs")</f>
        <v>0</v>
      </c>
      <c r="AC181" s="614">
        <f>SUMIFS(F102:F175,C102:C175,"D",H102:H175,"bruģis", Q102:Q175,"Nepiederošs")</f>
        <v>0</v>
      </c>
      <c r="AD181" s="614">
        <f>SUMIFS(F102:F175,C102:C175,"D",H102:H175,"grants", Q102:Q175,"Nepiederošs")</f>
        <v>1.9100000000000001</v>
      </c>
      <c r="AE181" s="614">
        <f>SUMIFS(F102:F175,C102:C175,"D",H102:H175,"cits segums", Q102:Q175,"Nepiederošs")</f>
        <v>0.3</v>
      </c>
      <c r="AF181" s="614">
        <f t="shared" si="17"/>
        <v>2.21</v>
      </c>
    </row>
    <row r="182" spans="1:32" x14ac:dyDescent="0.25">
      <c r="B182" s="731"/>
      <c r="C182" s="438"/>
      <c r="T182" s="630">
        <f>SUM(T178:T181)</f>
        <v>0.52</v>
      </c>
      <c r="U182" s="630">
        <f t="shared" ref="U182" si="18">SUM(U178:U181)</f>
        <v>0</v>
      </c>
      <c r="V182" s="630">
        <f t="shared" ref="V182" si="19">SUM(V178:V181)</f>
        <v>0</v>
      </c>
      <c r="W182" s="630">
        <f t="shared" ref="W182" si="20">SUM(W178:W181)</f>
        <v>69</v>
      </c>
      <c r="X182" s="630">
        <f t="shared" ref="X182" si="21">SUM(X178:X181)</f>
        <v>1.88</v>
      </c>
      <c r="Y182" s="630">
        <f t="shared" ref="Y182" si="22">SUM(Y178:Y181)</f>
        <v>71.399999999999991</v>
      </c>
      <c r="AA182" s="629">
        <f>SUM(AA178:AA181)</f>
        <v>0</v>
      </c>
      <c r="AB182" s="629">
        <f t="shared" ref="AB182" si="23">SUM(AB178:AB181)</f>
        <v>0</v>
      </c>
      <c r="AC182" s="629">
        <f>SUM(AC178:AC181)</f>
        <v>0</v>
      </c>
      <c r="AD182" s="629">
        <f t="shared" ref="AD182" si="24">SUM(AD178:AD181)</f>
        <v>2.6100000000000003</v>
      </c>
      <c r="AE182" s="629">
        <f t="shared" ref="AE182" si="25">SUM(AE178:AE181)</f>
        <v>0.3</v>
      </c>
      <c r="AF182" s="629">
        <f t="shared" ref="AF182" si="26">SUM(AF178:AF181)</f>
        <v>2.91</v>
      </c>
    </row>
    <row r="183" spans="1:32" s="32" customFormat="1" ht="15" customHeight="1" x14ac:dyDescent="0.25">
      <c r="A183" s="33"/>
      <c r="B183" s="33"/>
      <c r="C183" s="33"/>
      <c r="D183" s="781" t="s">
        <v>1052</v>
      </c>
      <c r="E183" s="781"/>
      <c r="F183" s="781"/>
      <c r="G183" s="781"/>
      <c r="H183" s="781"/>
      <c r="I183" s="781"/>
      <c r="J183" s="781"/>
      <c r="K183" s="781"/>
      <c r="L183" s="781"/>
      <c r="M183" s="781"/>
      <c r="N183" s="781"/>
      <c r="O183" s="781"/>
      <c r="P183" s="781"/>
      <c r="Q183" s="30"/>
      <c r="R183" s="37"/>
      <c r="Z183" s="631">
        <f>Y182-AA183</f>
        <v>2.9099999999999966</v>
      </c>
      <c r="AA183" s="32">
        <v>68.489999999999995</v>
      </c>
    </row>
    <row r="184" spans="1:32" s="32" customFormat="1" ht="11.25" x14ac:dyDescent="0.25">
      <c r="A184" s="33"/>
      <c r="B184" s="33"/>
      <c r="C184" s="33"/>
      <c r="D184" s="38"/>
      <c r="E184" s="29"/>
      <c r="F184" s="29"/>
      <c r="G184" s="29"/>
      <c r="H184" s="30"/>
      <c r="I184" s="28"/>
      <c r="J184" s="28"/>
      <c r="K184" s="28"/>
      <c r="L184" s="28"/>
      <c r="M184" s="28"/>
      <c r="N184" s="39"/>
      <c r="O184" s="39"/>
      <c r="P184" s="28"/>
      <c r="Q184" s="28"/>
      <c r="R184" s="37"/>
    </row>
    <row r="185" spans="1:32" s="40" customFormat="1" ht="5.25" customHeight="1" x14ac:dyDescent="0.2">
      <c r="A185" s="44"/>
      <c r="B185" s="732"/>
      <c r="C185" s="39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</row>
    <row r="186" spans="1:32" s="40" customFormat="1" ht="12.75" customHeight="1" x14ac:dyDescent="0.2">
      <c r="A186" s="782" t="s">
        <v>244</v>
      </c>
      <c r="B186" s="790" t="s">
        <v>245</v>
      </c>
      <c r="C186" s="413"/>
      <c r="D186" s="793" t="s">
        <v>246</v>
      </c>
      <c r="E186" s="794"/>
      <c r="F186" s="794"/>
      <c r="G186" s="794"/>
      <c r="H186" s="794"/>
      <c r="I186" s="794"/>
      <c r="J186" s="794"/>
      <c r="K186" s="794"/>
      <c r="L186" s="794"/>
      <c r="M186" s="794"/>
      <c r="N186" s="794"/>
      <c r="O186" s="794"/>
      <c r="P186" s="784"/>
      <c r="Q186" s="795" t="s">
        <v>247</v>
      </c>
      <c r="R186" s="796"/>
    </row>
    <row r="187" spans="1:32" s="40" customFormat="1" ht="12.75" customHeight="1" x14ac:dyDescent="0.2">
      <c r="A187" s="782"/>
      <c r="B187" s="791"/>
      <c r="C187" s="395"/>
      <c r="D187" s="785" t="s">
        <v>248</v>
      </c>
      <c r="E187" s="785"/>
      <c r="F187" s="785"/>
      <c r="G187" s="785"/>
      <c r="H187" s="785"/>
      <c r="I187" s="788" t="s">
        <v>249</v>
      </c>
      <c r="J187" s="788"/>
      <c r="K187" s="788"/>
      <c r="L187" s="788"/>
      <c r="M187" s="788"/>
      <c r="N187" s="788"/>
      <c r="O187" s="788"/>
      <c r="P187" s="801" t="s">
        <v>250</v>
      </c>
      <c r="Q187" s="797"/>
      <c r="R187" s="798"/>
    </row>
    <row r="188" spans="1:32" s="40" customFormat="1" ht="15.2" customHeight="1" x14ac:dyDescent="0.2">
      <c r="A188" s="782"/>
      <c r="B188" s="791"/>
      <c r="C188" s="395"/>
      <c r="D188" s="785" t="s">
        <v>251</v>
      </c>
      <c r="E188" s="785"/>
      <c r="F188" s="786" t="s">
        <v>252</v>
      </c>
      <c r="G188" s="786" t="s">
        <v>881</v>
      </c>
      <c r="H188" s="782" t="s">
        <v>253</v>
      </c>
      <c r="I188" s="789" t="s">
        <v>254</v>
      </c>
      <c r="J188" s="788" t="s">
        <v>255</v>
      </c>
      <c r="K188" s="788"/>
      <c r="L188" s="787" t="s">
        <v>256</v>
      </c>
      <c r="M188" s="787" t="s">
        <v>257</v>
      </c>
      <c r="N188" s="787" t="s">
        <v>258</v>
      </c>
      <c r="O188" s="787" t="s">
        <v>259</v>
      </c>
      <c r="P188" s="799"/>
      <c r="Q188" s="799" t="s">
        <v>260</v>
      </c>
      <c r="R188" s="791" t="s">
        <v>261</v>
      </c>
    </row>
    <row r="189" spans="1:32" s="40" customFormat="1" ht="59.25" customHeight="1" x14ac:dyDescent="0.2">
      <c r="A189" s="782"/>
      <c r="B189" s="792"/>
      <c r="C189" s="432" t="s">
        <v>844</v>
      </c>
      <c r="D189" s="74" t="s">
        <v>262</v>
      </c>
      <c r="E189" s="74" t="s">
        <v>263</v>
      </c>
      <c r="F189" s="786"/>
      <c r="G189" s="786"/>
      <c r="H189" s="782"/>
      <c r="I189" s="789"/>
      <c r="J189" s="75" t="s">
        <v>231</v>
      </c>
      <c r="K189" s="75" t="s">
        <v>264</v>
      </c>
      <c r="L189" s="787"/>
      <c r="M189" s="787"/>
      <c r="N189" s="787"/>
      <c r="O189" s="787"/>
      <c r="P189" s="800"/>
      <c r="Q189" s="800"/>
      <c r="R189" s="792"/>
    </row>
    <row r="190" spans="1:32" s="41" customFormat="1" ht="12" customHeight="1" x14ac:dyDescent="0.25">
      <c r="A190" s="276">
        <v>1</v>
      </c>
      <c r="B190" s="276">
        <v>2</v>
      </c>
      <c r="C190" s="276"/>
      <c r="D190" s="276">
        <v>3</v>
      </c>
      <c r="E190" s="276">
        <v>4</v>
      </c>
      <c r="F190" s="276">
        <v>5</v>
      </c>
      <c r="G190" s="42">
        <v>5.0999999999999996</v>
      </c>
      <c r="H190" s="276">
        <v>6</v>
      </c>
      <c r="I190" s="292">
        <v>7</v>
      </c>
      <c r="J190" s="292">
        <v>8</v>
      </c>
      <c r="K190" s="292">
        <v>9</v>
      </c>
      <c r="L190" s="292">
        <v>10</v>
      </c>
      <c r="M190" s="292">
        <v>11</v>
      </c>
      <c r="N190" s="292">
        <v>12</v>
      </c>
      <c r="O190" s="292">
        <v>13</v>
      </c>
      <c r="P190" s="292">
        <v>14</v>
      </c>
      <c r="Q190" s="292">
        <v>15</v>
      </c>
      <c r="R190" s="276">
        <v>16</v>
      </c>
    </row>
    <row r="191" spans="1:32" ht="23.25" x14ac:dyDescent="0.25">
      <c r="A191" s="23">
        <v>1</v>
      </c>
      <c r="B191" s="702" t="s">
        <v>460</v>
      </c>
      <c r="C191" s="405" t="s">
        <v>846</v>
      </c>
      <c r="D191" s="90">
        <v>0</v>
      </c>
      <c r="E191" s="90">
        <v>3.59</v>
      </c>
      <c r="F191" s="90">
        <v>3.59</v>
      </c>
      <c r="G191" s="90">
        <v>3.5</v>
      </c>
      <c r="H191" s="91" t="s">
        <v>0</v>
      </c>
      <c r="I191" s="22"/>
      <c r="J191" s="22"/>
      <c r="K191" s="22"/>
      <c r="L191" s="22"/>
      <c r="M191" s="22"/>
      <c r="N191" s="22"/>
      <c r="O191" s="22"/>
      <c r="P191" s="22"/>
      <c r="Q191" s="294">
        <v>80740010207</v>
      </c>
      <c r="R191" s="294">
        <v>80740010207</v>
      </c>
    </row>
    <row r="192" spans="1:32" ht="23.25" x14ac:dyDescent="0.25">
      <c r="A192" s="23">
        <v>2</v>
      </c>
      <c r="B192" s="702" t="s">
        <v>464</v>
      </c>
      <c r="C192" s="405" t="s">
        <v>846</v>
      </c>
      <c r="D192" s="90">
        <v>0</v>
      </c>
      <c r="E192" s="90">
        <v>2.95</v>
      </c>
      <c r="F192" s="90">
        <v>2.95</v>
      </c>
      <c r="G192" s="690">
        <v>5.8</v>
      </c>
      <c r="H192" s="87" t="s">
        <v>0</v>
      </c>
      <c r="I192" s="22"/>
      <c r="J192" s="22"/>
      <c r="K192" s="22"/>
      <c r="L192" s="22"/>
      <c r="M192" s="22"/>
      <c r="N192" s="22"/>
      <c r="O192" s="22"/>
      <c r="P192" s="22"/>
      <c r="Q192" s="294">
        <v>80740010007</v>
      </c>
      <c r="R192" s="295" t="s">
        <v>445</v>
      </c>
    </row>
    <row r="193" spans="1:18" ht="23.25" x14ac:dyDescent="0.25">
      <c r="A193" s="23">
        <v>3</v>
      </c>
      <c r="B193" s="702" t="s">
        <v>465</v>
      </c>
      <c r="C193" s="405" t="s">
        <v>846</v>
      </c>
      <c r="D193" s="90">
        <v>0</v>
      </c>
      <c r="E193" s="90">
        <v>5.46</v>
      </c>
      <c r="F193" s="90">
        <v>5.46</v>
      </c>
      <c r="G193" s="90">
        <v>5</v>
      </c>
      <c r="H193" s="91" t="s">
        <v>0</v>
      </c>
      <c r="I193" s="22"/>
      <c r="J193" s="22"/>
      <c r="K193" s="22"/>
      <c r="L193" s="22"/>
      <c r="M193" s="22"/>
      <c r="N193" s="22"/>
      <c r="O193" s="22"/>
      <c r="P193" s="22"/>
      <c r="Q193" s="294">
        <v>80740010208</v>
      </c>
      <c r="R193" s="295" t="s">
        <v>447</v>
      </c>
    </row>
    <row r="194" spans="1:18" ht="23.25" x14ac:dyDescent="0.25">
      <c r="A194" s="23">
        <v>4</v>
      </c>
      <c r="B194" s="702" t="s">
        <v>466</v>
      </c>
      <c r="C194" s="405" t="s">
        <v>846</v>
      </c>
      <c r="D194" s="90">
        <v>0</v>
      </c>
      <c r="E194" s="90">
        <v>2.84</v>
      </c>
      <c r="F194" s="90">
        <v>2.84</v>
      </c>
      <c r="G194" s="690">
        <v>5</v>
      </c>
      <c r="H194" s="87" t="s">
        <v>0</v>
      </c>
      <c r="I194" s="23" t="s">
        <v>441</v>
      </c>
      <c r="J194" s="72">
        <v>0.5</v>
      </c>
      <c r="K194" s="26" t="s">
        <v>446</v>
      </c>
      <c r="L194" s="72">
        <v>12.5</v>
      </c>
      <c r="M194" s="72">
        <v>84</v>
      </c>
      <c r="N194" s="22"/>
      <c r="O194" s="23" t="s">
        <v>433</v>
      </c>
      <c r="P194" s="22"/>
      <c r="Q194" s="294">
        <v>80740010205</v>
      </c>
      <c r="R194" s="294">
        <v>80740010205</v>
      </c>
    </row>
    <row r="195" spans="1:18" ht="34.5" x14ac:dyDescent="0.25">
      <c r="A195" s="23">
        <v>5</v>
      </c>
      <c r="B195" s="702" t="s">
        <v>467</v>
      </c>
      <c r="C195" s="405" t="s">
        <v>845</v>
      </c>
      <c r="D195" s="90">
        <v>0</v>
      </c>
      <c r="E195" s="90">
        <v>7.49</v>
      </c>
      <c r="F195" s="90">
        <v>7.49</v>
      </c>
      <c r="G195" s="90">
        <v>4.5</v>
      </c>
      <c r="H195" s="91" t="s">
        <v>0</v>
      </c>
      <c r="I195" s="23" t="s">
        <v>442</v>
      </c>
      <c r="J195" s="72">
        <v>7</v>
      </c>
      <c r="K195" s="26" t="s">
        <v>451</v>
      </c>
      <c r="L195" s="72">
        <v>24.09</v>
      </c>
      <c r="M195" s="72">
        <v>169</v>
      </c>
      <c r="N195" s="22"/>
      <c r="O195" s="23" t="s">
        <v>433</v>
      </c>
      <c r="P195" s="22"/>
      <c r="Q195" s="294">
        <v>80740010212</v>
      </c>
      <c r="R195" s="295" t="s">
        <v>448</v>
      </c>
    </row>
    <row r="196" spans="1:18" x14ac:dyDescent="0.25">
      <c r="A196" s="23">
        <v>6</v>
      </c>
      <c r="B196" s="702" t="s">
        <v>468</v>
      </c>
      <c r="C196" s="405" t="s">
        <v>846</v>
      </c>
      <c r="D196" s="90">
        <v>0</v>
      </c>
      <c r="E196" s="90">
        <v>0.87</v>
      </c>
      <c r="F196" s="90">
        <v>0.87</v>
      </c>
      <c r="G196" s="690">
        <v>4.5</v>
      </c>
      <c r="H196" s="87" t="s">
        <v>0</v>
      </c>
      <c r="I196" s="23"/>
      <c r="J196" s="72"/>
      <c r="K196" s="22"/>
      <c r="L196" s="72"/>
      <c r="M196" s="72"/>
      <c r="N196" s="22"/>
      <c r="O196" s="23"/>
      <c r="P196" s="22"/>
      <c r="Q196" s="294">
        <v>80740010213</v>
      </c>
      <c r="R196" s="294">
        <v>80740010213</v>
      </c>
    </row>
    <row r="197" spans="1:18" ht="23.25" x14ac:dyDescent="0.25">
      <c r="A197" s="23">
        <v>7</v>
      </c>
      <c r="B197" s="702" t="s">
        <v>469</v>
      </c>
      <c r="C197" s="405" t="s">
        <v>846</v>
      </c>
      <c r="D197" s="90">
        <v>0</v>
      </c>
      <c r="E197" s="90">
        <v>1.34</v>
      </c>
      <c r="F197" s="90">
        <v>1.34</v>
      </c>
      <c r="G197" s="90">
        <v>4</v>
      </c>
      <c r="H197" s="91" t="s">
        <v>0</v>
      </c>
      <c r="I197" s="23"/>
      <c r="J197" s="72"/>
      <c r="K197" s="22"/>
      <c r="L197" s="72"/>
      <c r="M197" s="72"/>
      <c r="N197" s="22"/>
      <c r="O197" s="23"/>
      <c r="P197" s="22"/>
      <c r="Q197" s="294">
        <v>80740030657</v>
      </c>
      <c r="R197" s="295" t="s">
        <v>449</v>
      </c>
    </row>
    <row r="198" spans="1:18" ht="34.5" x14ac:dyDescent="0.25">
      <c r="A198" s="23">
        <v>8</v>
      </c>
      <c r="B198" s="702" t="s">
        <v>470</v>
      </c>
      <c r="C198" s="405" t="s">
        <v>846</v>
      </c>
      <c r="D198" s="90">
        <v>0</v>
      </c>
      <c r="E198" s="90">
        <v>3.33</v>
      </c>
      <c r="F198" s="90">
        <v>3.33</v>
      </c>
      <c r="G198" s="690">
        <v>5</v>
      </c>
      <c r="H198" s="87" t="s">
        <v>0</v>
      </c>
      <c r="I198" s="23" t="s">
        <v>443</v>
      </c>
      <c r="J198" s="72">
        <v>2.8</v>
      </c>
      <c r="K198" s="26" t="s">
        <v>450</v>
      </c>
      <c r="L198" s="72">
        <v>25</v>
      </c>
      <c r="M198" s="72">
        <v>135</v>
      </c>
      <c r="N198" s="22"/>
      <c r="O198" s="23" t="s">
        <v>444</v>
      </c>
      <c r="P198" s="22"/>
      <c r="Q198" s="294">
        <v>80740040256</v>
      </c>
      <c r="R198" s="295" t="s">
        <v>452</v>
      </c>
    </row>
    <row r="199" spans="1:18" x14ac:dyDescent="0.25">
      <c r="A199" s="23">
        <v>9</v>
      </c>
      <c r="B199" s="702" t="s">
        <v>471</v>
      </c>
      <c r="C199" s="405" t="s">
        <v>846</v>
      </c>
      <c r="D199" s="90">
        <v>0</v>
      </c>
      <c r="E199" s="90">
        <v>3.65</v>
      </c>
      <c r="F199" s="90">
        <v>3.65</v>
      </c>
      <c r="G199" s="90">
        <v>5.2</v>
      </c>
      <c r="H199" s="91" t="s">
        <v>0</v>
      </c>
      <c r="I199" s="22"/>
      <c r="J199" s="22"/>
      <c r="K199" s="22"/>
      <c r="L199" s="22"/>
      <c r="M199" s="22"/>
      <c r="N199" s="22"/>
      <c r="O199" s="22"/>
      <c r="P199" s="22"/>
      <c r="Q199" s="294">
        <v>80740040257</v>
      </c>
      <c r="R199" s="294">
        <v>80740040257</v>
      </c>
    </row>
    <row r="200" spans="1:18" ht="23.25" x14ac:dyDescent="0.25">
      <c r="A200" s="71">
        <v>10</v>
      </c>
      <c r="B200" s="733" t="s">
        <v>472</v>
      </c>
      <c r="C200" s="405" t="s">
        <v>846</v>
      </c>
      <c r="D200" s="90">
        <v>0</v>
      </c>
      <c r="E200" s="90">
        <v>6.32</v>
      </c>
      <c r="F200" s="90">
        <v>6.32</v>
      </c>
      <c r="G200" s="690">
        <v>6</v>
      </c>
      <c r="H200" s="87" t="s">
        <v>0</v>
      </c>
      <c r="I200" s="22"/>
      <c r="J200" s="22"/>
      <c r="K200" s="22"/>
      <c r="L200" s="22"/>
      <c r="M200" s="22"/>
      <c r="N200" s="22"/>
      <c r="O200" s="22"/>
      <c r="P200" s="22"/>
      <c r="Q200" s="294">
        <v>80740060260</v>
      </c>
      <c r="R200" s="295" t="s">
        <v>453</v>
      </c>
    </row>
    <row r="201" spans="1:18" ht="23.25" x14ac:dyDescent="0.25">
      <c r="A201" s="71">
        <v>11</v>
      </c>
      <c r="B201" s="698" t="s">
        <v>473</v>
      </c>
      <c r="C201" s="477" t="s">
        <v>846</v>
      </c>
      <c r="D201" s="90">
        <v>0</v>
      </c>
      <c r="E201" s="90">
        <v>2.11</v>
      </c>
      <c r="F201" s="90">
        <v>2.11</v>
      </c>
      <c r="G201" s="90">
        <v>4.5</v>
      </c>
      <c r="H201" s="91" t="s">
        <v>0</v>
      </c>
      <c r="I201" s="22"/>
      <c r="J201" s="22"/>
      <c r="K201" s="22"/>
      <c r="L201" s="22"/>
      <c r="M201" s="22"/>
      <c r="N201" s="22"/>
      <c r="O201" s="22"/>
      <c r="P201" s="22"/>
      <c r="Q201" s="294">
        <v>80740060347</v>
      </c>
      <c r="R201" s="294">
        <v>80740060347</v>
      </c>
    </row>
    <row r="202" spans="1:18" x14ac:dyDescent="0.25">
      <c r="A202" s="281"/>
      <c r="B202" s="704"/>
      <c r="C202" s="477" t="s">
        <v>846</v>
      </c>
      <c r="D202" s="90">
        <v>2.11</v>
      </c>
      <c r="E202" s="90">
        <v>2.83</v>
      </c>
      <c r="F202" s="90">
        <f>E202-D202</f>
        <v>0.7200000000000002</v>
      </c>
      <c r="G202" s="90">
        <v>5</v>
      </c>
      <c r="H202" s="91" t="s">
        <v>0</v>
      </c>
      <c r="I202" s="22"/>
      <c r="J202" s="22"/>
      <c r="K202" s="22"/>
      <c r="L202" s="22"/>
      <c r="M202" s="22"/>
      <c r="N202" s="22"/>
      <c r="O202" s="22"/>
      <c r="P202" s="22"/>
      <c r="Q202" s="596" t="s">
        <v>859</v>
      </c>
      <c r="R202" s="295">
        <v>80740060346001</v>
      </c>
    </row>
    <row r="203" spans="1:18" x14ac:dyDescent="0.25">
      <c r="A203" s="281"/>
      <c r="B203" s="704"/>
      <c r="C203" s="477" t="s">
        <v>846</v>
      </c>
      <c r="D203" s="90">
        <v>2.83</v>
      </c>
      <c r="E203" s="90">
        <v>3.15</v>
      </c>
      <c r="F203" s="90">
        <v>0.32</v>
      </c>
      <c r="G203" s="90">
        <v>5</v>
      </c>
      <c r="H203" s="91" t="s">
        <v>0</v>
      </c>
      <c r="I203" s="22"/>
      <c r="J203" s="22"/>
      <c r="K203" s="22"/>
      <c r="L203" s="22"/>
      <c r="M203" s="22"/>
      <c r="N203" s="22"/>
      <c r="O203" s="22"/>
      <c r="P203" s="22"/>
      <c r="Q203" s="295">
        <v>80740060345</v>
      </c>
      <c r="R203" s="295">
        <v>80740060345</v>
      </c>
    </row>
    <row r="204" spans="1:18" x14ac:dyDescent="0.25">
      <c r="A204" s="281"/>
      <c r="B204" s="704"/>
      <c r="C204" s="477" t="s">
        <v>846</v>
      </c>
      <c r="D204" s="90">
        <v>0</v>
      </c>
      <c r="E204" s="90">
        <v>1.89</v>
      </c>
      <c r="F204" s="90">
        <v>1.89</v>
      </c>
      <c r="G204" s="90">
        <v>4</v>
      </c>
      <c r="H204" s="91" t="s">
        <v>0</v>
      </c>
      <c r="I204" s="22"/>
      <c r="J204" s="22"/>
      <c r="K204" s="22"/>
      <c r="L204" s="22"/>
      <c r="M204" s="22"/>
      <c r="N204" s="22"/>
      <c r="O204" s="22"/>
      <c r="P204" s="22"/>
      <c r="Q204" s="596" t="s">
        <v>859</v>
      </c>
      <c r="R204" s="295">
        <v>80740060346001</v>
      </c>
    </row>
    <row r="205" spans="1:18" x14ac:dyDescent="0.25">
      <c r="A205" s="598"/>
      <c r="B205" s="700"/>
      <c r="C205" s="477" t="s">
        <v>846</v>
      </c>
      <c r="D205" s="11">
        <v>1.89</v>
      </c>
      <c r="E205" s="11">
        <f>D205+F205</f>
        <v>3.36</v>
      </c>
      <c r="F205" s="11">
        <v>1.47</v>
      </c>
      <c r="G205" s="11">
        <v>4.5</v>
      </c>
      <c r="H205" s="91" t="s">
        <v>0</v>
      </c>
      <c r="I205" s="3"/>
      <c r="J205" s="3"/>
      <c r="K205" s="3"/>
      <c r="L205" s="3"/>
      <c r="M205" s="3"/>
      <c r="N205" s="3"/>
      <c r="O205" s="3"/>
      <c r="P205" s="3"/>
      <c r="Q205" s="597">
        <v>80740060344</v>
      </c>
      <c r="R205" s="597">
        <v>80740060344</v>
      </c>
    </row>
    <row r="206" spans="1:18" x14ac:dyDescent="0.25">
      <c r="A206" s="277">
        <v>12</v>
      </c>
      <c r="B206" s="701" t="s">
        <v>474</v>
      </c>
      <c r="C206" s="405" t="s">
        <v>846</v>
      </c>
      <c r="D206" s="90">
        <v>0</v>
      </c>
      <c r="E206" s="90">
        <v>2.0699999999999998</v>
      </c>
      <c r="F206" s="90">
        <v>2.0699999999999998</v>
      </c>
      <c r="G206" s="690">
        <v>4.5</v>
      </c>
      <c r="H206" s="87" t="s">
        <v>0</v>
      </c>
      <c r="I206" s="22"/>
      <c r="J206" s="22"/>
      <c r="K206" s="22"/>
      <c r="L206" s="22"/>
      <c r="M206" s="22"/>
      <c r="N206" s="22"/>
      <c r="O206" s="22"/>
      <c r="P206" s="22"/>
      <c r="Q206" s="294">
        <v>80740060256</v>
      </c>
      <c r="R206" s="294">
        <v>80740060256</v>
      </c>
    </row>
    <row r="207" spans="1:18" x14ac:dyDescent="0.25">
      <c r="A207" s="23">
        <v>13</v>
      </c>
      <c r="B207" s="702" t="s">
        <v>475</v>
      </c>
      <c r="C207" s="405" t="s">
        <v>846</v>
      </c>
      <c r="D207" s="90">
        <v>0</v>
      </c>
      <c r="E207" s="90">
        <v>1.66</v>
      </c>
      <c r="F207" s="90">
        <v>1.66</v>
      </c>
      <c r="G207" s="90">
        <v>5</v>
      </c>
      <c r="H207" s="91" t="s">
        <v>0</v>
      </c>
      <c r="I207" s="22"/>
      <c r="J207" s="22"/>
      <c r="K207" s="22"/>
      <c r="L207" s="22"/>
      <c r="M207" s="22"/>
      <c r="N207" s="22"/>
      <c r="O207" s="22"/>
      <c r="P207" s="22"/>
      <c r="Q207" s="294">
        <v>80740030666</v>
      </c>
      <c r="R207" s="294">
        <v>80740030666</v>
      </c>
    </row>
    <row r="208" spans="1:18" x14ac:dyDescent="0.25">
      <c r="A208" s="23">
        <v>14</v>
      </c>
      <c r="B208" s="702" t="s">
        <v>476</v>
      </c>
      <c r="C208" s="405" t="s">
        <v>846</v>
      </c>
      <c r="D208" s="90">
        <v>0</v>
      </c>
      <c r="E208" s="90">
        <v>2.04</v>
      </c>
      <c r="F208" s="90">
        <v>2.04</v>
      </c>
      <c r="G208" s="690">
        <v>4</v>
      </c>
      <c r="H208" s="87" t="s">
        <v>0</v>
      </c>
      <c r="I208" s="22"/>
      <c r="J208" s="22"/>
      <c r="K208" s="22"/>
      <c r="L208" s="22"/>
      <c r="M208" s="22"/>
      <c r="N208" s="22"/>
      <c r="O208" s="22"/>
      <c r="P208" s="22"/>
      <c r="Q208" s="294">
        <v>80740020081</v>
      </c>
      <c r="R208" s="294">
        <v>80740020081</v>
      </c>
    </row>
    <row r="209" spans="1:18" ht="23.25" x14ac:dyDescent="0.25">
      <c r="A209" s="23">
        <v>15</v>
      </c>
      <c r="B209" s="702" t="s">
        <v>477</v>
      </c>
      <c r="C209" s="405" t="s">
        <v>846</v>
      </c>
      <c r="D209" s="90">
        <v>0</v>
      </c>
      <c r="E209" s="90">
        <v>1.4</v>
      </c>
      <c r="F209" s="90">
        <v>1.4</v>
      </c>
      <c r="G209" s="90">
        <v>5.5</v>
      </c>
      <c r="H209" s="91" t="s">
        <v>0</v>
      </c>
      <c r="I209" s="22"/>
      <c r="J209" s="22"/>
      <c r="K209" s="22"/>
      <c r="L209" s="22"/>
      <c r="M209" s="22"/>
      <c r="N209" s="22"/>
      <c r="O209" s="22"/>
      <c r="P209" s="22"/>
      <c r="Q209" s="294">
        <v>80740050468</v>
      </c>
      <c r="R209" s="294">
        <v>80740050468</v>
      </c>
    </row>
    <row r="210" spans="1:18" ht="23.25" x14ac:dyDescent="0.25">
      <c r="A210" s="23">
        <v>16</v>
      </c>
      <c r="B210" s="702" t="s">
        <v>478</v>
      </c>
      <c r="C210" s="405" t="s">
        <v>845</v>
      </c>
      <c r="D210" s="90">
        <v>0</v>
      </c>
      <c r="E210" s="90">
        <v>8.2799999999999994</v>
      </c>
      <c r="F210" s="90">
        <v>8.2799999999999994</v>
      </c>
      <c r="G210" s="690">
        <v>6</v>
      </c>
      <c r="H210" s="87" t="s">
        <v>0</v>
      </c>
      <c r="I210" s="22"/>
      <c r="J210" s="22"/>
      <c r="K210" s="22"/>
      <c r="L210" s="22"/>
      <c r="M210" s="22"/>
      <c r="N210" s="22"/>
      <c r="O210" s="22"/>
      <c r="P210" s="22"/>
      <c r="Q210" s="294">
        <v>80740020111</v>
      </c>
      <c r="R210" s="295" t="s">
        <v>454</v>
      </c>
    </row>
    <row r="211" spans="1:18" x14ac:dyDescent="0.25">
      <c r="A211" s="23"/>
      <c r="B211" s="702"/>
      <c r="C211" s="405" t="s">
        <v>846</v>
      </c>
      <c r="D211" s="90">
        <v>8.2799999999999994</v>
      </c>
      <c r="E211" s="90">
        <f>D211+F211</f>
        <v>9.6</v>
      </c>
      <c r="F211" s="90">
        <v>1.32</v>
      </c>
      <c r="G211" s="460">
        <v>3.5</v>
      </c>
      <c r="H211" s="88" t="s">
        <v>325</v>
      </c>
      <c r="I211" s="22"/>
      <c r="J211" s="22"/>
      <c r="K211" s="22"/>
      <c r="L211" s="22"/>
      <c r="M211" s="22"/>
      <c r="N211" s="22"/>
      <c r="O211" s="22"/>
      <c r="P211" s="22"/>
      <c r="Q211" s="294"/>
      <c r="R211" s="294">
        <v>80740020111</v>
      </c>
    </row>
    <row r="212" spans="1:18" x14ac:dyDescent="0.25">
      <c r="A212" s="23">
        <v>17</v>
      </c>
      <c r="B212" s="702" t="s">
        <v>479</v>
      </c>
      <c r="C212" s="405" t="s">
        <v>846</v>
      </c>
      <c r="D212" s="90">
        <v>0</v>
      </c>
      <c r="E212" s="90">
        <v>2.62</v>
      </c>
      <c r="F212" s="90">
        <v>2.62</v>
      </c>
      <c r="G212" s="90">
        <v>6</v>
      </c>
      <c r="H212" s="91" t="s">
        <v>0</v>
      </c>
      <c r="I212" s="22"/>
      <c r="J212" s="22"/>
      <c r="K212" s="22"/>
      <c r="L212" s="22"/>
      <c r="M212" s="22"/>
      <c r="N212" s="22"/>
      <c r="O212" s="22"/>
      <c r="P212" s="22"/>
      <c r="Q212" s="294">
        <v>80740050273</v>
      </c>
      <c r="R212" s="294">
        <v>80740050294</v>
      </c>
    </row>
    <row r="213" spans="1:18" ht="23.25" x14ac:dyDescent="0.25">
      <c r="A213" s="23">
        <v>18</v>
      </c>
      <c r="B213" s="702" t="s">
        <v>480</v>
      </c>
      <c r="C213" s="405" t="s">
        <v>846</v>
      </c>
      <c r="D213" s="90">
        <v>0</v>
      </c>
      <c r="E213" s="90">
        <v>0.84</v>
      </c>
      <c r="F213" s="90">
        <v>0.84</v>
      </c>
      <c r="G213" s="690">
        <v>3</v>
      </c>
      <c r="H213" s="87" t="s">
        <v>0</v>
      </c>
      <c r="I213" s="22"/>
      <c r="J213" s="22"/>
      <c r="K213" s="22"/>
      <c r="L213" s="22"/>
      <c r="M213" s="22"/>
      <c r="N213" s="22"/>
      <c r="O213" s="22"/>
      <c r="P213" s="22"/>
      <c r="Q213" s="294">
        <v>80740050623</v>
      </c>
      <c r="R213" s="295" t="s">
        <v>455</v>
      </c>
    </row>
    <row r="214" spans="1:18" x14ac:dyDescent="0.25">
      <c r="A214" s="23">
        <v>19</v>
      </c>
      <c r="B214" s="702" t="s">
        <v>481</v>
      </c>
      <c r="C214" s="405" t="s">
        <v>846</v>
      </c>
      <c r="D214" s="90">
        <v>0</v>
      </c>
      <c r="E214" s="90">
        <v>0.34</v>
      </c>
      <c r="F214" s="90">
        <v>0.34</v>
      </c>
      <c r="G214" s="90">
        <v>4.5</v>
      </c>
      <c r="H214" s="91" t="s">
        <v>0</v>
      </c>
      <c r="I214" s="22"/>
      <c r="J214" s="22"/>
      <c r="K214" s="22"/>
      <c r="L214" s="22"/>
      <c r="M214" s="22"/>
      <c r="N214" s="22"/>
      <c r="O214" s="22"/>
      <c r="P214" s="22"/>
      <c r="Q214" s="294">
        <v>80740050475</v>
      </c>
      <c r="R214" s="294">
        <v>80740050475</v>
      </c>
    </row>
    <row r="215" spans="1:18" ht="34.5" x14ac:dyDescent="0.25">
      <c r="A215" s="23">
        <v>20</v>
      </c>
      <c r="B215" s="702" t="s">
        <v>482</v>
      </c>
      <c r="C215" s="405" t="s">
        <v>845</v>
      </c>
      <c r="D215" s="90">
        <v>0</v>
      </c>
      <c r="E215" s="90">
        <v>6.83</v>
      </c>
      <c r="F215" s="90">
        <v>6.83</v>
      </c>
      <c r="G215" s="690">
        <v>5.5</v>
      </c>
      <c r="H215" s="87" t="s">
        <v>0</v>
      </c>
      <c r="I215" s="22"/>
      <c r="J215" s="22"/>
      <c r="K215" s="22"/>
      <c r="L215" s="22"/>
      <c r="M215" s="22"/>
      <c r="N215" s="22"/>
      <c r="O215" s="22"/>
      <c r="P215" s="22"/>
      <c r="Q215" s="294">
        <v>80740050305</v>
      </c>
      <c r="R215" s="295" t="s">
        <v>456</v>
      </c>
    </row>
    <row r="216" spans="1:18" ht="23.25" x14ac:dyDescent="0.25">
      <c r="A216" s="23">
        <v>21</v>
      </c>
      <c r="B216" s="702" t="s">
        <v>483</v>
      </c>
      <c r="C216" s="405" t="s">
        <v>846</v>
      </c>
      <c r="D216" s="90">
        <v>0</v>
      </c>
      <c r="E216" s="90">
        <v>2.29</v>
      </c>
      <c r="F216" s="90">
        <v>2.29</v>
      </c>
      <c r="G216" s="90">
        <v>4</v>
      </c>
      <c r="H216" s="91" t="s">
        <v>0</v>
      </c>
      <c r="I216" s="22"/>
      <c r="J216" s="22"/>
      <c r="K216" s="22"/>
      <c r="L216" s="22"/>
      <c r="M216" s="22"/>
      <c r="N216" s="22"/>
      <c r="O216" s="22"/>
      <c r="P216" s="22"/>
      <c r="Q216" s="294">
        <v>80740050313</v>
      </c>
      <c r="R216" s="295" t="s">
        <v>457</v>
      </c>
    </row>
    <row r="217" spans="1:18" ht="23.25" x14ac:dyDescent="0.25">
      <c r="A217" s="23">
        <v>22</v>
      </c>
      <c r="B217" s="702" t="s">
        <v>484</v>
      </c>
      <c r="C217" s="405" t="s">
        <v>846</v>
      </c>
      <c r="D217" s="90">
        <v>0</v>
      </c>
      <c r="E217" s="90">
        <v>0.63</v>
      </c>
      <c r="F217" s="90">
        <v>0.63</v>
      </c>
      <c r="G217" s="690">
        <v>4.5</v>
      </c>
      <c r="H217" s="87" t="s">
        <v>0</v>
      </c>
      <c r="I217" s="22"/>
      <c r="J217" s="22"/>
      <c r="K217" s="22"/>
      <c r="L217" s="22"/>
      <c r="M217" s="22"/>
      <c r="N217" s="22"/>
      <c r="O217" s="22"/>
      <c r="P217" s="22"/>
      <c r="Q217" s="294">
        <v>80740050427</v>
      </c>
      <c r="R217" s="294">
        <v>80740050427</v>
      </c>
    </row>
    <row r="218" spans="1:18" ht="34.5" x14ac:dyDescent="0.25">
      <c r="A218" s="23">
        <v>23</v>
      </c>
      <c r="B218" s="702" t="s">
        <v>485</v>
      </c>
      <c r="C218" s="405" t="s">
        <v>846</v>
      </c>
      <c r="D218" s="90">
        <v>0</v>
      </c>
      <c r="E218" s="90">
        <v>2.14</v>
      </c>
      <c r="F218" s="90">
        <v>2.14</v>
      </c>
      <c r="G218" s="90">
        <v>4</v>
      </c>
      <c r="H218" s="91" t="s">
        <v>0</v>
      </c>
      <c r="I218" s="22"/>
      <c r="J218" s="22"/>
      <c r="K218" s="22"/>
      <c r="L218" s="22"/>
      <c r="M218" s="22"/>
      <c r="N218" s="22"/>
      <c r="O218" s="22"/>
      <c r="P218" s="22"/>
      <c r="Q218" s="294">
        <v>80740060259</v>
      </c>
      <c r="R218" s="295" t="s">
        <v>458</v>
      </c>
    </row>
    <row r="219" spans="1:18" x14ac:dyDescent="0.25">
      <c r="A219" s="23">
        <v>24</v>
      </c>
      <c r="B219" s="702" t="s">
        <v>486</v>
      </c>
      <c r="C219" s="405" t="s">
        <v>846</v>
      </c>
      <c r="D219" s="90">
        <v>0</v>
      </c>
      <c r="E219" s="90">
        <v>1.4</v>
      </c>
      <c r="F219" s="90">
        <v>1.4</v>
      </c>
      <c r="G219" s="690">
        <v>3</v>
      </c>
      <c r="H219" s="87" t="s">
        <v>0</v>
      </c>
      <c r="I219" s="22"/>
      <c r="J219" s="22"/>
      <c r="K219" s="22"/>
      <c r="L219" s="22"/>
      <c r="M219" s="22"/>
      <c r="N219" s="22"/>
      <c r="O219" s="22"/>
      <c r="P219" s="22"/>
      <c r="Q219" s="294">
        <v>80740010204</v>
      </c>
      <c r="R219" s="294">
        <v>80740010204</v>
      </c>
    </row>
    <row r="220" spans="1:18" x14ac:dyDescent="0.25">
      <c r="A220" s="23">
        <v>25</v>
      </c>
      <c r="B220" s="702" t="s">
        <v>1217</v>
      </c>
      <c r="C220" s="405" t="s">
        <v>846</v>
      </c>
      <c r="D220" s="90">
        <v>0</v>
      </c>
      <c r="E220" s="90">
        <v>0.79</v>
      </c>
      <c r="F220" s="90">
        <v>0.79</v>
      </c>
      <c r="G220" s="90">
        <v>4</v>
      </c>
      <c r="H220" s="91" t="s">
        <v>0</v>
      </c>
      <c r="I220" s="22"/>
      <c r="J220" s="22"/>
      <c r="K220" s="22"/>
      <c r="L220" s="22"/>
      <c r="M220" s="22"/>
      <c r="N220" s="22"/>
      <c r="O220" s="22"/>
      <c r="P220" s="22"/>
      <c r="Q220" s="294">
        <v>80740010209</v>
      </c>
      <c r="R220" s="294">
        <v>80740010209</v>
      </c>
    </row>
    <row r="221" spans="1:18" ht="23.25" x14ac:dyDescent="0.25">
      <c r="A221" s="23">
        <v>26</v>
      </c>
      <c r="B221" s="702" t="s">
        <v>487</v>
      </c>
      <c r="C221" s="405" t="s">
        <v>846</v>
      </c>
      <c r="D221" s="90">
        <v>0</v>
      </c>
      <c r="E221" s="90">
        <v>1.78</v>
      </c>
      <c r="F221" s="90">
        <v>1.78</v>
      </c>
      <c r="G221" s="690">
        <v>3.5</v>
      </c>
      <c r="H221" s="87" t="s">
        <v>0</v>
      </c>
      <c r="I221" s="22"/>
      <c r="J221" s="22"/>
      <c r="K221" s="22"/>
      <c r="L221" s="22"/>
      <c r="M221" s="22"/>
      <c r="N221" s="22"/>
      <c r="O221" s="22"/>
      <c r="P221" s="22"/>
      <c r="Q221" s="294">
        <v>80740050473</v>
      </c>
      <c r="R221" s="294">
        <v>80740050473</v>
      </c>
    </row>
    <row r="222" spans="1:18" ht="23.25" x14ac:dyDescent="0.25">
      <c r="A222" s="23">
        <v>27</v>
      </c>
      <c r="B222" s="702" t="s">
        <v>488</v>
      </c>
      <c r="C222" s="405" t="s">
        <v>846</v>
      </c>
      <c r="D222" s="90">
        <v>0</v>
      </c>
      <c r="E222" s="90">
        <v>0.41</v>
      </c>
      <c r="F222" s="90">
        <v>0.41</v>
      </c>
      <c r="G222" s="90">
        <v>3.5</v>
      </c>
      <c r="H222" s="91" t="s">
        <v>0</v>
      </c>
      <c r="I222" s="22"/>
      <c r="J222" s="22"/>
      <c r="K222" s="22"/>
      <c r="L222" s="22"/>
      <c r="M222" s="22"/>
      <c r="N222" s="22"/>
      <c r="O222" s="22"/>
      <c r="P222" s="22"/>
      <c r="Q222" s="294">
        <v>80740050464</v>
      </c>
      <c r="R222" s="294">
        <v>80740050464</v>
      </c>
    </row>
    <row r="223" spans="1:18" ht="23.25" x14ac:dyDescent="0.25">
      <c r="A223" s="23">
        <v>28</v>
      </c>
      <c r="B223" s="702" t="s">
        <v>489</v>
      </c>
      <c r="C223" s="405" t="s">
        <v>846</v>
      </c>
      <c r="D223" s="90">
        <v>0</v>
      </c>
      <c r="E223" s="90">
        <v>0.54</v>
      </c>
      <c r="F223" s="90">
        <v>0.54</v>
      </c>
      <c r="G223" s="690">
        <v>3.5</v>
      </c>
      <c r="H223" s="87" t="s">
        <v>0</v>
      </c>
      <c r="I223" s="22"/>
      <c r="J223" s="22"/>
      <c r="K223" s="22"/>
      <c r="L223" s="22"/>
      <c r="M223" s="22"/>
      <c r="N223" s="22"/>
      <c r="O223" s="22"/>
      <c r="P223" s="22"/>
      <c r="Q223" s="294">
        <v>80740050404</v>
      </c>
      <c r="R223" s="295" t="s">
        <v>459</v>
      </c>
    </row>
    <row r="224" spans="1:18" x14ac:dyDescent="0.25">
      <c r="A224" s="23">
        <v>29</v>
      </c>
      <c r="B224" s="702" t="s">
        <v>490</v>
      </c>
      <c r="C224" s="405" t="s">
        <v>846</v>
      </c>
      <c r="D224" s="90">
        <v>0</v>
      </c>
      <c r="E224" s="90">
        <v>0.77</v>
      </c>
      <c r="F224" s="90">
        <v>0.77</v>
      </c>
      <c r="G224" s="90">
        <v>3.5</v>
      </c>
      <c r="H224" s="91" t="s">
        <v>0</v>
      </c>
      <c r="I224" s="22"/>
      <c r="J224" s="22"/>
      <c r="K224" s="22"/>
      <c r="L224" s="22"/>
      <c r="M224" s="22"/>
      <c r="N224" s="22"/>
      <c r="O224" s="22"/>
      <c r="P224" s="22"/>
      <c r="Q224" s="294">
        <v>80740060258</v>
      </c>
      <c r="R224" s="294">
        <v>80740060258</v>
      </c>
    </row>
    <row r="225" spans="1:32" x14ac:dyDescent="0.25">
      <c r="A225" s="23">
        <v>30</v>
      </c>
      <c r="B225" s="702" t="s">
        <v>491</v>
      </c>
      <c r="C225" s="405" t="s">
        <v>846</v>
      </c>
      <c r="D225" s="90">
        <v>0</v>
      </c>
      <c r="E225" s="90">
        <v>1.3</v>
      </c>
      <c r="F225" s="90">
        <v>1.3</v>
      </c>
      <c r="G225" s="690">
        <v>4</v>
      </c>
      <c r="H225" s="87" t="s">
        <v>0</v>
      </c>
      <c r="I225" s="22"/>
      <c r="J225" s="22"/>
      <c r="K225" s="22"/>
      <c r="L225" s="22"/>
      <c r="M225" s="22"/>
      <c r="N225" s="22"/>
      <c r="O225" s="22"/>
      <c r="P225" s="22"/>
      <c r="Q225" s="294">
        <v>80740030656</v>
      </c>
      <c r="R225" s="294">
        <v>80740030656</v>
      </c>
    </row>
    <row r="226" spans="1:32" ht="23.25" x14ac:dyDescent="0.25">
      <c r="A226" s="23">
        <v>31</v>
      </c>
      <c r="B226" s="702" t="s">
        <v>492</v>
      </c>
      <c r="C226" s="405" t="s">
        <v>846</v>
      </c>
      <c r="D226" s="90">
        <v>0</v>
      </c>
      <c r="E226" s="90">
        <v>0.67</v>
      </c>
      <c r="F226" s="90">
        <v>0.67</v>
      </c>
      <c r="G226" s="90">
        <v>4.3</v>
      </c>
      <c r="H226" s="91" t="s">
        <v>0</v>
      </c>
      <c r="I226" s="22"/>
      <c r="J226" s="22"/>
      <c r="K226" s="22"/>
      <c r="L226" s="22"/>
      <c r="M226" s="22"/>
      <c r="N226" s="22"/>
      <c r="O226" s="22"/>
      <c r="P226" s="22"/>
      <c r="Q226" s="294"/>
      <c r="R226" s="294">
        <v>80740050046011</v>
      </c>
    </row>
    <row r="227" spans="1:32" x14ac:dyDescent="0.25">
      <c r="A227" s="18"/>
      <c r="B227" s="702"/>
      <c r="C227" s="405" t="s">
        <v>846</v>
      </c>
      <c r="D227" s="90">
        <v>0.67</v>
      </c>
      <c r="E227" s="90">
        <f>D227+F227</f>
        <v>1.46</v>
      </c>
      <c r="F227" s="90">
        <v>0.79</v>
      </c>
      <c r="G227" s="690">
        <v>4.5</v>
      </c>
      <c r="H227" s="87" t="s">
        <v>0</v>
      </c>
      <c r="I227" s="22"/>
      <c r="J227" s="22"/>
      <c r="K227" s="22"/>
      <c r="L227" s="22"/>
      <c r="M227" s="22"/>
      <c r="N227" s="22"/>
      <c r="O227" s="22"/>
      <c r="P227" s="22"/>
      <c r="Q227" s="294"/>
      <c r="R227" s="294">
        <v>80740050446001</v>
      </c>
    </row>
    <row r="228" spans="1:32" ht="23.25" x14ac:dyDescent="0.25">
      <c r="A228" s="23">
        <v>32</v>
      </c>
      <c r="B228" s="702" t="s">
        <v>493</v>
      </c>
      <c r="C228" s="405" t="s">
        <v>846</v>
      </c>
      <c r="D228" s="90">
        <v>0</v>
      </c>
      <c r="E228" s="90">
        <v>2.34</v>
      </c>
      <c r="F228" s="90">
        <v>2.34</v>
      </c>
      <c r="G228" s="90">
        <v>5</v>
      </c>
      <c r="H228" s="91" t="s">
        <v>0</v>
      </c>
      <c r="I228" s="22"/>
      <c r="J228" s="22"/>
      <c r="K228" s="22"/>
      <c r="L228" s="22"/>
      <c r="M228" s="22"/>
      <c r="N228" s="22"/>
      <c r="O228" s="22"/>
      <c r="P228" s="22"/>
      <c r="Q228" s="294">
        <v>80740050371</v>
      </c>
      <c r="R228" s="294">
        <v>80740050371</v>
      </c>
    </row>
    <row r="229" spans="1:32" ht="23.25" x14ac:dyDescent="0.25">
      <c r="A229" s="23">
        <v>33</v>
      </c>
      <c r="B229" s="702" t="s">
        <v>494</v>
      </c>
      <c r="C229" s="405" t="s">
        <v>845</v>
      </c>
      <c r="D229" s="90">
        <v>0</v>
      </c>
      <c r="E229" s="90">
        <v>1.33</v>
      </c>
      <c r="F229" s="90">
        <v>1.33</v>
      </c>
      <c r="G229" s="690">
        <v>3</v>
      </c>
      <c r="H229" s="87" t="s">
        <v>0</v>
      </c>
      <c r="I229" s="22"/>
      <c r="J229" s="22"/>
      <c r="K229" s="22"/>
      <c r="L229" s="22"/>
      <c r="M229" s="22"/>
      <c r="N229" s="22"/>
      <c r="O229" s="22"/>
      <c r="P229" s="22"/>
      <c r="Q229" s="294"/>
      <c r="R229" s="294">
        <v>80740010510001</v>
      </c>
    </row>
    <row r="230" spans="1:32" x14ac:dyDescent="0.25">
      <c r="A230" s="18"/>
      <c r="B230" s="702"/>
      <c r="C230" s="405" t="s">
        <v>845</v>
      </c>
      <c r="D230" s="90">
        <v>1.33</v>
      </c>
      <c r="E230" s="90">
        <v>1.74</v>
      </c>
      <c r="F230" s="90">
        <v>0.40999999999999992</v>
      </c>
      <c r="G230" s="90">
        <v>4.5</v>
      </c>
      <c r="H230" s="22" t="s">
        <v>4</v>
      </c>
      <c r="I230" s="22"/>
      <c r="J230" s="22"/>
      <c r="K230" s="22"/>
      <c r="L230" s="22"/>
      <c r="M230" s="22"/>
      <c r="N230" s="22"/>
      <c r="O230" s="22"/>
      <c r="P230" s="22"/>
      <c r="Q230" s="294"/>
      <c r="R230" s="294">
        <v>80740010510001</v>
      </c>
    </row>
    <row r="231" spans="1:32" ht="23.25" x14ac:dyDescent="0.25">
      <c r="A231" s="23">
        <v>34</v>
      </c>
      <c r="B231" s="702" t="s">
        <v>495</v>
      </c>
      <c r="C231" s="405" t="s">
        <v>846</v>
      </c>
      <c r="D231" s="90">
        <v>0</v>
      </c>
      <c r="E231" s="90">
        <v>0.84</v>
      </c>
      <c r="F231" s="90">
        <v>0.84</v>
      </c>
      <c r="G231" s="90">
        <v>3.5</v>
      </c>
      <c r="H231" s="91" t="s">
        <v>0</v>
      </c>
      <c r="I231" s="22"/>
      <c r="J231" s="22"/>
      <c r="K231" s="22"/>
      <c r="L231" s="22"/>
      <c r="M231" s="22"/>
      <c r="N231" s="22"/>
      <c r="O231" s="22"/>
      <c r="P231" s="22"/>
      <c r="Q231" s="294">
        <v>80740040149</v>
      </c>
      <c r="R231" s="294">
        <v>80740040149</v>
      </c>
    </row>
    <row r="232" spans="1:32" ht="23.25" x14ac:dyDescent="0.25">
      <c r="A232" s="23">
        <v>35</v>
      </c>
      <c r="B232" s="702" t="s">
        <v>496</v>
      </c>
      <c r="C232" s="405" t="s">
        <v>846</v>
      </c>
      <c r="D232" s="90">
        <v>0</v>
      </c>
      <c r="E232" s="90">
        <v>0.89</v>
      </c>
      <c r="F232" s="90">
        <v>0.89</v>
      </c>
      <c r="G232" s="690">
        <v>4</v>
      </c>
      <c r="H232" s="87" t="s">
        <v>0</v>
      </c>
      <c r="I232" s="22"/>
      <c r="J232" s="22"/>
      <c r="K232" s="22"/>
      <c r="L232" s="22"/>
      <c r="M232" s="22"/>
      <c r="N232" s="22"/>
      <c r="O232" s="22"/>
      <c r="P232" s="22"/>
      <c r="Q232" s="294">
        <v>80740050304</v>
      </c>
      <c r="R232" s="294">
        <v>80740050304</v>
      </c>
    </row>
    <row r="233" spans="1:32" ht="23.25" x14ac:dyDescent="0.25">
      <c r="A233" s="23">
        <v>36</v>
      </c>
      <c r="B233" s="702" t="s">
        <v>497</v>
      </c>
      <c r="C233" s="405" t="s">
        <v>846</v>
      </c>
      <c r="D233" s="90">
        <v>0</v>
      </c>
      <c r="E233" s="90">
        <v>0.34</v>
      </c>
      <c r="F233" s="90">
        <v>0.34</v>
      </c>
      <c r="G233" s="90">
        <v>4</v>
      </c>
      <c r="H233" s="91" t="s">
        <v>0</v>
      </c>
      <c r="I233" s="22"/>
      <c r="J233" s="22"/>
      <c r="K233" s="22"/>
      <c r="L233" s="22"/>
      <c r="M233" s="22"/>
      <c r="N233" s="22"/>
      <c r="O233" s="22"/>
      <c r="P233" s="22"/>
      <c r="Q233" s="294">
        <v>80740060251</v>
      </c>
      <c r="R233" s="294">
        <v>80740060251</v>
      </c>
      <c r="U233" s="621"/>
      <c r="V233" s="632"/>
    </row>
    <row r="234" spans="1:32" x14ac:dyDescent="0.25">
      <c r="A234" s="23">
        <v>37</v>
      </c>
      <c r="B234" s="702" t="s">
        <v>498</v>
      </c>
      <c r="C234" s="405" t="s">
        <v>846</v>
      </c>
      <c r="D234" s="90">
        <v>0</v>
      </c>
      <c r="E234" s="90">
        <v>1.2</v>
      </c>
      <c r="F234" s="90">
        <v>1.2</v>
      </c>
      <c r="G234" s="690">
        <v>3</v>
      </c>
      <c r="H234" s="87" t="s">
        <v>0</v>
      </c>
      <c r="I234" s="22"/>
      <c r="J234" s="22"/>
      <c r="K234" s="22"/>
      <c r="L234" s="22"/>
      <c r="M234" s="22"/>
      <c r="N234" s="22"/>
      <c r="O234" s="22"/>
      <c r="P234" s="22"/>
      <c r="Q234" s="294">
        <v>80740030886</v>
      </c>
      <c r="R234" s="294">
        <v>80740030886</v>
      </c>
      <c r="U234" s="621"/>
      <c r="V234" s="632"/>
    </row>
    <row r="235" spans="1:32" ht="23.25" x14ac:dyDescent="0.25">
      <c r="A235" s="23">
        <v>38</v>
      </c>
      <c r="B235" s="702" t="s">
        <v>499</v>
      </c>
      <c r="C235" s="405" t="s">
        <v>846</v>
      </c>
      <c r="D235" s="90">
        <v>0</v>
      </c>
      <c r="E235" s="90">
        <v>0.45</v>
      </c>
      <c r="F235" s="90">
        <v>0.45</v>
      </c>
      <c r="G235" s="90">
        <v>3.5</v>
      </c>
      <c r="H235" s="91" t="s">
        <v>0</v>
      </c>
      <c r="I235" s="22"/>
      <c r="J235" s="22"/>
      <c r="K235" s="22"/>
      <c r="L235" s="22"/>
      <c r="M235" s="22"/>
      <c r="N235" s="22"/>
      <c r="O235" s="22"/>
      <c r="P235" s="22"/>
      <c r="Q235" s="294"/>
      <c r="R235" s="294">
        <v>80740050191001</v>
      </c>
      <c r="AA235" t="s">
        <v>1097</v>
      </c>
    </row>
    <row r="236" spans="1:32" ht="23.25" x14ac:dyDescent="0.25">
      <c r="B236" s="731"/>
      <c r="C236" s="438"/>
      <c r="K236" s="53" t="s">
        <v>268</v>
      </c>
      <c r="L236" s="50">
        <f>SUM(L191:L235)</f>
        <v>61.59</v>
      </c>
      <c r="M236" s="50">
        <f>SUM(M191:M235)</f>
        <v>388</v>
      </c>
      <c r="N236" s="55"/>
      <c r="O236" s="53" t="s">
        <v>269</v>
      </c>
      <c r="P236" s="50">
        <f>SUM(P191:P235)</f>
        <v>0</v>
      </c>
      <c r="S236" s="102"/>
      <c r="T236" s="625" t="s">
        <v>1092</v>
      </c>
      <c r="U236" s="625" t="s">
        <v>1093</v>
      </c>
      <c r="V236" s="625" t="s">
        <v>1094</v>
      </c>
      <c r="W236" s="625" t="s">
        <v>1095</v>
      </c>
      <c r="X236" s="625" t="s">
        <v>1096</v>
      </c>
      <c r="Y236" s="627" t="s">
        <v>269</v>
      </c>
      <c r="Z236" s="102"/>
      <c r="AA236" s="625" t="s">
        <v>1092</v>
      </c>
      <c r="AB236" s="625" t="s">
        <v>1093</v>
      </c>
      <c r="AC236" s="625" t="s">
        <v>1094</v>
      </c>
      <c r="AD236" s="625" t="s">
        <v>1095</v>
      </c>
      <c r="AE236" s="625" t="s">
        <v>1096</v>
      </c>
      <c r="AF236" s="627" t="s">
        <v>269</v>
      </c>
    </row>
    <row r="237" spans="1:32" s="1" customFormat="1" ht="11.25" x14ac:dyDescent="0.2">
      <c r="A237" s="46" t="s">
        <v>461</v>
      </c>
      <c r="B237" s="47"/>
      <c r="C237" s="47"/>
      <c r="D237" s="48"/>
      <c r="E237" s="49"/>
      <c r="F237" s="50">
        <f>SUM(F191:F235)</f>
        <v>93.060000000000016</v>
      </c>
      <c r="G237" s="688"/>
      <c r="H237" s="51"/>
      <c r="I237" s="40"/>
      <c r="J237" s="52"/>
      <c r="Q237" s="55"/>
      <c r="S237" s="628" t="s">
        <v>844</v>
      </c>
      <c r="T237" s="625" t="s">
        <v>231</v>
      </c>
      <c r="U237" s="625" t="s">
        <v>231</v>
      </c>
      <c r="V237" s="625" t="s">
        <v>231</v>
      </c>
      <c r="W237" s="625" t="s">
        <v>231</v>
      </c>
      <c r="X237" s="625" t="s">
        <v>231</v>
      </c>
      <c r="Y237" s="626" t="s">
        <v>231</v>
      </c>
      <c r="Z237" s="628"/>
      <c r="AA237" s="625" t="s">
        <v>231</v>
      </c>
      <c r="AB237" s="625" t="s">
        <v>231</v>
      </c>
      <c r="AC237" s="625" t="s">
        <v>231</v>
      </c>
      <c r="AD237" s="625" t="s">
        <v>231</v>
      </c>
      <c r="AE237" s="625" t="s">
        <v>231</v>
      </c>
      <c r="AF237" s="626" t="s">
        <v>231</v>
      </c>
    </row>
    <row r="238" spans="1:32" s="1" customFormat="1" ht="11.25" x14ac:dyDescent="0.2">
      <c r="A238" s="56" t="s">
        <v>270</v>
      </c>
      <c r="B238" s="57"/>
      <c r="C238" s="57"/>
      <c r="D238" s="58"/>
      <c r="E238" s="59"/>
      <c r="F238" s="266">
        <f>SUMIFS(F191:F235,H191:H235,"melnais")</f>
        <v>0.40999999999999992</v>
      </c>
      <c r="G238" s="632"/>
      <c r="H238" s="61"/>
      <c r="I238" s="603"/>
      <c r="J238" s="55"/>
      <c r="K238" s="63"/>
      <c r="L238" s="64"/>
      <c r="M238" s="64"/>
      <c r="N238" s="55"/>
      <c r="O238" s="55"/>
      <c r="P238" s="55"/>
      <c r="Q238" s="55"/>
      <c r="S238" s="616" t="s">
        <v>847</v>
      </c>
      <c r="T238" s="624">
        <f>SUMIFS(F191:F235,C191:C235,"A",H191:H235,"melnais")</f>
        <v>0</v>
      </c>
      <c r="U238" s="624">
        <f>SUMIFS(F191:F235,C191:C235,"A",H191:H235,"dubultā virsma")</f>
        <v>0</v>
      </c>
      <c r="V238" s="624">
        <f>SUMIFS(F191:F235,C191:C235,"A",H191:H235,"bruģis")</f>
        <v>0</v>
      </c>
      <c r="W238" s="624">
        <f>SUMIFS(F191:F235,C191:C235,"A",H191:H235,"grants")</f>
        <v>0</v>
      </c>
      <c r="X238" s="624">
        <f>SUMIFS(F191:F235,C191:C235,"A",H191:H235,"cits segums")</f>
        <v>0</v>
      </c>
      <c r="Y238" s="624">
        <f>SUM(T238:X238)</f>
        <v>0</v>
      </c>
      <c r="Z238" s="616" t="s">
        <v>847</v>
      </c>
      <c r="AA238" s="614">
        <f>SUMIFS(F191:F235,C191:C235,"A",H191:H235,"melnais", Q191:Q235,"Nepiederošs")</f>
        <v>0</v>
      </c>
      <c r="AB238" s="614">
        <f>SUMIFS(F191:F235,C191:C235,"A",H191:H235,"dubultā virsma", Q191:Q235,"Nepiederošs")</f>
        <v>0</v>
      </c>
      <c r="AC238" s="614">
        <f>SUMIFS(F191:F235,C191:C235,"A",H191:H235,"bruģis", Q191:Q235,"Nepiederošs")</f>
        <v>0</v>
      </c>
      <c r="AD238" s="614">
        <f>SUMIFS(F191:F235,C191:C235,"A",H191:H235,"grants", Q191:Q235,"Nepiederošs")</f>
        <v>0</v>
      </c>
      <c r="AE238" s="614">
        <f>SUMIFS(F191:F235,C191:C235,"A",H191:H235,"cits segums", Q191:Q235,"Nepiederošs")</f>
        <v>0</v>
      </c>
      <c r="AF238" s="614">
        <f>SUM(AA238:AE238)</f>
        <v>0</v>
      </c>
    </row>
    <row r="239" spans="1:32" s="1" customFormat="1" ht="11.25" x14ac:dyDescent="0.2">
      <c r="A239" s="56" t="s">
        <v>271</v>
      </c>
      <c r="B239" s="57"/>
      <c r="C239" s="57"/>
      <c r="D239" s="58"/>
      <c r="E239" s="59"/>
      <c r="F239" s="266">
        <f>SUMIFS(F191:F235,H191:H235,"bruģis")</f>
        <v>0</v>
      </c>
      <c r="G239" s="632"/>
      <c r="H239" s="65"/>
      <c r="I239" s="40"/>
      <c r="J239" s="66"/>
      <c r="K239" s="67"/>
      <c r="L239" s="67"/>
      <c r="M239" s="67"/>
      <c r="N239" s="68"/>
      <c r="O239" s="55"/>
      <c r="P239" s="55"/>
      <c r="Q239" s="55"/>
      <c r="S239" s="617" t="s">
        <v>848</v>
      </c>
      <c r="T239" s="624">
        <f>SUMIFS(F191:F235,C191:C235,"B",H191:H235,"melnais")</f>
        <v>0</v>
      </c>
      <c r="U239" s="624">
        <f>SUMIFS(F191:F235,C191:C235,"B",H191:H235,"dubultā virsma")</f>
        <v>0</v>
      </c>
      <c r="V239" s="624">
        <f>SUMIFS(F191:F235,C191:C235,"B",H191:H235,"bruģis")</f>
        <v>0</v>
      </c>
      <c r="W239" s="624">
        <f>SUMIFS(F191:F235,C191:C235,"B",H191:H235,"grants")</f>
        <v>0</v>
      </c>
      <c r="X239" s="624">
        <f>SUMIFS(F191:F235,C191:C235,"B",H191:H235,"cits segums")</f>
        <v>0</v>
      </c>
      <c r="Y239" s="624">
        <f t="shared" ref="Y239:Y241" si="27">SUM(T239:X239)</f>
        <v>0</v>
      </c>
      <c r="Z239" s="617" t="s">
        <v>848</v>
      </c>
      <c r="AA239" s="614">
        <f>SUMIFS(F191:F235,C191:C235,"B",H191:H235,"melnais", Q191:Q235,"Nepiederošs")</f>
        <v>0</v>
      </c>
      <c r="AB239" s="614">
        <f>SUMIFS(F191:F235,C191:C235,"B",H191:H235,"dubultā virsma", Q191:Q235,"Nepiederošs")</f>
        <v>0</v>
      </c>
      <c r="AC239" s="614">
        <f>SUMIFS(F191:F235,C191:C235,"B",H191:H235,"bruģis", Q191:Q235,"Nepiederošs")</f>
        <v>0</v>
      </c>
      <c r="AD239" s="614">
        <f>SUMIFS(F191:F235,C191:C235,"B",H191:H235,"grants", Q191:Q235,"Nepiederošs")</f>
        <v>0</v>
      </c>
      <c r="AE239" s="614">
        <f>SUMIFS(F191:F235,C191:C235,"B",H191:H235,"cits segums", Q191:Q235,"Nepiederošs")</f>
        <v>0</v>
      </c>
      <c r="AF239" s="614">
        <f t="shared" ref="AF239:AF241" si="28">SUM(AA239:AE239)</f>
        <v>0</v>
      </c>
    </row>
    <row r="240" spans="1:32" s="1" customFormat="1" ht="11.25" x14ac:dyDescent="0.2">
      <c r="A240" s="56" t="s">
        <v>272</v>
      </c>
      <c r="B240" s="57"/>
      <c r="C240" s="57"/>
      <c r="D240" s="58"/>
      <c r="E240" s="59"/>
      <c r="F240" s="266">
        <f>SUMIFS(F191:F235,H191:H235,"grants")</f>
        <v>91.330000000000027</v>
      </c>
      <c r="G240" s="632"/>
      <c r="H240" s="65"/>
      <c r="I240" s="65"/>
      <c r="J240" s="66"/>
      <c r="K240" s="67"/>
      <c r="L240" s="67"/>
      <c r="M240" s="67"/>
      <c r="N240" s="68"/>
      <c r="O240" s="55"/>
      <c r="P240" s="55"/>
      <c r="Q240" s="55"/>
      <c r="S240" s="615" t="s">
        <v>845</v>
      </c>
      <c r="T240" s="624">
        <f>SUMIFS(F191:F235,C191:C235,"C",H191:H235,"melnais")</f>
        <v>0.40999999999999992</v>
      </c>
      <c r="U240" s="624">
        <f>SUMIFS(F191:F235,C191:C235,"C",H191:H235,"dubultā virsma")</f>
        <v>0</v>
      </c>
      <c r="V240" s="624">
        <f>SUMIFS(F191:F235,C191:C235,"C",H191:H235,"bruģis")</f>
        <v>0</v>
      </c>
      <c r="W240" s="624">
        <f>SUMIFS(F191:F235,C191:C235,"C",H191:H235,"grants")</f>
        <v>23.93</v>
      </c>
      <c r="X240" s="624">
        <f>SUMIFS(F191:F235,C191:C235,"C",H191:H235,"cits segums")</f>
        <v>0</v>
      </c>
      <c r="Y240" s="624">
        <f t="shared" si="27"/>
        <v>24.34</v>
      </c>
      <c r="Z240" s="615" t="s">
        <v>845</v>
      </c>
      <c r="AA240" s="614">
        <f>SUMIFS(F191:F235,C191:C235,"C",H191:H235,"melnais", Q191:Q235,"Nepiederošs")</f>
        <v>0</v>
      </c>
      <c r="AB240" s="614">
        <f>SUMIFS(F191:F235,C191:C235,"C",H191:H235,"dubultā virsma", Q191:Q235,"Nepiederošs")</f>
        <v>0</v>
      </c>
      <c r="AC240" s="614">
        <f>SUMIFS(F191:F235,C191:C235,"C",H191:H235,"bruģis", Q191:Q235,"Nepiederošs")</f>
        <v>0</v>
      </c>
      <c r="AD240" s="614">
        <f>SUMIFS(F191:F235,C191:C235,"C",H191:H235,"grants", Q191:Q235,"Nepiederošs")</f>
        <v>0</v>
      </c>
      <c r="AE240" s="614">
        <f>SUMIFS(F191:F235,C191:C235,"C",H191:H235,"cits segums", Q191:Q235,"Nepiederošs")</f>
        <v>0</v>
      </c>
      <c r="AF240" s="614">
        <f t="shared" si="28"/>
        <v>0</v>
      </c>
    </row>
    <row r="241" spans="1:32" s="1" customFormat="1" ht="11.25" x14ac:dyDescent="0.2">
      <c r="A241" s="56" t="s">
        <v>273</v>
      </c>
      <c r="B241" s="57"/>
      <c r="C241" s="57"/>
      <c r="D241" s="58"/>
      <c r="E241" s="59"/>
      <c r="F241" s="266">
        <f>SUMIFS(F191:F235,H191:H235,"cits segums")</f>
        <v>1.32</v>
      </c>
      <c r="G241" s="632"/>
      <c r="H241" s="69"/>
      <c r="I241" s="65"/>
      <c r="J241" s="70"/>
      <c r="K241" s="67"/>
      <c r="L241" s="67"/>
      <c r="M241" s="67"/>
      <c r="N241" s="68"/>
      <c r="O241" s="55"/>
      <c r="P241" s="55"/>
      <c r="Q241" s="55"/>
      <c r="S241" s="616" t="s">
        <v>846</v>
      </c>
      <c r="T241" s="624">
        <f>SUMIFS(F191:F235,C191:C235,"D",H191:H235,"melnais")</f>
        <v>0</v>
      </c>
      <c r="U241" s="624">
        <f>SUMIFS(F191:F235,C191:C235,"D",H191:H235,"dubultā virsma")</f>
        <v>0</v>
      </c>
      <c r="V241" s="624">
        <f>SUMIFS(F191:F235,C191:C235,"D",H191:H235,"bruģis")</f>
        <v>0</v>
      </c>
      <c r="W241" s="624">
        <f>SUMIFS(F191:F235,C191:C235,"D",H191:H235,"grants")</f>
        <v>67.400000000000006</v>
      </c>
      <c r="X241" s="624">
        <f>SUMIFS(F191:F235,C191:C235,"D",H191:H235,"cits segums")</f>
        <v>1.32</v>
      </c>
      <c r="Y241" s="624">
        <f t="shared" si="27"/>
        <v>68.72</v>
      </c>
      <c r="Z241" s="616" t="s">
        <v>846</v>
      </c>
      <c r="AA241" s="614">
        <f>SUMIFS(F191:F235,C191:C235,"D",H191:H235,"melnais", Q191:Q235,"Nepiederošs")</f>
        <v>0</v>
      </c>
      <c r="AB241" s="614">
        <f>SUMIFS(F191:F235,C191:C235,"D",H191:H235,"dubultā virsma", Q191:Q235,"Nepiederošs")</f>
        <v>0</v>
      </c>
      <c r="AC241" s="614">
        <f>SUMIFS(F191:F235,C191:C235,"D",H191:H235,"bruģis", Q191:Q235,"Nepiederošs")</f>
        <v>0</v>
      </c>
      <c r="AD241" s="614">
        <f>SUMIFS(F191:F235,C191:C235,"D",H191:H235,"grants", Q191:Q235,"Nepiederošs")</f>
        <v>2.6100000000000003</v>
      </c>
      <c r="AE241" s="614">
        <f>SUMIFS(F191:F235,C191:C235,"D",H191:H235,"cits segums", Q191:Q235,"Nepiederošs")</f>
        <v>0</v>
      </c>
      <c r="AF241" s="614">
        <f t="shared" si="28"/>
        <v>2.6100000000000003</v>
      </c>
    </row>
    <row r="242" spans="1:32" x14ac:dyDescent="0.25">
      <c r="B242" s="731"/>
      <c r="C242" s="438"/>
      <c r="T242" s="630">
        <f>SUM(T238:T241)</f>
        <v>0.40999999999999992</v>
      </c>
      <c r="U242" s="630">
        <f t="shared" ref="U242" si="29">SUM(U238:U241)</f>
        <v>0</v>
      </c>
      <c r="V242" s="630">
        <f t="shared" ref="V242" si="30">SUM(V238:V241)</f>
        <v>0</v>
      </c>
      <c r="W242" s="630">
        <f t="shared" ref="W242" si="31">SUM(W238:W241)</f>
        <v>91.330000000000013</v>
      </c>
      <c r="X242" s="630">
        <f t="shared" ref="X242" si="32">SUM(X238:X241)</f>
        <v>1.32</v>
      </c>
      <c r="Y242" s="630">
        <f t="shared" ref="Y242" si="33">SUM(Y238:Y241)</f>
        <v>93.06</v>
      </c>
      <c r="AA242" s="629">
        <f>SUM(AA238:AA241)</f>
        <v>0</v>
      </c>
      <c r="AB242" s="629">
        <f t="shared" ref="AB242" si="34">SUM(AB238:AB241)</f>
        <v>0</v>
      </c>
      <c r="AC242" s="629">
        <f>SUM(AC238:AC241)</f>
        <v>0</v>
      </c>
      <c r="AD242" s="629">
        <f t="shared" ref="AD242" si="35">SUM(AD238:AD241)</f>
        <v>2.6100000000000003</v>
      </c>
      <c r="AE242" s="629">
        <f t="shared" ref="AE242" si="36">SUM(AE238:AE241)</f>
        <v>0</v>
      </c>
      <c r="AF242" s="629">
        <f t="shared" ref="AF242" si="37">SUM(AF238:AF241)</f>
        <v>2.6100000000000003</v>
      </c>
    </row>
    <row r="243" spans="1:32" s="32" customFormat="1" ht="15" customHeight="1" x14ac:dyDescent="0.25">
      <c r="A243" s="33"/>
      <c r="B243" s="33"/>
      <c r="C243" s="33"/>
      <c r="D243" s="781" t="s">
        <v>1053</v>
      </c>
      <c r="E243" s="781"/>
      <c r="F243" s="781"/>
      <c r="G243" s="781"/>
      <c r="H243" s="781"/>
      <c r="I243" s="781"/>
      <c r="J243" s="781"/>
      <c r="K243" s="781"/>
      <c r="L243" s="781"/>
      <c r="M243" s="781"/>
      <c r="N243" s="781"/>
      <c r="O243" s="781"/>
      <c r="P243" s="781"/>
      <c r="Q243" s="30"/>
      <c r="R243" s="37"/>
      <c r="AA243" s="631">
        <f>Y242-AF242</f>
        <v>90.45</v>
      </c>
    </row>
    <row r="244" spans="1:32" s="32" customFormat="1" ht="11.25" x14ac:dyDescent="0.25">
      <c r="A244" s="33"/>
      <c r="B244" s="33"/>
      <c r="C244" s="33"/>
      <c r="D244" s="38"/>
      <c r="E244" s="29"/>
      <c r="F244" s="29"/>
      <c r="G244" s="29"/>
      <c r="H244" s="30"/>
      <c r="I244" s="28"/>
      <c r="J244" s="28"/>
      <c r="K244" s="28"/>
      <c r="L244" s="28"/>
      <c r="M244" s="28"/>
      <c r="N244" s="39"/>
      <c r="O244" s="39"/>
      <c r="P244" s="28"/>
      <c r="Q244" s="28"/>
      <c r="R244" s="37"/>
    </row>
    <row r="245" spans="1:32" s="40" customFormat="1" ht="5.25" customHeight="1" x14ac:dyDescent="0.2">
      <c r="A245" s="44"/>
      <c r="B245" s="732"/>
      <c r="C245" s="39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</row>
    <row r="246" spans="1:32" s="40" customFormat="1" ht="12.75" customHeight="1" x14ac:dyDescent="0.2">
      <c r="A246" s="782" t="s">
        <v>244</v>
      </c>
      <c r="B246" s="790" t="s">
        <v>245</v>
      </c>
      <c r="C246" s="413"/>
      <c r="D246" s="793" t="s">
        <v>246</v>
      </c>
      <c r="E246" s="794"/>
      <c r="F246" s="794"/>
      <c r="G246" s="794"/>
      <c r="H246" s="794"/>
      <c r="I246" s="794"/>
      <c r="J246" s="794"/>
      <c r="K246" s="794"/>
      <c r="L246" s="794"/>
      <c r="M246" s="794"/>
      <c r="N246" s="794"/>
      <c r="O246" s="794"/>
      <c r="P246" s="784"/>
      <c r="Q246" s="795" t="s">
        <v>247</v>
      </c>
      <c r="R246" s="796"/>
    </row>
    <row r="247" spans="1:32" s="40" customFormat="1" ht="12.75" customHeight="1" x14ac:dyDescent="0.2">
      <c r="A247" s="782"/>
      <c r="B247" s="791"/>
      <c r="C247" s="395"/>
      <c r="D247" s="785" t="s">
        <v>248</v>
      </c>
      <c r="E247" s="785"/>
      <c r="F247" s="785"/>
      <c r="G247" s="785"/>
      <c r="H247" s="785"/>
      <c r="I247" s="788" t="s">
        <v>249</v>
      </c>
      <c r="J247" s="788"/>
      <c r="K247" s="788"/>
      <c r="L247" s="788"/>
      <c r="M247" s="788"/>
      <c r="N247" s="788"/>
      <c r="O247" s="788"/>
      <c r="P247" s="801" t="s">
        <v>250</v>
      </c>
      <c r="Q247" s="797"/>
      <c r="R247" s="798"/>
    </row>
    <row r="248" spans="1:32" s="40" customFormat="1" ht="15.2" customHeight="1" x14ac:dyDescent="0.2">
      <c r="A248" s="782"/>
      <c r="B248" s="791"/>
      <c r="C248" s="395"/>
      <c r="D248" s="785" t="s">
        <v>251</v>
      </c>
      <c r="E248" s="785"/>
      <c r="F248" s="786" t="s">
        <v>252</v>
      </c>
      <c r="G248" s="786" t="s">
        <v>881</v>
      </c>
      <c r="H248" s="782" t="s">
        <v>253</v>
      </c>
      <c r="I248" s="789" t="s">
        <v>254</v>
      </c>
      <c r="J248" s="788" t="s">
        <v>255</v>
      </c>
      <c r="K248" s="788"/>
      <c r="L248" s="787" t="s">
        <v>256</v>
      </c>
      <c r="M248" s="787" t="s">
        <v>257</v>
      </c>
      <c r="N248" s="787" t="s">
        <v>258</v>
      </c>
      <c r="O248" s="787" t="s">
        <v>259</v>
      </c>
      <c r="P248" s="799"/>
      <c r="Q248" s="799" t="s">
        <v>260</v>
      </c>
      <c r="R248" s="791" t="s">
        <v>261</v>
      </c>
    </row>
    <row r="249" spans="1:32" s="40" customFormat="1" ht="59.25" customHeight="1" x14ac:dyDescent="0.2">
      <c r="A249" s="782"/>
      <c r="B249" s="792"/>
      <c r="C249" s="432" t="s">
        <v>844</v>
      </c>
      <c r="D249" s="74" t="s">
        <v>262</v>
      </c>
      <c r="E249" s="74" t="s">
        <v>263</v>
      </c>
      <c r="F249" s="786"/>
      <c r="G249" s="786"/>
      <c r="H249" s="782"/>
      <c r="I249" s="789"/>
      <c r="J249" s="75" t="s">
        <v>231</v>
      </c>
      <c r="K249" s="75" t="s">
        <v>264</v>
      </c>
      <c r="L249" s="787"/>
      <c r="M249" s="787"/>
      <c r="N249" s="787"/>
      <c r="O249" s="787"/>
      <c r="P249" s="800"/>
      <c r="Q249" s="800"/>
      <c r="R249" s="792"/>
    </row>
    <row r="250" spans="1:32" s="41" customFormat="1" ht="12" customHeight="1" x14ac:dyDescent="0.25">
      <c r="A250" s="276">
        <v>1</v>
      </c>
      <c r="B250" s="276">
        <v>2</v>
      </c>
      <c r="C250" s="276"/>
      <c r="D250" s="276">
        <v>3</v>
      </c>
      <c r="E250" s="276">
        <v>4</v>
      </c>
      <c r="F250" s="276">
        <v>5</v>
      </c>
      <c r="G250" s="42">
        <v>5.0999999999999996</v>
      </c>
      <c r="H250" s="276">
        <v>6</v>
      </c>
      <c r="I250" s="292">
        <v>7</v>
      </c>
      <c r="J250" s="292">
        <v>8</v>
      </c>
      <c r="K250" s="292">
        <v>9</v>
      </c>
      <c r="L250" s="292">
        <v>10</v>
      </c>
      <c r="M250" s="292">
        <v>11</v>
      </c>
      <c r="N250" s="292">
        <v>12</v>
      </c>
      <c r="O250" s="292">
        <v>13</v>
      </c>
      <c r="P250" s="292">
        <v>14</v>
      </c>
      <c r="Q250" s="292">
        <v>15</v>
      </c>
      <c r="R250" s="276">
        <v>16</v>
      </c>
    </row>
    <row r="251" spans="1:32" x14ac:dyDescent="0.25">
      <c r="A251" s="71">
        <v>1</v>
      </c>
      <c r="B251" s="698" t="s">
        <v>632</v>
      </c>
      <c r="C251" s="476" t="s">
        <v>846</v>
      </c>
      <c r="D251" s="284">
        <v>0</v>
      </c>
      <c r="E251" s="72">
        <v>0.6</v>
      </c>
      <c r="F251" s="72">
        <v>0.6</v>
      </c>
      <c r="G251" s="72">
        <v>3</v>
      </c>
      <c r="H251" s="24" t="s">
        <v>0</v>
      </c>
      <c r="I251" s="18"/>
      <c r="J251" s="18"/>
      <c r="K251" s="18"/>
      <c r="L251" s="18"/>
      <c r="M251" s="18"/>
      <c r="N251" s="18"/>
      <c r="O251" s="18"/>
      <c r="P251" s="18"/>
      <c r="Q251" s="294">
        <v>80640080200</v>
      </c>
      <c r="R251" s="294">
        <v>80640080200</v>
      </c>
      <c r="T251" s="619"/>
      <c r="U251" s="634"/>
    </row>
    <row r="252" spans="1:32" x14ac:dyDescent="0.25">
      <c r="A252" s="277"/>
      <c r="B252" s="700"/>
      <c r="C252" s="476" t="s">
        <v>846</v>
      </c>
      <c r="D252" s="284">
        <v>0.6</v>
      </c>
      <c r="E252" s="72">
        <v>0.76</v>
      </c>
      <c r="F252" s="72">
        <v>0.16</v>
      </c>
      <c r="G252" s="691">
        <v>3.5</v>
      </c>
      <c r="H252" s="88" t="s">
        <v>325</v>
      </c>
      <c r="I252" s="18"/>
      <c r="J252" s="18"/>
      <c r="K252" s="18"/>
      <c r="L252" s="18"/>
      <c r="M252" s="18"/>
      <c r="N252" s="18"/>
      <c r="O252" s="18"/>
      <c r="P252" s="18"/>
      <c r="Q252" s="294">
        <v>80640080200</v>
      </c>
      <c r="R252" s="294">
        <v>80640080200</v>
      </c>
      <c r="T252" s="619"/>
      <c r="U252" s="634"/>
    </row>
    <row r="253" spans="1:32" x14ac:dyDescent="0.25">
      <c r="A253" s="277">
        <v>2</v>
      </c>
      <c r="B253" s="701" t="s">
        <v>633</v>
      </c>
      <c r="C253" s="476" t="s">
        <v>846</v>
      </c>
      <c r="D253" s="72">
        <v>0</v>
      </c>
      <c r="E253" s="72">
        <v>0.5</v>
      </c>
      <c r="F253" s="72">
        <v>0.5</v>
      </c>
      <c r="G253" s="72">
        <v>4</v>
      </c>
      <c r="H253" s="22" t="s">
        <v>0</v>
      </c>
      <c r="I253" s="18"/>
      <c r="J253" s="18"/>
      <c r="K253" s="18"/>
      <c r="L253" s="18"/>
      <c r="M253" s="18"/>
      <c r="N253" s="18"/>
      <c r="O253" s="18"/>
      <c r="P253" s="18"/>
      <c r="Q253" s="294">
        <v>80640050139</v>
      </c>
      <c r="R253" s="294" t="s">
        <v>622</v>
      </c>
      <c r="T253" s="619">
        <f>5+5.3+4.4+4.6+4.6+4+4+4.8+5.4</f>
        <v>42.099999999999994</v>
      </c>
      <c r="U253" s="634">
        <f>T253/9</f>
        <v>4.6777777777777771</v>
      </c>
    </row>
    <row r="254" spans="1:32" x14ac:dyDescent="0.25">
      <c r="A254" s="71">
        <v>3</v>
      </c>
      <c r="B254" s="733" t="s">
        <v>634</v>
      </c>
      <c r="C254" s="476" t="s">
        <v>846</v>
      </c>
      <c r="D254" s="72">
        <v>0</v>
      </c>
      <c r="E254" s="72">
        <v>0.1</v>
      </c>
      <c r="F254" s="72">
        <v>0.1</v>
      </c>
      <c r="G254" s="72">
        <v>2.5</v>
      </c>
      <c r="H254" s="22" t="s">
        <v>0</v>
      </c>
      <c r="I254" s="18"/>
      <c r="J254" s="18"/>
      <c r="K254" s="18"/>
      <c r="L254" s="18"/>
      <c r="M254" s="18"/>
      <c r="N254" s="18"/>
      <c r="O254" s="18"/>
      <c r="P254" s="18"/>
      <c r="Q254" s="294" t="s">
        <v>623</v>
      </c>
      <c r="R254" s="294" t="s">
        <v>623</v>
      </c>
      <c r="T254" s="619"/>
      <c r="U254" s="634"/>
    </row>
    <row r="255" spans="1:32" x14ac:dyDescent="0.25">
      <c r="A255" s="71"/>
      <c r="B255" s="698"/>
      <c r="C255" s="476" t="s">
        <v>846</v>
      </c>
      <c r="D255" s="72">
        <v>0.1</v>
      </c>
      <c r="E255" s="72">
        <v>0.13</v>
      </c>
      <c r="F255" s="72">
        <v>0.03</v>
      </c>
      <c r="G255" s="72">
        <v>2.5</v>
      </c>
      <c r="H255" s="22" t="s">
        <v>0</v>
      </c>
      <c r="I255" s="18"/>
      <c r="J255" s="18"/>
      <c r="K255" s="18"/>
      <c r="L255" s="18"/>
      <c r="M255" s="18"/>
      <c r="N255" s="18"/>
      <c r="O255" s="18"/>
      <c r="P255" s="18"/>
      <c r="Q255" s="454" t="s">
        <v>859</v>
      </c>
      <c r="R255" s="294">
        <v>80640050045</v>
      </c>
      <c r="T255" s="621"/>
      <c r="U255" s="634"/>
    </row>
    <row r="256" spans="1:32" x14ac:dyDescent="0.25">
      <c r="A256" s="71"/>
      <c r="B256" s="698"/>
      <c r="C256" s="476" t="s">
        <v>846</v>
      </c>
      <c r="D256" s="72">
        <v>0.13</v>
      </c>
      <c r="E256" s="72">
        <v>0.16</v>
      </c>
      <c r="F256" s="72">
        <v>0.03</v>
      </c>
      <c r="G256" s="72">
        <v>2.5</v>
      </c>
      <c r="H256" s="22" t="s">
        <v>0</v>
      </c>
      <c r="I256" s="18"/>
      <c r="J256" s="18"/>
      <c r="K256" s="18"/>
      <c r="L256" s="18"/>
      <c r="M256" s="18"/>
      <c r="N256" s="18"/>
      <c r="O256" s="18"/>
      <c r="P256" s="18"/>
      <c r="Q256" s="454" t="s">
        <v>859</v>
      </c>
      <c r="R256" s="294">
        <v>80640050046</v>
      </c>
      <c r="T256" s="621"/>
      <c r="U256" s="634"/>
    </row>
    <row r="257" spans="1:21" ht="23.25" x14ac:dyDescent="0.25">
      <c r="A257" s="71">
        <v>4</v>
      </c>
      <c r="B257" s="698" t="s">
        <v>635</v>
      </c>
      <c r="C257" s="476" t="s">
        <v>846</v>
      </c>
      <c r="D257" s="72">
        <v>0</v>
      </c>
      <c r="E257" s="72">
        <v>0.11</v>
      </c>
      <c r="F257" s="72">
        <v>0.11</v>
      </c>
      <c r="G257" s="72">
        <v>4</v>
      </c>
      <c r="H257" s="22" t="s">
        <v>0</v>
      </c>
      <c r="I257" s="18"/>
      <c r="J257" s="18"/>
      <c r="K257" s="18"/>
      <c r="L257" s="18"/>
      <c r="M257" s="18"/>
      <c r="N257" s="18"/>
      <c r="O257" s="18"/>
      <c r="P257" s="18"/>
      <c r="Q257" s="454" t="s">
        <v>859</v>
      </c>
      <c r="R257" s="295" t="s">
        <v>864</v>
      </c>
      <c r="T257" s="621"/>
      <c r="U257" s="634"/>
    </row>
    <row r="258" spans="1:21" x14ac:dyDescent="0.25">
      <c r="A258" s="281"/>
      <c r="B258" s="704"/>
      <c r="C258" s="476" t="s">
        <v>846</v>
      </c>
      <c r="D258" s="72">
        <v>0.11</v>
      </c>
      <c r="E258" s="72">
        <v>0.46</v>
      </c>
      <c r="F258" s="72">
        <v>0.35</v>
      </c>
      <c r="G258" s="72">
        <v>4</v>
      </c>
      <c r="H258" s="22" t="s">
        <v>0</v>
      </c>
      <c r="I258" s="18"/>
      <c r="J258" s="18"/>
      <c r="K258" s="18"/>
      <c r="L258" s="18"/>
      <c r="M258" s="18"/>
      <c r="N258" s="18"/>
      <c r="O258" s="18"/>
      <c r="P258" s="18"/>
      <c r="Q258" s="294">
        <v>80640050204</v>
      </c>
      <c r="R258" s="294" t="s">
        <v>624</v>
      </c>
      <c r="T258" s="619"/>
      <c r="U258" s="634"/>
    </row>
    <row r="259" spans="1:21" ht="23.25" x14ac:dyDescent="0.25">
      <c r="A259" s="277"/>
      <c r="B259" s="700"/>
      <c r="C259" s="476" t="s">
        <v>846</v>
      </c>
      <c r="D259" s="284">
        <v>0.46</v>
      </c>
      <c r="E259" s="72">
        <v>0.52</v>
      </c>
      <c r="F259" s="72">
        <v>0.06</v>
      </c>
      <c r="G259" s="72">
        <v>4</v>
      </c>
      <c r="H259" s="22" t="s">
        <v>0</v>
      </c>
      <c r="I259" s="18"/>
      <c r="J259" s="18"/>
      <c r="K259" s="18"/>
      <c r="L259" s="18"/>
      <c r="M259" s="18"/>
      <c r="N259" s="18"/>
      <c r="O259" s="18"/>
      <c r="P259" s="18"/>
      <c r="Q259" s="454" t="s">
        <v>859</v>
      </c>
      <c r="R259" s="295" t="s">
        <v>865</v>
      </c>
      <c r="T259" s="621"/>
      <c r="U259" s="634"/>
    </row>
    <row r="260" spans="1:21" x14ac:dyDescent="0.25">
      <c r="A260" s="281">
        <v>5</v>
      </c>
      <c r="B260" s="704" t="s">
        <v>636</v>
      </c>
      <c r="C260" s="476" t="s">
        <v>846</v>
      </c>
      <c r="D260" s="284">
        <v>0</v>
      </c>
      <c r="E260" s="72">
        <v>0.38</v>
      </c>
      <c r="F260" s="72">
        <v>0.38</v>
      </c>
      <c r="G260" s="72">
        <v>3</v>
      </c>
      <c r="H260" s="22" t="s">
        <v>4</v>
      </c>
      <c r="I260" s="18"/>
      <c r="J260" s="18"/>
      <c r="K260" s="18"/>
      <c r="L260" s="18"/>
      <c r="M260" s="18"/>
      <c r="N260" s="18"/>
      <c r="O260" s="18"/>
      <c r="P260" s="18"/>
      <c r="Q260" s="294">
        <v>80640080202</v>
      </c>
      <c r="R260" s="294" t="s">
        <v>625</v>
      </c>
      <c r="T260" s="619"/>
      <c r="U260" s="634"/>
    </row>
    <row r="261" spans="1:21" x14ac:dyDescent="0.25">
      <c r="A261" s="277"/>
      <c r="B261" s="700"/>
      <c r="C261" s="476" t="s">
        <v>846</v>
      </c>
      <c r="D261" s="284">
        <v>0.3</v>
      </c>
      <c r="E261" s="72">
        <v>0.5</v>
      </c>
      <c r="F261" s="72">
        <v>0.2</v>
      </c>
      <c r="G261" s="72">
        <v>3</v>
      </c>
      <c r="H261" s="22" t="s">
        <v>0</v>
      </c>
      <c r="I261" s="18"/>
      <c r="J261" s="18"/>
      <c r="K261" s="18"/>
      <c r="L261" s="18"/>
      <c r="M261" s="18"/>
      <c r="N261" s="18"/>
      <c r="O261" s="18"/>
      <c r="P261" s="18"/>
      <c r="Q261" s="294" t="s">
        <v>626</v>
      </c>
      <c r="R261" s="294" t="s">
        <v>626</v>
      </c>
      <c r="T261" s="619"/>
      <c r="U261" s="634"/>
    </row>
    <row r="262" spans="1:21" x14ac:dyDescent="0.25">
      <c r="A262" s="277">
        <v>6</v>
      </c>
      <c r="B262" s="701" t="s">
        <v>637</v>
      </c>
      <c r="C262" s="415" t="s">
        <v>846</v>
      </c>
      <c r="D262" s="72">
        <v>0</v>
      </c>
      <c r="E262" s="72">
        <v>0.55000000000000004</v>
      </c>
      <c r="F262" s="72">
        <v>0.55000000000000004</v>
      </c>
      <c r="G262" s="72">
        <v>4</v>
      </c>
      <c r="H262" s="22" t="s">
        <v>4</v>
      </c>
      <c r="I262" s="18"/>
      <c r="J262" s="18"/>
      <c r="K262" s="18"/>
      <c r="L262" s="18"/>
      <c r="M262" s="18"/>
      <c r="N262" s="18"/>
      <c r="O262" s="18"/>
      <c r="P262" s="18"/>
      <c r="Q262" s="294">
        <v>80640080215</v>
      </c>
      <c r="R262" s="294" t="s">
        <v>627</v>
      </c>
      <c r="T262" s="619"/>
      <c r="U262" s="634"/>
    </row>
    <row r="263" spans="1:21" x14ac:dyDescent="0.25">
      <c r="A263" s="277"/>
      <c r="B263" s="701"/>
      <c r="C263" s="475" t="s">
        <v>846</v>
      </c>
      <c r="D263" s="72">
        <v>0.55000000000000004</v>
      </c>
      <c r="E263" s="72">
        <v>0.7</v>
      </c>
      <c r="F263" s="72">
        <v>0.15</v>
      </c>
      <c r="G263" s="72">
        <v>4</v>
      </c>
      <c r="H263" s="22" t="s">
        <v>4</v>
      </c>
      <c r="I263" s="18"/>
      <c r="J263" s="18"/>
      <c r="K263" s="18"/>
      <c r="L263" s="18"/>
      <c r="M263" s="18"/>
      <c r="N263" s="18"/>
      <c r="O263" s="18"/>
      <c r="P263" s="18"/>
      <c r="Q263" s="454" t="s">
        <v>859</v>
      </c>
      <c r="R263" s="294">
        <v>80640080033</v>
      </c>
      <c r="T263" s="621"/>
      <c r="U263" s="634"/>
    </row>
    <row r="264" spans="1:21" x14ac:dyDescent="0.25">
      <c r="A264" s="277"/>
      <c r="B264" s="701"/>
      <c r="C264" s="475" t="s">
        <v>846</v>
      </c>
      <c r="D264" s="72">
        <v>0.7</v>
      </c>
      <c r="E264" s="72">
        <v>0.73</v>
      </c>
      <c r="F264" s="72">
        <v>0.03</v>
      </c>
      <c r="G264" s="72">
        <v>3.5</v>
      </c>
      <c r="H264" s="22" t="s">
        <v>4</v>
      </c>
      <c r="I264" s="18"/>
      <c r="J264" s="18"/>
      <c r="K264" s="18"/>
      <c r="L264" s="18"/>
      <c r="M264" s="18"/>
      <c r="N264" s="18"/>
      <c r="O264" s="18"/>
      <c r="P264" s="18"/>
      <c r="Q264" s="454" t="s">
        <v>859</v>
      </c>
      <c r="R264" s="294">
        <v>80640080363</v>
      </c>
      <c r="T264" s="621"/>
      <c r="U264" s="634"/>
    </row>
    <row r="265" spans="1:21" ht="23.25" x14ac:dyDescent="0.25">
      <c r="A265" s="23">
        <v>7</v>
      </c>
      <c r="B265" s="702" t="s">
        <v>638</v>
      </c>
      <c r="C265" s="405" t="s">
        <v>845</v>
      </c>
      <c r="D265" s="72">
        <v>0</v>
      </c>
      <c r="E265" s="72">
        <v>1.1000000000000001</v>
      </c>
      <c r="F265" s="72">
        <v>1.1000000000000001</v>
      </c>
      <c r="G265" s="72">
        <v>5</v>
      </c>
      <c r="H265" s="22" t="s">
        <v>0</v>
      </c>
      <c r="I265" s="18"/>
      <c r="J265" s="18"/>
      <c r="K265" s="18"/>
      <c r="L265" s="18"/>
      <c r="M265" s="18"/>
      <c r="N265" s="18"/>
      <c r="O265" s="18"/>
      <c r="P265" s="18"/>
      <c r="Q265" s="294">
        <v>80640010137</v>
      </c>
      <c r="R265" s="294">
        <v>80640010137</v>
      </c>
      <c r="T265" s="619"/>
      <c r="U265" s="634"/>
    </row>
    <row r="266" spans="1:21" x14ac:dyDescent="0.25">
      <c r="A266" s="23">
        <v>8</v>
      </c>
      <c r="B266" s="702" t="s">
        <v>639</v>
      </c>
      <c r="C266" s="405" t="s">
        <v>845</v>
      </c>
      <c r="D266" s="72">
        <v>0</v>
      </c>
      <c r="E266" s="72">
        <v>0.6</v>
      </c>
      <c r="F266" s="72">
        <v>0.6</v>
      </c>
      <c r="G266" s="72">
        <v>3.5</v>
      </c>
      <c r="H266" s="22" t="s">
        <v>0</v>
      </c>
      <c r="I266" s="18"/>
      <c r="J266" s="18"/>
      <c r="K266" s="18"/>
      <c r="L266" s="18"/>
      <c r="M266" s="18"/>
      <c r="N266" s="18"/>
      <c r="O266" s="18"/>
      <c r="P266" s="18"/>
      <c r="Q266" s="294">
        <v>80640010138</v>
      </c>
      <c r="R266" s="294">
        <v>80640010138</v>
      </c>
      <c r="T266" s="619"/>
      <c r="U266" s="634"/>
    </row>
    <row r="267" spans="1:21" x14ac:dyDescent="0.25">
      <c r="A267" s="71">
        <v>9</v>
      </c>
      <c r="B267" s="733" t="s">
        <v>640</v>
      </c>
      <c r="C267" s="414" t="s">
        <v>845</v>
      </c>
      <c r="D267" s="72">
        <v>0</v>
      </c>
      <c r="E267" s="72">
        <v>0.92</v>
      </c>
      <c r="F267" s="72">
        <v>1.1200000000000001</v>
      </c>
      <c r="G267" s="72">
        <v>5</v>
      </c>
      <c r="H267" s="22" t="s">
        <v>0</v>
      </c>
      <c r="I267" s="18"/>
      <c r="J267" s="18"/>
      <c r="K267" s="18"/>
      <c r="L267" s="18"/>
      <c r="M267" s="18"/>
      <c r="N267" s="18"/>
      <c r="O267" s="18"/>
      <c r="P267" s="18"/>
      <c r="Q267" s="294">
        <v>80640010152</v>
      </c>
      <c r="R267" s="294">
        <v>80640010152</v>
      </c>
      <c r="T267" s="619"/>
      <c r="U267" s="634"/>
    </row>
    <row r="268" spans="1:21" ht="23.25" x14ac:dyDescent="0.25">
      <c r="A268" s="71">
        <v>10</v>
      </c>
      <c r="B268" s="698" t="s">
        <v>641</v>
      </c>
      <c r="C268" s="476" t="s">
        <v>846</v>
      </c>
      <c r="D268" s="284">
        <v>0</v>
      </c>
      <c r="E268" s="72">
        <v>1.17</v>
      </c>
      <c r="F268" s="72">
        <v>1.17</v>
      </c>
      <c r="G268" s="72">
        <v>5</v>
      </c>
      <c r="H268" s="22" t="s">
        <v>0</v>
      </c>
      <c r="I268" s="18"/>
      <c r="J268" s="18"/>
      <c r="K268" s="18"/>
      <c r="L268" s="18"/>
      <c r="M268" s="18"/>
      <c r="N268" s="18"/>
      <c r="O268" s="18"/>
      <c r="P268" s="18"/>
      <c r="Q268" s="294">
        <v>80640010191</v>
      </c>
      <c r="R268" s="294">
        <v>80640010191</v>
      </c>
      <c r="T268" s="619"/>
      <c r="U268" s="634"/>
    </row>
    <row r="269" spans="1:21" x14ac:dyDescent="0.25">
      <c r="A269" s="281"/>
      <c r="B269" s="704"/>
      <c r="C269" s="476" t="s">
        <v>846</v>
      </c>
      <c r="D269" s="284">
        <v>1.17</v>
      </c>
      <c r="E269" s="72">
        <v>1.55</v>
      </c>
      <c r="F269" s="72">
        <v>0.38</v>
      </c>
      <c r="G269" s="72">
        <v>4.5</v>
      </c>
      <c r="H269" s="22" t="s">
        <v>0</v>
      </c>
      <c r="I269" s="310"/>
      <c r="J269" s="18"/>
      <c r="K269" s="18"/>
      <c r="L269" s="18"/>
      <c r="M269" s="18"/>
      <c r="N269" s="18"/>
      <c r="O269" s="18"/>
      <c r="P269" s="18"/>
      <c r="Q269" s="454" t="s">
        <v>859</v>
      </c>
      <c r="R269" s="294">
        <v>80640010002</v>
      </c>
      <c r="T269" s="621"/>
      <c r="U269" s="634"/>
    </row>
    <row r="270" spans="1:21" x14ac:dyDescent="0.25">
      <c r="A270" s="281"/>
      <c r="B270" s="704"/>
      <c r="C270" s="476" t="s">
        <v>846</v>
      </c>
      <c r="D270" s="284">
        <v>1.55</v>
      </c>
      <c r="E270" s="72">
        <v>2.92</v>
      </c>
      <c r="F270" s="72">
        <v>1.37</v>
      </c>
      <c r="G270" s="72">
        <v>4.5</v>
      </c>
      <c r="H270" s="22" t="s">
        <v>0</v>
      </c>
      <c r="I270" s="310"/>
      <c r="J270" s="18"/>
      <c r="K270" s="18"/>
      <c r="L270" s="18"/>
      <c r="M270" s="18"/>
      <c r="N270" s="18"/>
      <c r="O270" s="18"/>
      <c r="P270" s="18"/>
      <c r="Q270" s="294">
        <v>80640010208</v>
      </c>
      <c r="R270" s="294">
        <v>80640010208</v>
      </c>
      <c r="T270" s="619"/>
      <c r="U270" s="634"/>
    </row>
    <row r="271" spans="1:21" x14ac:dyDescent="0.25">
      <c r="A271" s="281"/>
      <c r="B271" s="704"/>
      <c r="C271" s="476" t="s">
        <v>846</v>
      </c>
      <c r="D271" s="284">
        <v>2.92</v>
      </c>
      <c r="E271" s="72">
        <f>2.92+0.27</f>
        <v>3.19</v>
      </c>
      <c r="F271" s="72">
        <v>0.27</v>
      </c>
      <c r="G271" s="72">
        <v>4.5</v>
      </c>
      <c r="H271" s="22" t="s">
        <v>0</v>
      </c>
      <c r="I271" s="310"/>
      <c r="J271" s="18"/>
      <c r="K271" s="18"/>
      <c r="L271" s="18"/>
      <c r="M271" s="18"/>
      <c r="N271" s="18"/>
      <c r="O271" s="18"/>
      <c r="P271" s="18"/>
      <c r="Q271" s="454" t="s">
        <v>859</v>
      </c>
      <c r="R271" s="294">
        <v>80640010024</v>
      </c>
      <c r="T271" s="621"/>
      <c r="U271" s="634"/>
    </row>
    <row r="272" spans="1:21" x14ac:dyDescent="0.25">
      <c r="A272" s="281"/>
      <c r="B272" s="704"/>
      <c r="C272" s="476" t="s">
        <v>846</v>
      </c>
      <c r="D272" s="284">
        <v>3.19</v>
      </c>
      <c r="E272" s="72">
        <v>3.67</v>
      </c>
      <c r="F272" s="72">
        <v>0.48</v>
      </c>
      <c r="G272" s="72">
        <v>4</v>
      </c>
      <c r="H272" s="22" t="s">
        <v>0</v>
      </c>
      <c r="I272" s="310"/>
      <c r="J272" s="18"/>
      <c r="K272" s="18"/>
      <c r="L272" s="18"/>
      <c r="M272" s="18"/>
      <c r="N272" s="18"/>
      <c r="O272" s="18"/>
      <c r="P272" s="18"/>
      <c r="Q272" s="454" t="s">
        <v>859</v>
      </c>
      <c r="R272" s="294">
        <v>80640010086</v>
      </c>
      <c r="T272" s="621"/>
      <c r="U272" s="634"/>
    </row>
    <row r="273" spans="1:21" x14ac:dyDescent="0.25">
      <c r="A273" s="281"/>
      <c r="B273" s="704"/>
      <c r="C273" s="476" t="s">
        <v>846</v>
      </c>
      <c r="D273" s="284">
        <v>3.67</v>
      </c>
      <c r="E273" s="72">
        <v>4.01</v>
      </c>
      <c r="F273" s="72">
        <v>0.34</v>
      </c>
      <c r="G273" s="72">
        <v>4.5</v>
      </c>
      <c r="H273" s="22" t="s">
        <v>0</v>
      </c>
      <c r="I273" s="310"/>
      <c r="J273" s="18"/>
      <c r="K273" s="18"/>
      <c r="L273" s="18"/>
      <c r="M273" s="18"/>
      <c r="N273" s="18"/>
      <c r="O273" s="18"/>
      <c r="P273" s="18"/>
      <c r="Q273" s="294">
        <v>80640010169</v>
      </c>
      <c r="R273" s="294">
        <v>80640010169</v>
      </c>
      <c r="T273" s="619"/>
      <c r="U273" s="634"/>
    </row>
    <row r="274" spans="1:21" x14ac:dyDescent="0.25">
      <c r="A274" s="277"/>
      <c r="B274" s="700"/>
      <c r="C274" s="476" t="s">
        <v>846</v>
      </c>
      <c r="D274" s="284">
        <v>4.01</v>
      </c>
      <c r="E274" s="72">
        <v>5.71</v>
      </c>
      <c r="F274" s="72">
        <v>1.7</v>
      </c>
      <c r="G274" s="72">
        <v>5</v>
      </c>
      <c r="H274" s="22" t="s">
        <v>0</v>
      </c>
      <c r="I274" s="18"/>
      <c r="J274" s="18"/>
      <c r="K274" s="18"/>
      <c r="L274" s="18"/>
      <c r="M274" s="18"/>
      <c r="N274" s="18"/>
      <c r="O274" s="18"/>
      <c r="P274" s="18"/>
      <c r="Q274" s="294">
        <v>80640020613</v>
      </c>
      <c r="R274" s="294">
        <v>80640020613</v>
      </c>
      <c r="T274" s="619"/>
      <c r="U274" s="634"/>
    </row>
    <row r="275" spans="1:21" x14ac:dyDescent="0.25">
      <c r="A275" s="277">
        <v>11</v>
      </c>
      <c r="B275" s="701" t="s">
        <v>642</v>
      </c>
      <c r="C275" s="415" t="s">
        <v>846</v>
      </c>
      <c r="D275" s="72">
        <v>0</v>
      </c>
      <c r="E275" s="72">
        <v>0.25</v>
      </c>
      <c r="F275" s="72">
        <v>0.25</v>
      </c>
      <c r="G275" s="72">
        <v>3.5</v>
      </c>
      <c r="H275" s="22" t="s">
        <v>4</v>
      </c>
      <c r="I275" s="18"/>
      <c r="J275" s="18"/>
      <c r="K275" s="18"/>
      <c r="L275" s="18"/>
      <c r="M275" s="18"/>
      <c r="N275" s="18"/>
      <c r="O275" s="18"/>
      <c r="P275" s="18"/>
      <c r="Q275" s="294">
        <v>80640020614</v>
      </c>
      <c r="R275" s="294">
        <v>80640020614</v>
      </c>
      <c r="T275" s="619"/>
      <c r="U275" s="634"/>
    </row>
    <row r="276" spans="1:21" x14ac:dyDescent="0.25">
      <c r="A276" s="71">
        <v>12</v>
      </c>
      <c r="B276" s="733" t="s">
        <v>643</v>
      </c>
      <c r="C276" s="414" t="s">
        <v>846</v>
      </c>
      <c r="D276" s="72">
        <v>0</v>
      </c>
      <c r="E276" s="72">
        <v>0.25</v>
      </c>
      <c r="F276" s="72">
        <v>0.25</v>
      </c>
      <c r="G276" s="72">
        <v>4</v>
      </c>
      <c r="H276" s="22" t="s">
        <v>0</v>
      </c>
      <c r="I276" s="18"/>
      <c r="J276" s="18"/>
      <c r="K276" s="18"/>
      <c r="L276" s="18"/>
      <c r="M276" s="18"/>
      <c r="N276" s="18"/>
      <c r="O276" s="18"/>
      <c r="P276" s="18"/>
      <c r="Q276" s="294">
        <v>80640020669</v>
      </c>
      <c r="R276" s="294">
        <v>80640020669</v>
      </c>
      <c r="T276" s="619"/>
      <c r="U276" s="634"/>
    </row>
    <row r="277" spans="1:21" x14ac:dyDescent="0.25">
      <c r="A277" s="283">
        <v>13</v>
      </c>
      <c r="B277" s="733" t="s">
        <v>644</v>
      </c>
      <c r="C277" s="476" t="s">
        <v>845</v>
      </c>
      <c r="D277" s="284">
        <v>0</v>
      </c>
      <c r="E277" s="72">
        <v>0.27</v>
      </c>
      <c r="F277" s="72">
        <v>0.27</v>
      </c>
      <c r="G277" s="72">
        <v>4</v>
      </c>
      <c r="H277" s="22" t="s">
        <v>0</v>
      </c>
      <c r="I277" s="18"/>
      <c r="J277" s="18"/>
      <c r="K277" s="18"/>
      <c r="L277" s="18"/>
      <c r="M277" s="18"/>
      <c r="N277" s="18"/>
      <c r="O277" s="18"/>
      <c r="P277" s="18"/>
      <c r="Q277" s="294">
        <v>80640020615</v>
      </c>
      <c r="R277" s="294">
        <v>80640020615</v>
      </c>
      <c r="T277" s="619"/>
      <c r="U277" s="634"/>
    </row>
    <row r="278" spans="1:21" x14ac:dyDescent="0.25">
      <c r="A278" s="282"/>
      <c r="B278" s="701"/>
      <c r="C278" s="476" t="s">
        <v>845</v>
      </c>
      <c r="D278" s="284">
        <v>0.27</v>
      </c>
      <c r="E278" s="72">
        <v>0.46</v>
      </c>
      <c r="F278" s="72">
        <v>0.19</v>
      </c>
      <c r="G278" s="691">
        <v>3.5</v>
      </c>
      <c r="H278" s="88" t="s">
        <v>325</v>
      </c>
      <c r="I278" s="18"/>
      <c r="J278" s="18"/>
      <c r="K278" s="18"/>
      <c r="L278" s="18"/>
      <c r="M278" s="18"/>
      <c r="N278" s="18"/>
      <c r="O278" s="18"/>
      <c r="P278" s="18"/>
      <c r="Q278" s="294">
        <v>80640020615</v>
      </c>
      <c r="R278" s="294">
        <v>80640020615</v>
      </c>
      <c r="T278" s="619"/>
      <c r="U278" s="634"/>
    </row>
    <row r="279" spans="1:21" x14ac:dyDescent="0.25">
      <c r="A279" s="277">
        <v>14</v>
      </c>
      <c r="B279" s="701" t="s">
        <v>645</v>
      </c>
      <c r="C279" s="415" t="s">
        <v>846</v>
      </c>
      <c r="D279" s="72">
        <v>0</v>
      </c>
      <c r="E279" s="72">
        <v>0.26</v>
      </c>
      <c r="F279" s="72">
        <v>0.26</v>
      </c>
      <c r="G279" s="72">
        <v>5.5</v>
      </c>
      <c r="H279" s="22" t="s">
        <v>0</v>
      </c>
      <c r="I279" s="18"/>
      <c r="J279" s="18"/>
      <c r="K279" s="18"/>
      <c r="L279" s="18"/>
      <c r="M279" s="18"/>
      <c r="N279" s="18"/>
      <c r="O279" s="18"/>
      <c r="P279" s="18"/>
      <c r="Q279" s="294">
        <v>80640020630</v>
      </c>
      <c r="R279" s="294">
        <v>80640020630</v>
      </c>
      <c r="T279" s="619"/>
      <c r="U279" s="634"/>
    </row>
    <row r="280" spans="1:21" x14ac:dyDescent="0.25">
      <c r="A280" s="71">
        <v>15</v>
      </c>
      <c r="B280" s="733" t="s">
        <v>646</v>
      </c>
      <c r="C280" s="414" t="s">
        <v>845</v>
      </c>
      <c r="D280" s="72">
        <v>0</v>
      </c>
      <c r="E280" s="72">
        <v>0.69</v>
      </c>
      <c r="F280" s="72">
        <v>0.69</v>
      </c>
      <c r="G280" s="72">
        <v>3.4</v>
      </c>
      <c r="H280" s="22" t="s">
        <v>0</v>
      </c>
      <c r="I280" s="18"/>
      <c r="J280" s="18"/>
      <c r="K280" s="18"/>
      <c r="L280" s="18"/>
      <c r="M280" s="18"/>
      <c r="N280" s="18"/>
      <c r="O280" s="18"/>
      <c r="P280" s="18"/>
      <c r="Q280" s="294">
        <v>80640061293</v>
      </c>
      <c r="R280" s="294">
        <v>80640061293</v>
      </c>
      <c r="T280" s="619"/>
      <c r="U280" s="634"/>
    </row>
    <row r="281" spans="1:21" x14ac:dyDescent="0.25">
      <c r="A281" s="71">
        <v>16</v>
      </c>
      <c r="B281" s="698" t="s">
        <v>647</v>
      </c>
      <c r="C281" s="476" t="s">
        <v>845</v>
      </c>
      <c r="D281" s="284">
        <v>0</v>
      </c>
      <c r="E281" s="72">
        <v>0.86</v>
      </c>
      <c r="F281" s="72">
        <v>0.86</v>
      </c>
      <c r="G281" s="72">
        <v>4.5</v>
      </c>
      <c r="H281" s="22" t="s">
        <v>0</v>
      </c>
      <c r="I281" s="18"/>
      <c r="J281" s="18"/>
      <c r="K281" s="18"/>
      <c r="L281" s="18"/>
      <c r="M281" s="18"/>
      <c r="N281" s="18"/>
      <c r="O281" s="18"/>
      <c r="P281" s="18"/>
      <c r="Q281" s="294">
        <v>80640030242</v>
      </c>
      <c r="R281" s="294">
        <v>80640030242</v>
      </c>
      <c r="T281" s="619"/>
      <c r="U281" s="634"/>
    </row>
    <row r="282" spans="1:21" x14ac:dyDescent="0.25">
      <c r="A282" s="281"/>
      <c r="B282" s="704"/>
      <c r="C282" s="476" t="s">
        <v>845</v>
      </c>
      <c r="D282" s="284">
        <v>0.86</v>
      </c>
      <c r="E282" s="72">
        <v>0.91</v>
      </c>
      <c r="F282" s="72">
        <v>0.05</v>
      </c>
      <c r="G282" s="72">
        <v>5</v>
      </c>
      <c r="H282" s="22" t="s">
        <v>0</v>
      </c>
      <c r="I282" s="18"/>
      <c r="J282" s="18"/>
      <c r="K282" s="18"/>
      <c r="L282" s="18"/>
      <c r="M282" s="18"/>
      <c r="N282" s="18"/>
      <c r="O282" s="18"/>
      <c r="P282" s="18"/>
      <c r="Q282" s="454" t="s">
        <v>859</v>
      </c>
      <c r="R282" s="294">
        <v>80640030069</v>
      </c>
      <c r="T282" s="621"/>
      <c r="U282" s="634"/>
    </row>
    <row r="283" spans="1:21" x14ac:dyDescent="0.25">
      <c r="A283" s="281"/>
      <c r="B283" s="704"/>
      <c r="C283" s="476" t="s">
        <v>845</v>
      </c>
      <c r="D283" s="284">
        <v>0.91</v>
      </c>
      <c r="E283" s="72">
        <v>1.29</v>
      </c>
      <c r="F283" s="72">
        <f>E283-D283</f>
        <v>0.38</v>
      </c>
      <c r="G283" s="72">
        <v>5</v>
      </c>
      <c r="H283" s="22" t="s">
        <v>0</v>
      </c>
      <c r="I283" s="18"/>
      <c r="J283" s="18"/>
      <c r="K283" s="18"/>
      <c r="L283" s="18"/>
      <c r="M283" s="18"/>
      <c r="N283" s="18"/>
      <c r="O283" s="18"/>
      <c r="P283" s="18"/>
      <c r="Q283" s="454" t="s">
        <v>859</v>
      </c>
      <c r="R283" s="294">
        <v>80640030013</v>
      </c>
      <c r="T283" s="621"/>
      <c r="U283" s="634"/>
    </row>
    <row r="284" spans="1:21" x14ac:dyDescent="0.25">
      <c r="A284" s="281"/>
      <c r="B284" s="704"/>
      <c r="C284" s="476" t="s">
        <v>845</v>
      </c>
      <c r="D284" s="284">
        <v>1.29</v>
      </c>
      <c r="E284" s="72">
        <v>1.77</v>
      </c>
      <c r="F284" s="72">
        <v>0.48</v>
      </c>
      <c r="G284" s="72">
        <v>5</v>
      </c>
      <c r="H284" s="22" t="s">
        <v>0</v>
      </c>
      <c r="I284" s="18"/>
      <c r="J284" s="18"/>
      <c r="K284" s="18"/>
      <c r="L284" s="18"/>
      <c r="M284" s="18"/>
      <c r="N284" s="18"/>
      <c r="O284" s="18"/>
      <c r="P284" s="18"/>
      <c r="Q284" s="294">
        <v>80640030298</v>
      </c>
      <c r="R284" s="294">
        <v>80640030298</v>
      </c>
      <c r="T284" s="619"/>
      <c r="U284" s="634"/>
    </row>
    <row r="285" spans="1:21" x14ac:dyDescent="0.25">
      <c r="A285" s="281"/>
      <c r="B285" s="704"/>
      <c r="C285" s="476" t="s">
        <v>845</v>
      </c>
      <c r="D285" s="284">
        <f>E284</f>
        <v>1.77</v>
      </c>
      <c r="E285" s="72">
        <f>D285+F285</f>
        <v>1.83</v>
      </c>
      <c r="F285" s="72">
        <v>0.06</v>
      </c>
      <c r="G285" s="72">
        <v>4.5</v>
      </c>
      <c r="H285" s="22" t="s">
        <v>0</v>
      </c>
      <c r="I285" s="18"/>
      <c r="J285" s="18"/>
      <c r="K285" s="18"/>
      <c r="L285" s="18"/>
      <c r="M285" s="18"/>
      <c r="N285" s="18"/>
      <c r="O285" s="18"/>
      <c r="P285" s="18"/>
      <c r="Q285" s="454" t="s">
        <v>859</v>
      </c>
      <c r="R285" s="294">
        <v>80640030009</v>
      </c>
      <c r="T285" s="621"/>
      <c r="U285" s="634"/>
    </row>
    <row r="286" spans="1:21" x14ac:dyDescent="0.25">
      <c r="A286" s="281"/>
      <c r="B286" s="704"/>
      <c r="C286" s="476" t="s">
        <v>845</v>
      </c>
      <c r="D286" s="284">
        <f t="shared" ref="D286:D288" si="38">E285</f>
        <v>1.83</v>
      </c>
      <c r="E286" s="72">
        <f t="shared" ref="E286:E288" si="39">D286+F286</f>
        <v>1.8800000000000001</v>
      </c>
      <c r="F286" s="72">
        <v>0.05</v>
      </c>
      <c r="G286" s="72">
        <v>4.5</v>
      </c>
      <c r="H286" s="22" t="s">
        <v>0</v>
      </c>
      <c r="I286" s="18"/>
      <c r="J286" s="18"/>
      <c r="K286" s="18"/>
      <c r="L286" s="18"/>
      <c r="M286" s="18"/>
      <c r="N286" s="18"/>
      <c r="O286" s="18"/>
      <c r="P286" s="18"/>
      <c r="Q286" s="454" t="s">
        <v>859</v>
      </c>
      <c r="R286" s="295">
        <v>80640030015</v>
      </c>
      <c r="T286" s="621"/>
      <c r="U286" s="634"/>
    </row>
    <row r="287" spans="1:21" x14ac:dyDescent="0.25">
      <c r="A287" s="281"/>
      <c r="B287" s="704"/>
      <c r="C287" s="476" t="s">
        <v>845</v>
      </c>
      <c r="D287" s="284">
        <f t="shared" si="38"/>
        <v>1.8800000000000001</v>
      </c>
      <c r="E287" s="72">
        <f t="shared" si="39"/>
        <v>1.9100000000000001</v>
      </c>
      <c r="F287" s="72">
        <v>0.03</v>
      </c>
      <c r="G287" s="72">
        <v>4.5</v>
      </c>
      <c r="H287" s="22" t="s">
        <v>0</v>
      </c>
      <c r="I287" s="18"/>
      <c r="J287" s="18"/>
      <c r="K287" s="18"/>
      <c r="L287" s="18"/>
      <c r="M287" s="18"/>
      <c r="N287" s="18"/>
      <c r="O287" s="18"/>
      <c r="P287" s="18"/>
      <c r="Q287" s="454" t="s">
        <v>859</v>
      </c>
      <c r="R287" s="294">
        <v>80640030080</v>
      </c>
      <c r="T287" s="621"/>
      <c r="U287" s="634"/>
    </row>
    <row r="288" spans="1:21" x14ac:dyDescent="0.25">
      <c r="A288" s="277"/>
      <c r="B288" s="704"/>
      <c r="C288" s="476" t="s">
        <v>845</v>
      </c>
      <c r="D288" s="284">
        <f t="shared" si="38"/>
        <v>1.9100000000000001</v>
      </c>
      <c r="E288" s="72">
        <f t="shared" si="39"/>
        <v>1.9800000000000002</v>
      </c>
      <c r="F288" s="72">
        <v>7.0000000000000007E-2</v>
      </c>
      <c r="G288" s="72">
        <v>4.5</v>
      </c>
      <c r="H288" s="22" t="s">
        <v>0</v>
      </c>
      <c r="I288" s="18"/>
      <c r="J288" s="18"/>
      <c r="K288" s="18"/>
      <c r="L288" s="18"/>
      <c r="M288" s="18"/>
      <c r="N288" s="18"/>
      <c r="O288" s="18"/>
      <c r="P288" s="18"/>
      <c r="Q288" s="454" t="s">
        <v>859</v>
      </c>
      <c r="R288" s="294">
        <v>80640030079</v>
      </c>
      <c r="T288" s="621"/>
      <c r="U288" s="634"/>
    </row>
    <row r="289" spans="1:21" ht="23.25" x14ac:dyDescent="0.25">
      <c r="A289" s="71">
        <v>17</v>
      </c>
      <c r="B289" s="698" t="s">
        <v>648</v>
      </c>
      <c r="C289" s="476" t="s">
        <v>846</v>
      </c>
      <c r="D289" s="284">
        <v>0</v>
      </c>
      <c r="E289" s="72">
        <v>0.06</v>
      </c>
      <c r="F289" s="72">
        <v>0.06</v>
      </c>
      <c r="G289" s="72">
        <v>3</v>
      </c>
      <c r="H289" s="22" t="s">
        <v>0</v>
      </c>
      <c r="I289" s="18"/>
      <c r="J289" s="18"/>
      <c r="K289" s="18"/>
      <c r="L289" s="18"/>
      <c r="M289" s="18"/>
      <c r="N289" s="18"/>
      <c r="O289" s="18"/>
      <c r="P289" s="18"/>
      <c r="Q289" s="454" t="s">
        <v>859</v>
      </c>
      <c r="R289" s="295" t="s">
        <v>866</v>
      </c>
      <c r="T289" s="621"/>
      <c r="U289" s="634"/>
    </row>
    <row r="290" spans="1:21" x14ac:dyDescent="0.25">
      <c r="A290" s="281"/>
      <c r="B290" s="704"/>
      <c r="C290" s="476" t="s">
        <v>846</v>
      </c>
      <c r="D290" s="284">
        <v>0.06</v>
      </c>
      <c r="E290" s="72">
        <v>0.13</v>
      </c>
      <c r="F290" s="72">
        <v>7.0000000000000007E-2</v>
      </c>
      <c r="G290" s="72">
        <v>3</v>
      </c>
      <c r="H290" s="22" t="s">
        <v>0</v>
      </c>
      <c r="I290" s="18"/>
      <c r="J290" s="18"/>
      <c r="K290" s="18"/>
      <c r="L290" s="18"/>
      <c r="M290" s="18"/>
      <c r="N290" s="18"/>
      <c r="O290" s="18"/>
      <c r="P290" s="18"/>
      <c r="Q290" s="294">
        <v>80640060802</v>
      </c>
      <c r="R290" s="294">
        <v>80640060802</v>
      </c>
      <c r="T290" s="619"/>
      <c r="U290" s="634"/>
    </row>
    <row r="291" spans="1:21" ht="34.5" x14ac:dyDescent="0.25">
      <c r="A291" s="277"/>
      <c r="B291" s="700"/>
      <c r="C291" s="476" t="s">
        <v>846</v>
      </c>
      <c r="D291" s="284">
        <v>0.13</v>
      </c>
      <c r="E291" s="72">
        <v>0</v>
      </c>
      <c r="F291" s="72">
        <v>7.0000000000000007E-2</v>
      </c>
      <c r="G291" s="72">
        <v>3</v>
      </c>
      <c r="H291" s="22" t="s">
        <v>0</v>
      </c>
      <c r="I291" s="18"/>
      <c r="J291" s="18"/>
      <c r="K291" s="18"/>
      <c r="L291" s="18"/>
      <c r="M291" s="18"/>
      <c r="N291" s="18"/>
      <c r="O291" s="18"/>
      <c r="P291" s="18"/>
      <c r="Q291" s="454" t="s">
        <v>859</v>
      </c>
      <c r="R291" s="295" t="s">
        <v>867</v>
      </c>
      <c r="T291" s="621"/>
      <c r="U291" s="634"/>
    </row>
    <row r="292" spans="1:21" x14ac:dyDescent="0.25">
      <c r="A292" s="277">
        <v>18</v>
      </c>
      <c r="B292" s="701" t="s">
        <v>649</v>
      </c>
      <c r="C292" s="405" t="s">
        <v>846</v>
      </c>
      <c r="D292" s="72">
        <v>0</v>
      </c>
      <c r="E292" s="72">
        <v>0.15</v>
      </c>
      <c r="F292" s="72">
        <v>0.15</v>
      </c>
      <c r="G292" s="72">
        <v>3.8</v>
      </c>
      <c r="H292" s="22" t="s">
        <v>0</v>
      </c>
      <c r="I292" s="18"/>
      <c r="J292" s="18"/>
      <c r="K292" s="18"/>
      <c r="L292" s="18"/>
      <c r="M292" s="18"/>
      <c r="N292" s="18"/>
      <c r="O292" s="18"/>
      <c r="P292" s="18"/>
      <c r="Q292" s="294">
        <v>80640060483</v>
      </c>
      <c r="R292" s="294">
        <v>80640060483</v>
      </c>
      <c r="T292" s="619"/>
      <c r="U292" s="634"/>
    </row>
    <row r="293" spans="1:21" x14ac:dyDescent="0.25">
      <c r="A293" s="23">
        <v>19</v>
      </c>
      <c r="B293" s="702" t="s">
        <v>650</v>
      </c>
      <c r="C293" s="405" t="s">
        <v>845</v>
      </c>
      <c r="D293" s="72">
        <v>0</v>
      </c>
      <c r="E293" s="72">
        <v>0.57999999999999996</v>
      </c>
      <c r="F293" s="72">
        <v>0.57999999999999996</v>
      </c>
      <c r="G293" s="72">
        <v>6.5</v>
      </c>
      <c r="H293" s="22" t="s">
        <v>0</v>
      </c>
      <c r="I293" s="18"/>
      <c r="J293" s="18"/>
      <c r="K293" s="18"/>
      <c r="L293" s="18"/>
      <c r="M293" s="18"/>
      <c r="N293" s="18"/>
      <c r="O293" s="18"/>
      <c r="P293" s="18"/>
      <c r="Q293" s="294">
        <v>80640060799</v>
      </c>
      <c r="R293" s="294">
        <v>80640060799</v>
      </c>
      <c r="T293" s="619"/>
      <c r="U293" s="634"/>
    </row>
    <row r="294" spans="1:21" x14ac:dyDescent="0.25">
      <c r="A294" s="23">
        <v>20</v>
      </c>
      <c r="B294" s="702" t="s">
        <v>651</v>
      </c>
      <c r="C294" s="405" t="s">
        <v>846</v>
      </c>
      <c r="D294" s="72">
        <v>0</v>
      </c>
      <c r="E294" s="72">
        <v>0.71</v>
      </c>
      <c r="F294" s="72">
        <v>0.71</v>
      </c>
      <c r="G294" s="72">
        <v>5</v>
      </c>
      <c r="H294" s="22" t="s">
        <v>4</v>
      </c>
      <c r="I294" s="18"/>
      <c r="J294" s="18"/>
      <c r="K294" s="18"/>
      <c r="L294" s="18"/>
      <c r="M294" s="18"/>
      <c r="N294" s="18"/>
      <c r="O294" s="18"/>
      <c r="P294" s="18"/>
      <c r="Q294" s="294">
        <v>80640030279</v>
      </c>
      <c r="R294" s="294">
        <v>80640030279</v>
      </c>
      <c r="T294" s="619"/>
      <c r="U294" s="634"/>
    </row>
    <row r="295" spans="1:21" x14ac:dyDescent="0.25">
      <c r="A295" s="23">
        <v>21</v>
      </c>
      <c r="B295" s="702" t="s">
        <v>652</v>
      </c>
      <c r="C295" s="405" t="s">
        <v>846</v>
      </c>
      <c r="D295" s="72">
        <v>0</v>
      </c>
      <c r="E295" s="72">
        <v>0.14000000000000001</v>
      </c>
      <c r="F295" s="72">
        <v>0.14000000000000001</v>
      </c>
      <c r="G295" s="72">
        <v>2.5</v>
      </c>
      <c r="H295" s="22" t="s">
        <v>0</v>
      </c>
      <c r="I295" s="18"/>
      <c r="J295" s="18"/>
      <c r="K295" s="18"/>
      <c r="L295" s="18"/>
      <c r="M295" s="18"/>
      <c r="N295" s="18"/>
      <c r="O295" s="18"/>
      <c r="P295" s="18"/>
      <c r="Q295" s="294">
        <v>80640030122</v>
      </c>
      <c r="R295" s="294">
        <v>80640030122</v>
      </c>
      <c r="T295" s="619"/>
      <c r="U295" s="634"/>
    </row>
    <row r="296" spans="1:21" ht="23.25" x14ac:dyDescent="0.25">
      <c r="A296" s="23">
        <v>22</v>
      </c>
      <c r="B296" s="702" t="s">
        <v>653</v>
      </c>
      <c r="C296" s="405" t="s">
        <v>846</v>
      </c>
      <c r="D296" s="72">
        <v>0</v>
      </c>
      <c r="E296" s="72">
        <v>1.35</v>
      </c>
      <c r="F296" s="72">
        <v>1.35</v>
      </c>
      <c r="G296" s="72">
        <v>5</v>
      </c>
      <c r="H296" s="22" t="s">
        <v>4</v>
      </c>
      <c r="I296" s="18"/>
      <c r="J296" s="18"/>
      <c r="K296" s="18"/>
      <c r="L296" s="18"/>
      <c r="M296" s="18"/>
      <c r="N296" s="18"/>
      <c r="O296" s="18"/>
      <c r="P296" s="18"/>
      <c r="Q296" s="294">
        <v>80640060815</v>
      </c>
      <c r="R296" s="294">
        <v>80640040022</v>
      </c>
      <c r="T296" s="619"/>
      <c r="U296" s="634"/>
    </row>
    <row r="297" spans="1:21" x14ac:dyDescent="0.25">
      <c r="A297" s="23">
        <v>23</v>
      </c>
      <c r="B297" s="702" t="s">
        <v>654</v>
      </c>
      <c r="C297" s="405" t="s">
        <v>846</v>
      </c>
      <c r="D297" s="72">
        <v>0</v>
      </c>
      <c r="E297" s="72">
        <v>1</v>
      </c>
      <c r="F297" s="72">
        <v>1</v>
      </c>
      <c r="G297" s="72">
        <v>3</v>
      </c>
      <c r="H297" s="22" t="s">
        <v>0</v>
      </c>
      <c r="I297" s="18"/>
      <c r="J297" s="18"/>
      <c r="K297" s="18"/>
      <c r="L297" s="18"/>
      <c r="M297" s="18"/>
      <c r="N297" s="18"/>
      <c r="O297" s="18"/>
      <c r="P297" s="18"/>
      <c r="Q297" s="294">
        <v>80640030278</v>
      </c>
      <c r="R297" s="294">
        <v>80640030278</v>
      </c>
      <c r="T297" s="619"/>
      <c r="U297" s="634"/>
    </row>
    <row r="298" spans="1:21" x14ac:dyDescent="0.25">
      <c r="A298" s="23">
        <v>24</v>
      </c>
      <c r="B298" s="702" t="s">
        <v>655</v>
      </c>
      <c r="C298" s="405" t="s">
        <v>846</v>
      </c>
      <c r="D298" s="72">
        <v>0</v>
      </c>
      <c r="E298" s="72">
        <v>0.1</v>
      </c>
      <c r="F298" s="72">
        <v>0.1</v>
      </c>
      <c r="G298" s="691">
        <v>3</v>
      </c>
      <c r="H298" s="88" t="s">
        <v>325</v>
      </c>
      <c r="I298" s="18"/>
      <c r="J298" s="18"/>
      <c r="K298" s="18"/>
      <c r="L298" s="18"/>
      <c r="M298" s="18"/>
      <c r="N298" s="18"/>
      <c r="O298" s="18"/>
      <c r="P298" s="18"/>
      <c r="Q298" s="294">
        <v>80640080210</v>
      </c>
      <c r="R298" s="294">
        <v>80640080210</v>
      </c>
      <c r="T298" s="619"/>
      <c r="U298" s="634"/>
    </row>
    <row r="299" spans="1:21" ht="23.25" x14ac:dyDescent="0.25">
      <c r="A299" s="23">
        <v>25</v>
      </c>
      <c r="B299" s="702" t="s">
        <v>656</v>
      </c>
      <c r="C299" s="405" t="s">
        <v>846</v>
      </c>
      <c r="D299" s="72">
        <v>0</v>
      </c>
      <c r="E299" s="72">
        <v>0.8</v>
      </c>
      <c r="F299" s="72">
        <v>0.8</v>
      </c>
      <c r="G299" s="72">
        <v>3.2</v>
      </c>
      <c r="H299" s="22" t="s">
        <v>0</v>
      </c>
      <c r="I299" s="18"/>
      <c r="J299" s="18"/>
      <c r="K299" s="18"/>
      <c r="L299" s="18"/>
      <c r="M299" s="18"/>
      <c r="N299" s="18"/>
      <c r="O299" s="18"/>
      <c r="P299" s="18"/>
      <c r="Q299" s="294">
        <v>80640010135</v>
      </c>
      <c r="R299" s="294">
        <v>80640010135</v>
      </c>
      <c r="T299" s="619"/>
      <c r="U299" s="634"/>
    </row>
    <row r="300" spans="1:21" x14ac:dyDescent="0.25">
      <c r="A300" s="23">
        <v>26</v>
      </c>
      <c r="B300" s="702" t="s">
        <v>657</v>
      </c>
      <c r="C300" s="405" t="s">
        <v>846</v>
      </c>
      <c r="D300" s="72">
        <v>0</v>
      </c>
      <c r="E300" s="72">
        <v>0.08</v>
      </c>
      <c r="F300" s="72">
        <v>0.08</v>
      </c>
      <c r="G300" s="72">
        <v>3.5</v>
      </c>
      <c r="H300" s="22" t="s">
        <v>0</v>
      </c>
      <c r="I300" s="18"/>
      <c r="J300" s="18"/>
      <c r="K300" s="18"/>
      <c r="L300" s="18"/>
      <c r="M300" s="18"/>
      <c r="N300" s="18"/>
      <c r="O300" s="18"/>
      <c r="P300" s="18"/>
      <c r="Q300" s="294">
        <v>80640050218</v>
      </c>
      <c r="R300" s="294">
        <v>80640050207</v>
      </c>
      <c r="T300" s="619"/>
      <c r="U300" s="634"/>
    </row>
    <row r="301" spans="1:21" ht="23.25" x14ac:dyDescent="0.25">
      <c r="A301" s="23">
        <v>27</v>
      </c>
      <c r="B301" s="702" t="s">
        <v>658</v>
      </c>
      <c r="C301" s="405" t="s">
        <v>846</v>
      </c>
      <c r="D301" s="72">
        <v>0</v>
      </c>
      <c r="E301" s="72">
        <v>0.05</v>
      </c>
      <c r="F301" s="72">
        <v>0.05</v>
      </c>
      <c r="G301" s="72">
        <v>3.2</v>
      </c>
      <c r="H301" s="22" t="s">
        <v>0</v>
      </c>
      <c r="I301" s="18"/>
      <c r="J301" s="18"/>
      <c r="K301" s="18"/>
      <c r="L301" s="18"/>
      <c r="M301" s="18"/>
      <c r="N301" s="18"/>
      <c r="O301" s="18"/>
      <c r="P301" s="18"/>
      <c r="Q301" s="294">
        <v>80640061157</v>
      </c>
      <c r="R301" s="294">
        <v>80640020763</v>
      </c>
      <c r="T301" s="619"/>
      <c r="U301" s="634"/>
    </row>
    <row r="302" spans="1:21" x14ac:dyDescent="0.25">
      <c r="A302" s="23">
        <v>28</v>
      </c>
      <c r="B302" s="702" t="s">
        <v>659</v>
      </c>
      <c r="C302" s="405" t="s">
        <v>846</v>
      </c>
      <c r="D302" s="72">
        <v>0</v>
      </c>
      <c r="E302" s="72">
        <v>1.05</v>
      </c>
      <c r="F302" s="72">
        <v>1.05</v>
      </c>
      <c r="G302" s="691">
        <v>4</v>
      </c>
      <c r="H302" s="88" t="s">
        <v>325</v>
      </c>
      <c r="I302" s="18"/>
      <c r="J302" s="18"/>
      <c r="K302" s="18"/>
      <c r="L302" s="18"/>
      <c r="M302" s="18"/>
      <c r="N302" s="18"/>
      <c r="O302" s="18"/>
      <c r="P302" s="18"/>
      <c r="Q302" s="294">
        <v>80640020622</v>
      </c>
      <c r="R302" s="294">
        <v>80640020622</v>
      </c>
      <c r="T302" s="619"/>
      <c r="U302" s="634"/>
    </row>
    <row r="303" spans="1:21" ht="23.25" x14ac:dyDescent="0.25">
      <c r="A303" s="71">
        <v>29</v>
      </c>
      <c r="B303" s="733" t="s">
        <v>660</v>
      </c>
      <c r="C303" s="414" t="s">
        <v>846</v>
      </c>
      <c r="D303" s="72">
        <v>0</v>
      </c>
      <c r="E303" s="72">
        <v>0.13</v>
      </c>
      <c r="F303" s="72">
        <v>0.13</v>
      </c>
      <c r="G303" s="72">
        <v>3</v>
      </c>
      <c r="H303" s="22" t="s">
        <v>0</v>
      </c>
      <c r="I303" s="18"/>
      <c r="J303" s="18"/>
      <c r="K303" s="18"/>
      <c r="L303" s="18"/>
      <c r="M303" s="18"/>
      <c r="N303" s="18"/>
      <c r="O303" s="18"/>
      <c r="P303" s="18"/>
      <c r="Q303" s="294">
        <v>80640010016</v>
      </c>
      <c r="R303" s="294">
        <v>80640010209</v>
      </c>
      <c r="T303" s="619"/>
      <c r="U303" s="634"/>
    </row>
    <row r="304" spans="1:21" x14ac:dyDescent="0.25">
      <c r="A304" s="71">
        <v>30</v>
      </c>
      <c r="B304" s="698" t="s">
        <v>661</v>
      </c>
      <c r="C304" s="476" t="s">
        <v>846</v>
      </c>
      <c r="D304" s="284">
        <v>0</v>
      </c>
      <c r="E304" s="72">
        <v>1.43</v>
      </c>
      <c r="F304" s="72">
        <v>1.43</v>
      </c>
      <c r="G304" s="72">
        <v>4.5</v>
      </c>
      <c r="H304" s="88" t="s">
        <v>325</v>
      </c>
      <c r="I304" s="18"/>
      <c r="J304" s="18"/>
      <c r="K304" s="18"/>
      <c r="L304" s="18"/>
      <c r="M304" s="18"/>
      <c r="N304" s="18"/>
      <c r="O304" s="18"/>
      <c r="P304" s="18"/>
      <c r="Q304" s="294">
        <v>80640020798</v>
      </c>
      <c r="R304" s="294">
        <v>80640020211</v>
      </c>
      <c r="T304" s="619"/>
      <c r="U304" s="634">
        <f>3.1+3.1+4+3.1+4</f>
        <v>17.299999999999997</v>
      </c>
    </row>
    <row r="305" spans="1:32" x14ac:dyDescent="0.25">
      <c r="A305" s="277"/>
      <c r="B305" s="700"/>
      <c r="C305" s="476" t="s">
        <v>846</v>
      </c>
      <c r="D305" s="284">
        <v>1.43</v>
      </c>
      <c r="E305" s="72">
        <v>2.5499999999999998</v>
      </c>
      <c r="F305" s="72">
        <v>1.1200000000000001</v>
      </c>
      <c r="G305" s="72">
        <v>4.5</v>
      </c>
      <c r="H305" s="88" t="s">
        <v>325</v>
      </c>
      <c r="I305" s="18"/>
      <c r="J305" s="18"/>
      <c r="K305" s="18"/>
      <c r="L305" s="18"/>
      <c r="M305" s="18"/>
      <c r="N305" s="18"/>
      <c r="O305" s="18"/>
      <c r="P305" s="18"/>
      <c r="Q305" s="294"/>
      <c r="R305" s="294">
        <v>80640060609</v>
      </c>
      <c r="T305" s="619"/>
      <c r="U305" s="634">
        <f>U304/5</f>
        <v>3.4599999999999995</v>
      </c>
    </row>
    <row r="306" spans="1:32" x14ac:dyDescent="0.25">
      <c r="A306" s="277">
        <v>31</v>
      </c>
      <c r="B306" s="701" t="s">
        <v>662</v>
      </c>
      <c r="C306" s="415" t="s">
        <v>846</v>
      </c>
      <c r="D306" s="72">
        <v>0</v>
      </c>
      <c r="E306" s="72">
        <v>0.71</v>
      </c>
      <c r="F306" s="72">
        <v>0.71</v>
      </c>
      <c r="G306" s="72">
        <v>5</v>
      </c>
      <c r="H306" s="311" t="s">
        <v>325</v>
      </c>
      <c r="I306" s="18"/>
      <c r="J306" s="18"/>
      <c r="K306" s="18"/>
      <c r="L306" s="18"/>
      <c r="M306" s="18"/>
      <c r="N306" s="18"/>
      <c r="O306" s="18"/>
      <c r="P306" s="18"/>
      <c r="Q306" s="294">
        <v>80640010235</v>
      </c>
      <c r="R306" s="294">
        <v>80640010206</v>
      </c>
      <c r="T306" s="619"/>
      <c r="U306" s="634"/>
    </row>
    <row r="307" spans="1:32" x14ac:dyDescent="0.25">
      <c r="A307" s="23">
        <v>32</v>
      </c>
      <c r="B307" s="702" t="s">
        <v>663</v>
      </c>
      <c r="C307" s="405" t="s">
        <v>846</v>
      </c>
      <c r="D307" s="72">
        <v>0</v>
      </c>
      <c r="E307" s="72">
        <v>1.04</v>
      </c>
      <c r="F307" s="72">
        <v>1.04</v>
      </c>
      <c r="G307" s="72">
        <v>3.5</v>
      </c>
      <c r="H307" s="91" t="s">
        <v>325</v>
      </c>
      <c r="I307" s="18"/>
      <c r="J307" s="18"/>
      <c r="K307" s="18"/>
      <c r="L307" s="18"/>
      <c r="M307" s="18"/>
      <c r="N307" s="18"/>
      <c r="O307" s="18"/>
      <c r="P307" s="18"/>
      <c r="Q307" s="294">
        <v>80640020793</v>
      </c>
      <c r="R307" s="294">
        <v>80640020791</v>
      </c>
      <c r="T307" s="619"/>
      <c r="U307" s="634"/>
    </row>
    <row r="308" spans="1:32" ht="23.25" x14ac:dyDescent="0.25">
      <c r="A308" s="71">
        <v>33</v>
      </c>
      <c r="B308" s="733" t="s">
        <v>1086</v>
      </c>
      <c r="C308" s="476" t="s">
        <v>846</v>
      </c>
      <c r="D308" s="90">
        <v>0</v>
      </c>
      <c r="E308" s="90">
        <v>0.5</v>
      </c>
      <c r="F308" s="90">
        <v>0.5</v>
      </c>
      <c r="G308" s="90">
        <v>3.5</v>
      </c>
      <c r="H308" s="91" t="s">
        <v>325</v>
      </c>
      <c r="I308" s="18"/>
      <c r="J308" s="18"/>
      <c r="K308" s="18"/>
      <c r="L308" s="18"/>
      <c r="M308" s="18"/>
      <c r="N308" s="18"/>
      <c r="O308" s="18"/>
      <c r="P308" s="18"/>
      <c r="Q308" s="454" t="s">
        <v>859</v>
      </c>
      <c r="R308" s="294">
        <v>80640020795</v>
      </c>
      <c r="T308" s="621"/>
      <c r="U308" s="634"/>
    </row>
    <row r="309" spans="1:32" ht="23.25" x14ac:dyDescent="0.25">
      <c r="A309" s="71">
        <v>34</v>
      </c>
      <c r="B309" s="698" t="s">
        <v>1087</v>
      </c>
      <c r="C309" s="480" t="s">
        <v>846</v>
      </c>
      <c r="D309" s="90">
        <v>0</v>
      </c>
      <c r="E309" s="90">
        <v>0.14000000000000001</v>
      </c>
      <c r="F309" s="90">
        <v>0.14000000000000001</v>
      </c>
      <c r="G309" s="90">
        <v>3.5</v>
      </c>
      <c r="H309" s="91" t="s">
        <v>0</v>
      </c>
      <c r="I309" s="18"/>
      <c r="J309" s="18"/>
      <c r="K309" s="18"/>
      <c r="L309" s="18"/>
      <c r="M309" s="18"/>
      <c r="N309" s="18"/>
      <c r="O309" s="18"/>
      <c r="P309" s="18"/>
      <c r="Q309" s="454" t="s">
        <v>859</v>
      </c>
      <c r="R309" s="295" t="s">
        <v>1088</v>
      </c>
      <c r="S309" s="569"/>
      <c r="T309" s="621"/>
      <c r="U309" s="634"/>
    </row>
    <row r="310" spans="1:32" ht="45.75" x14ac:dyDescent="0.25">
      <c r="A310" s="281"/>
      <c r="B310" s="704"/>
      <c r="C310" s="480"/>
      <c r="D310" s="72"/>
      <c r="E310" s="72"/>
      <c r="F310" s="72"/>
      <c r="G310" s="72"/>
      <c r="H310" s="91"/>
      <c r="I310" s="18"/>
      <c r="J310" s="18"/>
      <c r="K310" s="18"/>
      <c r="L310" s="18"/>
      <c r="M310" s="18"/>
      <c r="N310" s="18"/>
      <c r="O310" s="18"/>
      <c r="P310" s="18"/>
      <c r="Q310" s="19">
        <v>80640020677</v>
      </c>
      <c r="R310" s="295" t="s">
        <v>1090</v>
      </c>
      <c r="T310" s="621"/>
      <c r="U310" s="634"/>
    </row>
    <row r="311" spans="1:32" ht="45" x14ac:dyDescent="0.25">
      <c r="A311" s="281"/>
      <c r="B311" s="704"/>
      <c r="C311" s="480" t="s">
        <v>846</v>
      </c>
      <c r="D311" s="90">
        <v>0.14000000000000001</v>
      </c>
      <c r="E311" s="90">
        <f>D311+F311</f>
        <v>0.32</v>
      </c>
      <c r="F311" s="90">
        <v>0.18</v>
      </c>
      <c r="G311" s="90">
        <v>4</v>
      </c>
      <c r="H311" s="91" t="s">
        <v>0</v>
      </c>
      <c r="I311" s="18"/>
      <c r="J311" s="18"/>
      <c r="K311" s="18"/>
      <c r="L311" s="18"/>
      <c r="M311" s="18"/>
      <c r="N311" s="18"/>
      <c r="O311" s="18"/>
      <c r="P311" s="18"/>
      <c r="Q311" s="12" t="s">
        <v>1089</v>
      </c>
      <c r="R311" s="295"/>
      <c r="T311" s="621"/>
      <c r="U311" s="634"/>
    </row>
    <row r="312" spans="1:32" ht="22.5" x14ac:dyDescent="0.25">
      <c r="A312" s="277"/>
      <c r="B312" s="700"/>
      <c r="C312" s="480" t="s">
        <v>846</v>
      </c>
      <c r="D312" s="90">
        <v>0.32</v>
      </c>
      <c r="E312" s="90">
        <f>D312+F312</f>
        <v>0.46</v>
      </c>
      <c r="F312" s="90">
        <v>0.14000000000000001</v>
      </c>
      <c r="G312" s="90">
        <v>3.5</v>
      </c>
      <c r="H312" s="91" t="s">
        <v>0</v>
      </c>
      <c r="I312" s="18"/>
      <c r="J312" s="18"/>
      <c r="K312" s="18"/>
      <c r="L312" s="18"/>
      <c r="M312" s="18"/>
      <c r="N312" s="18"/>
      <c r="O312" s="18"/>
      <c r="P312" s="18"/>
      <c r="Q312" s="454" t="s">
        <v>859</v>
      </c>
      <c r="R312" s="12" t="s">
        <v>1091</v>
      </c>
      <c r="T312" s="621"/>
      <c r="U312" s="634"/>
      <c r="AA312" t="s">
        <v>1097</v>
      </c>
    </row>
    <row r="313" spans="1:32" ht="23.25" x14ac:dyDescent="0.25">
      <c r="A313" s="45"/>
      <c r="B313" s="481"/>
      <c r="C313" s="618"/>
      <c r="D313" s="619"/>
      <c r="E313" s="619"/>
      <c r="F313" s="619"/>
      <c r="G313" s="619"/>
      <c r="H313" s="620"/>
      <c r="I313" s="621"/>
      <c r="J313" s="621"/>
      <c r="K313" s="53" t="s">
        <v>268</v>
      </c>
      <c r="L313" s="50">
        <f>SUM(L251:L307)</f>
        <v>0</v>
      </c>
      <c r="M313" s="50">
        <f>SUM(M251:M307)</f>
        <v>0</v>
      </c>
      <c r="N313" s="55"/>
      <c r="O313" s="53" t="s">
        <v>269</v>
      </c>
      <c r="P313" s="50">
        <f>SUM(P251:P307)</f>
        <v>0</v>
      </c>
      <c r="Q313" s="623"/>
      <c r="R313" s="622"/>
      <c r="S313" s="102"/>
      <c r="T313" s="625" t="s">
        <v>1092</v>
      </c>
      <c r="U313" s="625" t="s">
        <v>1093</v>
      </c>
      <c r="V313" s="625" t="s">
        <v>1094</v>
      </c>
      <c r="W313" s="625" t="s">
        <v>1095</v>
      </c>
      <c r="X313" s="625" t="s">
        <v>1096</v>
      </c>
      <c r="Y313" s="627" t="s">
        <v>269</v>
      </c>
      <c r="Z313" s="102"/>
      <c r="AA313" s="625" t="s">
        <v>1092</v>
      </c>
      <c r="AB313" s="625" t="s">
        <v>1093</v>
      </c>
      <c r="AC313" s="625" t="s">
        <v>1094</v>
      </c>
      <c r="AD313" s="625" t="s">
        <v>1095</v>
      </c>
      <c r="AE313" s="625" t="s">
        <v>1096</v>
      </c>
      <c r="AF313" s="627" t="s">
        <v>269</v>
      </c>
    </row>
    <row r="314" spans="1:32" x14ac:dyDescent="0.25">
      <c r="C314" s="438"/>
      <c r="S314" s="628" t="s">
        <v>844</v>
      </c>
      <c r="T314" s="625" t="s">
        <v>231</v>
      </c>
      <c r="U314" s="625" t="s">
        <v>231</v>
      </c>
      <c r="V314" s="625" t="s">
        <v>231</v>
      </c>
      <c r="W314" s="625" t="s">
        <v>231</v>
      </c>
      <c r="X314" s="625" t="s">
        <v>231</v>
      </c>
      <c r="Y314" s="626" t="s">
        <v>231</v>
      </c>
      <c r="Z314" s="628"/>
      <c r="AA314" s="625" t="s">
        <v>231</v>
      </c>
      <c r="AB314" s="625" t="s">
        <v>231</v>
      </c>
      <c r="AC314" s="625" t="s">
        <v>231</v>
      </c>
      <c r="AD314" s="625" t="s">
        <v>231</v>
      </c>
      <c r="AE314" s="625" t="s">
        <v>231</v>
      </c>
      <c r="AF314" s="626" t="s">
        <v>231</v>
      </c>
    </row>
    <row r="315" spans="1:32" s="1" customFormat="1" ht="11.25" x14ac:dyDescent="0.2">
      <c r="A315" s="46" t="s">
        <v>628</v>
      </c>
      <c r="B315" s="47"/>
      <c r="C315" s="47"/>
      <c r="D315" s="48"/>
      <c r="E315" s="49"/>
      <c r="F315" s="50">
        <f>SUM(F251:F312)</f>
        <v>27.270000000000003</v>
      </c>
      <c r="G315" s="688"/>
      <c r="H315" s="51"/>
      <c r="I315" s="40"/>
      <c r="J315" s="52"/>
      <c r="Q315" s="55"/>
      <c r="S315" s="616" t="s">
        <v>847</v>
      </c>
      <c r="T315" s="624">
        <f>SUMIFS(F239:F312,C239:C312,"A",H239:H312,"melnais")</f>
        <v>0</v>
      </c>
      <c r="U315" s="624">
        <f>SUMIFS(F239:F312,C239:C312,"A",H239:H312,"dubultā virsma")</f>
        <v>0</v>
      </c>
      <c r="V315" s="624">
        <f>SUMIFS(F239:F312,C239:C312,"A",H239:H312,"bruģis")</f>
        <v>0</v>
      </c>
      <c r="W315" s="624">
        <f>SUMIFS(F239:F312,C239:C312,"A",H239:H312,"grants")</f>
        <v>0</v>
      </c>
      <c r="X315" s="624">
        <f>SUMIFS(F239:F312,C239:C312,"A",H239:H312,"cits segums")</f>
        <v>0</v>
      </c>
      <c r="Y315" s="624">
        <f>SUM(T315:X315)</f>
        <v>0</v>
      </c>
      <c r="Z315" s="616" t="s">
        <v>847</v>
      </c>
      <c r="AA315" s="614">
        <f>SUMIFS(F239:F312,C239:C312,"A",H239:H312,"melnais", Q239:Q312,"Nepiederošs")</f>
        <v>0</v>
      </c>
      <c r="AB315" s="614">
        <f>SUMIFS(F239:F312,C239:C312,"A",H239:H312,"dubultā virsma", Q239:Q312,"Nepiederošs")</f>
        <v>0</v>
      </c>
      <c r="AC315" s="614">
        <f>SUMIFS(F239:F312,C239:C312,"A",H239:H312,"bruģis", Q239:Q312,"Nepiederošs")</f>
        <v>0</v>
      </c>
      <c r="AD315" s="614">
        <f>SUMIFS(F239:F312,C239:C312,"A",H239:H312,"grants", Q239:Q312,"Nepiederošs")</f>
        <v>0</v>
      </c>
      <c r="AE315" s="614">
        <f>SUMIFS(F239:F312,C239:C312,"A",H239:H312,"cits segums", Q239:Q312,"Nepiederošs")</f>
        <v>0</v>
      </c>
      <c r="AF315" s="614">
        <f>SUM(AA315:AE315)</f>
        <v>0</v>
      </c>
    </row>
    <row r="316" spans="1:32" s="1" customFormat="1" ht="11.25" x14ac:dyDescent="0.2">
      <c r="A316" s="56" t="s">
        <v>270</v>
      </c>
      <c r="B316" s="57"/>
      <c r="C316" s="57"/>
      <c r="D316" s="58"/>
      <c r="E316" s="59"/>
      <c r="F316" s="266">
        <f>SUMIFS(F251:F312,H251:H312,"melnais")</f>
        <v>3.4200000000000004</v>
      </c>
      <c r="G316" s="632"/>
      <c r="H316" s="61"/>
      <c r="I316" s="62"/>
      <c r="J316" s="55"/>
      <c r="K316" s="63"/>
      <c r="L316" s="64"/>
      <c r="M316" s="64"/>
      <c r="N316" s="55"/>
      <c r="O316" s="55"/>
      <c r="P316" s="55"/>
      <c r="Q316" s="55"/>
      <c r="S316" s="617" t="s">
        <v>848</v>
      </c>
      <c r="T316" s="624">
        <f>SUMIFS(F239:F312,C239:C312,"B",H239:H312,"melnais")</f>
        <v>0</v>
      </c>
      <c r="U316" s="624">
        <f>SUMIFS(F239:F312,C239:C312,"B",H239:H312,"dubultā virsma")</f>
        <v>0</v>
      </c>
      <c r="V316" s="624">
        <f>SUMIFS(F239:F312,C239:C312,"B",H239:H312,"bruģis")</f>
        <v>0</v>
      </c>
      <c r="W316" s="624">
        <f>SUMIFS(F239:F312,C239:C312,"B",H239:H312,"grants")</f>
        <v>0</v>
      </c>
      <c r="X316" s="624">
        <f>SUMIFS(F239:F312,C239:C312,"B",H239:H312,"cits segums")</f>
        <v>0</v>
      </c>
      <c r="Y316" s="624">
        <f t="shared" ref="Y316:Y318" si="40">SUM(T316:X316)</f>
        <v>0</v>
      </c>
      <c r="Z316" s="617" t="s">
        <v>848</v>
      </c>
      <c r="AA316" s="614">
        <f>SUMIFS(F239:F312,C239:C312,"B",H239:H312,"melnais", Q239:Q312,"Nepiederošs")</f>
        <v>0</v>
      </c>
      <c r="AB316" s="614">
        <f>SUMIFS(F239:F312,C239:C312,"B",H239:H312,"dubultā virsma", Q239:Q312,"Nepiederošs")</f>
        <v>0</v>
      </c>
      <c r="AC316" s="614">
        <f>SUMIFS(F239:F312,C239:C312,"B",H239:H312,"bruģis", Q239:Q312,"Nepiederošs")</f>
        <v>0</v>
      </c>
      <c r="AD316" s="614">
        <f>SUMIFS(F239:F312,C239:C312,"B",H239:H312,"grants", Q239:Q312,"Nepiederošs")</f>
        <v>0</v>
      </c>
      <c r="AE316" s="614">
        <f>SUMIFS(F239:F312,C239:C312,"B",H239:H312,"cits segums", Q239:Q312,"Nepiederošs")</f>
        <v>0</v>
      </c>
      <c r="AF316" s="614">
        <f t="shared" ref="AF316:AF318" si="41">SUM(AA316:AE316)</f>
        <v>0</v>
      </c>
    </row>
    <row r="317" spans="1:32" s="1" customFormat="1" ht="11.25" x14ac:dyDescent="0.2">
      <c r="A317" s="56" t="s">
        <v>271</v>
      </c>
      <c r="B317" s="57"/>
      <c r="C317" s="57"/>
      <c r="D317" s="58"/>
      <c r="E317" s="59"/>
      <c r="F317" s="266">
        <f>SUMIFS(F251:F313,H251:H313,"bruģis")</f>
        <v>0</v>
      </c>
      <c r="G317" s="632"/>
      <c r="H317" s="65"/>
      <c r="I317" s="40"/>
      <c r="J317" s="66"/>
      <c r="K317" s="67"/>
      <c r="L317" s="67"/>
      <c r="M317" s="67"/>
      <c r="N317" s="68"/>
      <c r="O317" s="55"/>
      <c r="P317" s="55"/>
      <c r="Q317" s="55"/>
      <c r="S317" s="615" t="s">
        <v>845</v>
      </c>
      <c r="T317" s="624">
        <f>SUMIFS(F239:F312,C239:C312,"C",H239:H312,"melnais")</f>
        <v>0</v>
      </c>
      <c r="U317" s="624">
        <f>SUMIFS(F239:F312,C239:C312,"C",H239:H312,"dubultā virsma")</f>
        <v>0</v>
      </c>
      <c r="V317" s="624">
        <f>SUMIFS(F239:F312,C239:C312,"C",H239:H312,"bruģis")</f>
        <v>0</v>
      </c>
      <c r="W317" s="624">
        <f>SUMIFS(F251:F312,C251:C312,"C",H251:H312,"grants")</f>
        <v>6.3400000000000007</v>
      </c>
      <c r="X317" s="624">
        <f>SUMIFS(F239:F312,C239:C312,"C",H239:H312,"cits segums")</f>
        <v>0.19</v>
      </c>
      <c r="Y317" s="624">
        <f>SUM(T317:X317)</f>
        <v>6.5300000000000011</v>
      </c>
      <c r="Z317" s="615" t="s">
        <v>845</v>
      </c>
      <c r="AA317" s="614">
        <f>SUMIFS(F239:F312,C239:C312,"C",H239:H312,"melnais", Q239:Q312,"Nepiederošs")</f>
        <v>0</v>
      </c>
      <c r="AB317" s="614">
        <f>SUMIFS(F239:F312,C239:C312,"C",H239:H312,"dubultā virsma", Q239:Q312,"Nepiederošs")</f>
        <v>0</v>
      </c>
      <c r="AC317" s="614">
        <f>SUMIFS(F239:F312,C239:C312,"C",H239:H312,"bruģis", Q239:Q312,"Nepiederošs")</f>
        <v>0</v>
      </c>
      <c r="AD317" s="614">
        <f>SUMIFS(F251:F312,C251:C312,"C",H251:H312,"grants", Q251:Q312,"Nepiederošs")</f>
        <v>0.64000000000000012</v>
      </c>
      <c r="AE317" s="614">
        <f>SUMIFS(F239:F312,C239:C312,"C",H239:H312,"cits segums", Q239:Q312,"Nepiederošs")</f>
        <v>0</v>
      </c>
      <c r="AF317" s="614">
        <f t="shared" si="41"/>
        <v>0.64000000000000012</v>
      </c>
    </row>
    <row r="318" spans="1:32" s="1" customFormat="1" ht="11.25" x14ac:dyDescent="0.2">
      <c r="A318" s="56" t="s">
        <v>272</v>
      </c>
      <c r="B318" s="57"/>
      <c r="C318" s="57"/>
      <c r="D318" s="58"/>
      <c r="E318" s="59"/>
      <c r="F318" s="266">
        <f>SUMIFS(F251:F312,H251:H312,"grants")</f>
        <v>17.55</v>
      </c>
      <c r="G318" s="632"/>
      <c r="H318" s="65"/>
      <c r="I318" s="65"/>
      <c r="J318" s="66"/>
      <c r="K318" s="67"/>
      <c r="L318" s="67"/>
      <c r="M318" s="67"/>
      <c r="N318" s="68"/>
      <c r="O318" s="55"/>
      <c r="P318" s="55"/>
      <c r="Q318" s="55"/>
      <c r="S318" s="616" t="s">
        <v>846</v>
      </c>
      <c r="T318" s="624">
        <f>SUMIFS(F239:F312,C239:C312,"D",H239:H312,"melnais")</f>
        <v>3.4200000000000004</v>
      </c>
      <c r="U318" s="624">
        <f>SUMIFS(F239:F312,C239:C312,"D",H239:H312,"dubultā virsma")</f>
        <v>0</v>
      </c>
      <c r="V318" s="624">
        <f>SUMIFS(F239:F312,C239:C312,"D",H239:H312,"bruģis")</f>
        <v>0</v>
      </c>
      <c r="W318" s="624">
        <f>SUMIFS(F251:F312,C251:C312,"D",H251:H312,"grants")</f>
        <v>11.210000000000006</v>
      </c>
      <c r="X318" s="624">
        <f>SUMIFS(F239:F312,C239:C312,"D",H239:H312,"cits segums")</f>
        <v>6.11</v>
      </c>
      <c r="Y318" s="624">
        <f t="shared" si="40"/>
        <v>20.740000000000006</v>
      </c>
      <c r="Z318" s="616" t="s">
        <v>846</v>
      </c>
      <c r="AA318" s="614">
        <f>SUMIFS(F239:F312,C239:C312,"D",H239:H312,"melnais", Q239:Q312,"Nepiederošs")</f>
        <v>0.18</v>
      </c>
      <c r="AB318" s="614">
        <f>SUMIFS(F239:F312,C239:C312,"D",H239:H312,"dubultā virsma", Q239:Q312,"Nepiederošs")</f>
        <v>0</v>
      </c>
      <c r="AC318" s="614">
        <f>SUMIFS(F239:F312,C239:C312,"D",H239:H312,"bruģis", Q239:Q312,"Nepiederošs")</f>
        <v>0</v>
      </c>
      <c r="AD318" s="614">
        <f>SUMIFS(F251:F312,C251:C312,"D",H251:H312,"grants", Q251:Q312,"Nepiederošs")</f>
        <v>1.77</v>
      </c>
      <c r="AE318" s="614">
        <f>SUMIFS(F239:F312,C239:C312,"D",H239:H312,"cits segums", Q239:Q312,"Nepiederošs")</f>
        <v>0.5</v>
      </c>
      <c r="AF318" s="614">
        <f t="shared" si="41"/>
        <v>2.4500000000000002</v>
      </c>
    </row>
    <row r="319" spans="1:32" s="1" customFormat="1" x14ac:dyDescent="0.25">
      <c r="A319" s="56" t="s">
        <v>273</v>
      </c>
      <c r="B319" s="57"/>
      <c r="C319" s="57"/>
      <c r="D319" s="58"/>
      <c r="E319" s="59"/>
      <c r="F319" s="266">
        <f>SUMIFS(F251:F312,H251:H312,"cits segums")</f>
        <v>6.3</v>
      </c>
      <c r="G319" s="632"/>
      <c r="H319" s="69"/>
      <c r="I319" s="65"/>
      <c r="J319" s="70"/>
      <c r="K319" s="67"/>
      <c r="L319" s="67"/>
      <c r="M319" s="67"/>
      <c r="N319" s="68"/>
      <c r="O319" s="55"/>
      <c r="P319" s="55"/>
      <c r="Q319" s="55"/>
      <c r="S319"/>
      <c r="T319" s="630">
        <f>SUM(T315:T318)</f>
        <v>3.4200000000000004</v>
      </c>
      <c r="U319" s="630">
        <f t="shared" ref="U319" si="42">SUM(U315:U318)</f>
        <v>0</v>
      </c>
      <c r="V319" s="630">
        <f t="shared" ref="V319" si="43">SUM(V315:V318)</f>
        <v>0</v>
      </c>
      <c r="W319" s="630">
        <f t="shared" ref="W319" si="44">SUM(W315:W318)</f>
        <v>17.550000000000008</v>
      </c>
      <c r="X319" s="630">
        <f t="shared" ref="X319" si="45">SUM(X315:X318)</f>
        <v>6.3000000000000007</v>
      </c>
      <c r="Y319" s="630">
        <f t="shared" ref="Y319" si="46">SUM(Y315:Y318)</f>
        <v>27.270000000000007</v>
      </c>
      <c r="Z319"/>
      <c r="AA319" s="629">
        <f>SUM(AA315:AA318)</f>
        <v>0.18</v>
      </c>
      <c r="AB319" s="629">
        <f t="shared" ref="AB319" si="47">SUM(AB315:AB318)</f>
        <v>0</v>
      </c>
      <c r="AC319" s="629">
        <f>SUM(AC315:AC318)</f>
        <v>0</v>
      </c>
      <c r="AD319" s="629">
        <f t="shared" ref="AD319" si="48">SUM(AD315:AD318)</f>
        <v>2.41</v>
      </c>
      <c r="AE319" s="629">
        <f t="shared" ref="AE319" si="49">SUM(AE315:AE318)</f>
        <v>0.5</v>
      </c>
      <c r="AF319" s="629">
        <f t="shared" ref="AF319" si="50">SUM(AF315:AF318)</f>
        <v>3.0900000000000003</v>
      </c>
    </row>
    <row r="320" spans="1:32" x14ac:dyDescent="0.25">
      <c r="C320" s="438"/>
      <c r="Z320" s="633"/>
    </row>
    <row r="321" spans="1:26" s="32" customFormat="1" ht="15" customHeight="1" x14ac:dyDescent="0.25">
      <c r="A321" s="33"/>
      <c r="B321" s="33"/>
      <c r="C321" s="33"/>
      <c r="D321" s="781" t="s">
        <v>1054</v>
      </c>
      <c r="E321" s="781"/>
      <c r="F321" s="781"/>
      <c r="G321" s="781"/>
      <c r="H321" s="781"/>
      <c r="I321" s="781"/>
      <c r="J321" s="781"/>
      <c r="K321" s="781"/>
      <c r="L321" s="781"/>
      <c r="M321" s="781"/>
      <c r="N321" s="781"/>
      <c r="O321" s="781"/>
      <c r="P321" s="781"/>
      <c r="Q321" s="30"/>
      <c r="R321" s="37"/>
      <c r="T321" s="631"/>
      <c r="W321" s="631"/>
      <c r="X321" s="631"/>
      <c r="Z321" s="631"/>
    </row>
    <row r="322" spans="1:26" s="32" customFormat="1" ht="11.25" x14ac:dyDescent="0.25">
      <c r="A322" s="33"/>
      <c r="B322" s="33"/>
      <c r="C322" s="33"/>
      <c r="D322" s="38"/>
      <c r="E322" s="29"/>
      <c r="F322" s="29"/>
      <c r="G322" s="29"/>
      <c r="H322" s="30"/>
      <c r="I322" s="28"/>
      <c r="J322" s="28"/>
      <c r="K322" s="28"/>
      <c r="L322" s="28"/>
      <c r="M322" s="28"/>
      <c r="N322" s="39"/>
      <c r="O322" s="39"/>
      <c r="P322" s="28"/>
      <c r="Q322" s="28"/>
      <c r="R322" s="37"/>
    </row>
    <row r="323" spans="1:26" s="40" customFormat="1" ht="5.25" customHeight="1" x14ac:dyDescent="0.2">
      <c r="A323" s="44"/>
      <c r="B323" s="44"/>
      <c r="C323" s="39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</row>
    <row r="324" spans="1:26" s="40" customFormat="1" ht="12.75" customHeight="1" x14ac:dyDescent="0.2">
      <c r="A324" s="782" t="s">
        <v>244</v>
      </c>
      <c r="B324" s="790" t="s">
        <v>245</v>
      </c>
      <c r="C324" s="413"/>
      <c r="D324" s="793" t="s">
        <v>246</v>
      </c>
      <c r="E324" s="794"/>
      <c r="F324" s="794"/>
      <c r="G324" s="794"/>
      <c r="H324" s="794"/>
      <c r="I324" s="794"/>
      <c r="J324" s="794"/>
      <c r="K324" s="794"/>
      <c r="L324" s="794"/>
      <c r="M324" s="794"/>
      <c r="N324" s="794"/>
      <c r="O324" s="794"/>
      <c r="P324" s="784"/>
      <c r="Q324" s="795" t="s">
        <v>247</v>
      </c>
      <c r="R324" s="796"/>
    </row>
    <row r="325" spans="1:26" s="40" customFormat="1" ht="12.75" customHeight="1" x14ac:dyDescent="0.2">
      <c r="A325" s="782"/>
      <c r="B325" s="791"/>
      <c r="C325" s="395"/>
      <c r="D325" s="785" t="s">
        <v>248</v>
      </c>
      <c r="E325" s="785"/>
      <c r="F325" s="785"/>
      <c r="G325" s="785"/>
      <c r="H325" s="785"/>
      <c r="I325" s="788" t="s">
        <v>249</v>
      </c>
      <c r="J325" s="788"/>
      <c r="K325" s="788"/>
      <c r="L325" s="788"/>
      <c r="M325" s="788"/>
      <c r="N325" s="788"/>
      <c r="O325" s="788"/>
      <c r="P325" s="801" t="s">
        <v>250</v>
      </c>
      <c r="Q325" s="797"/>
      <c r="R325" s="798"/>
    </row>
    <row r="326" spans="1:26" s="40" customFormat="1" ht="15.2" customHeight="1" x14ac:dyDescent="0.2">
      <c r="A326" s="782"/>
      <c r="B326" s="791"/>
      <c r="C326" s="395"/>
      <c r="D326" s="785" t="s">
        <v>251</v>
      </c>
      <c r="E326" s="785"/>
      <c r="F326" s="786" t="s">
        <v>252</v>
      </c>
      <c r="G326" s="786" t="s">
        <v>881</v>
      </c>
      <c r="H326" s="782" t="s">
        <v>253</v>
      </c>
      <c r="I326" s="789" t="s">
        <v>254</v>
      </c>
      <c r="J326" s="788" t="s">
        <v>255</v>
      </c>
      <c r="K326" s="788"/>
      <c r="L326" s="787" t="s">
        <v>256</v>
      </c>
      <c r="M326" s="787" t="s">
        <v>257</v>
      </c>
      <c r="N326" s="787" t="s">
        <v>258</v>
      </c>
      <c r="O326" s="787" t="s">
        <v>259</v>
      </c>
      <c r="P326" s="799"/>
      <c r="Q326" s="799" t="s">
        <v>260</v>
      </c>
      <c r="R326" s="791" t="s">
        <v>261</v>
      </c>
    </row>
    <row r="327" spans="1:26" s="40" customFormat="1" ht="59.25" customHeight="1" x14ac:dyDescent="0.2">
      <c r="A327" s="782"/>
      <c r="B327" s="792"/>
      <c r="C327" s="432" t="s">
        <v>844</v>
      </c>
      <c r="D327" s="92" t="s">
        <v>262</v>
      </c>
      <c r="E327" s="92" t="s">
        <v>263</v>
      </c>
      <c r="F327" s="786"/>
      <c r="G327" s="786"/>
      <c r="H327" s="782"/>
      <c r="I327" s="789"/>
      <c r="J327" s="93" t="s">
        <v>231</v>
      </c>
      <c r="K327" s="93" t="s">
        <v>264</v>
      </c>
      <c r="L327" s="787"/>
      <c r="M327" s="787"/>
      <c r="N327" s="787"/>
      <c r="O327" s="787"/>
      <c r="P327" s="800"/>
      <c r="Q327" s="800"/>
      <c r="R327" s="792"/>
    </row>
    <row r="328" spans="1:26" s="41" customFormat="1" ht="12" customHeight="1" x14ac:dyDescent="0.25">
      <c r="A328" s="276">
        <v>1</v>
      </c>
      <c r="B328" s="276">
        <v>2</v>
      </c>
      <c r="C328" s="276"/>
      <c r="D328" s="276">
        <v>3</v>
      </c>
      <c r="E328" s="276">
        <v>4</v>
      </c>
      <c r="F328" s="276">
        <v>5</v>
      </c>
      <c r="G328" s="42">
        <v>5.0999999999999996</v>
      </c>
      <c r="H328" s="276">
        <v>6</v>
      </c>
      <c r="I328" s="292">
        <v>7</v>
      </c>
      <c r="J328" s="292">
        <v>8</v>
      </c>
      <c r="K328" s="292">
        <v>9</v>
      </c>
      <c r="L328" s="292">
        <v>10</v>
      </c>
      <c r="M328" s="292">
        <v>11</v>
      </c>
      <c r="N328" s="292">
        <v>12</v>
      </c>
      <c r="O328" s="292">
        <v>13</v>
      </c>
      <c r="P328" s="292">
        <v>14</v>
      </c>
      <c r="Q328" s="292">
        <v>15</v>
      </c>
      <c r="R328" s="276">
        <v>16</v>
      </c>
    </row>
    <row r="329" spans="1:26" ht="23.25" x14ac:dyDescent="0.25">
      <c r="A329" s="76">
        <v>1</v>
      </c>
      <c r="B329" s="717" t="s">
        <v>690</v>
      </c>
      <c r="C329" s="354" t="s">
        <v>846</v>
      </c>
      <c r="D329" s="358">
        <v>0</v>
      </c>
      <c r="E329" s="340">
        <v>1.22</v>
      </c>
      <c r="F329" s="341">
        <v>1.2</v>
      </c>
      <c r="G329" s="341">
        <v>3.5</v>
      </c>
      <c r="H329" s="315" t="s">
        <v>0</v>
      </c>
      <c r="I329" s="342" t="s">
        <v>668</v>
      </c>
      <c r="J329" s="342">
        <v>3.2000000000000001E-2</v>
      </c>
      <c r="K329" s="345" t="s">
        <v>669</v>
      </c>
      <c r="L329" s="342">
        <v>18</v>
      </c>
      <c r="M329" s="342">
        <v>126</v>
      </c>
      <c r="N329" s="342"/>
      <c r="O329" s="342" t="s">
        <v>667</v>
      </c>
      <c r="P329" s="342"/>
      <c r="Q329" s="324">
        <v>80680070499</v>
      </c>
      <c r="R329" s="324">
        <v>80680070472</v>
      </c>
    </row>
    <row r="330" spans="1:26" x14ac:dyDescent="0.25">
      <c r="A330" s="89"/>
      <c r="B330" s="715"/>
      <c r="C330" s="354" t="s">
        <v>846</v>
      </c>
      <c r="D330" s="358">
        <v>1.22</v>
      </c>
      <c r="E330" s="340">
        <v>1.85</v>
      </c>
      <c r="F330" s="341">
        <v>0.63</v>
      </c>
      <c r="G330" s="341">
        <v>3.5</v>
      </c>
      <c r="H330" s="315" t="s">
        <v>0</v>
      </c>
      <c r="I330" s="315"/>
      <c r="J330" s="315"/>
      <c r="K330" s="345"/>
      <c r="L330" s="315"/>
      <c r="M330" s="315"/>
      <c r="N330" s="315"/>
      <c r="O330" s="315"/>
      <c r="P330" s="315"/>
      <c r="Q330" s="324">
        <v>80680070074</v>
      </c>
      <c r="R330" s="324">
        <v>80680070424</v>
      </c>
    </row>
    <row r="331" spans="1:26" x14ac:dyDescent="0.25">
      <c r="A331" s="89"/>
      <c r="B331" s="715"/>
      <c r="C331" s="354" t="s">
        <v>846</v>
      </c>
      <c r="D331" s="358">
        <v>1.85</v>
      </c>
      <c r="E331" s="340">
        <v>2.95</v>
      </c>
      <c r="F331" s="341">
        <v>1.1000000000000001</v>
      </c>
      <c r="G331" s="341">
        <v>3.8</v>
      </c>
      <c r="H331" s="315" t="s">
        <v>0</v>
      </c>
      <c r="I331" s="315"/>
      <c r="J331" s="315"/>
      <c r="K331" s="315"/>
      <c r="L331" s="315"/>
      <c r="M331" s="315"/>
      <c r="N331" s="315"/>
      <c r="O331" s="315"/>
      <c r="P331" s="315"/>
      <c r="Q331" s="324">
        <v>80680070499</v>
      </c>
      <c r="R331" s="324">
        <v>80680070499</v>
      </c>
    </row>
    <row r="332" spans="1:26" ht="23.25" x14ac:dyDescent="0.25">
      <c r="A332" s="76">
        <v>2</v>
      </c>
      <c r="B332" s="717" t="s">
        <v>691</v>
      </c>
      <c r="C332" s="354" t="s">
        <v>846</v>
      </c>
      <c r="D332" s="358">
        <v>0</v>
      </c>
      <c r="E332" s="340">
        <v>1.7</v>
      </c>
      <c r="F332" s="341">
        <v>1.7</v>
      </c>
      <c r="G332" s="341">
        <v>4</v>
      </c>
      <c r="H332" s="315" t="s">
        <v>0</v>
      </c>
      <c r="I332" s="315"/>
      <c r="J332" s="315"/>
      <c r="K332" s="315"/>
      <c r="L332" s="315"/>
      <c r="M332" s="315"/>
      <c r="N332" s="315"/>
      <c r="O332" s="315"/>
      <c r="P332" s="315"/>
      <c r="Q332" s="324"/>
      <c r="R332" s="343">
        <v>80680070592001</v>
      </c>
    </row>
    <row r="333" spans="1:26" x14ac:dyDescent="0.25">
      <c r="A333" s="89"/>
      <c r="B333" s="715"/>
      <c r="C333" s="354" t="s">
        <v>846</v>
      </c>
      <c r="D333" s="358">
        <v>1.7</v>
      </c>
      <c r="E333" s="340">
        <v>3.24</v>
      </c>
      <c r="F333" s="341">
        <v>1.54</v>
      </c>
      <c r="G333" s="341">
        <v>3.5</v>
      </c>
      <c r="H333" s="334" t="s">
        <v>0</v>
      </c>
      <c r="I333" s="334"/>
      <c r="J333" s="334"/>
      <c r="K333" s="334"/>
      <c r="L333" s="334"/>
      <c r="M333" s="334"/>
      <c r="N333" s="334"/>
      <c r="O333" s="334"/>
      <c r="P333" s="334"/>
      <c r="Q333" s="324">
        <v>80680070536</v>
      </c>
      <c r="R333" s="324">
        <v>80680070544</v>
      </c>
    </row>
    <row r="334" spans="1:26" x14ac:dyDescent="0.25">
      <c r="A334" s="89"/>
      <c r="B334" s="715"/>
      <c r="C334" s="354" t="s">
        <v>845</v>
      </c>
      <c r="D334" s="358">
        <v>3.24</v>
      </c>
      <c r="E334" s="340">
        <v>4.32</v>
      </c>
      <c r="F334" s="341">
        <v>1.08</v>
      </c>
      <c r="G334" s="341">
        <v>4.3</v>
      </c>
      <c r="H334" s="315" t="s">
        <v>0</v>
      </c>
      <c r="I334" s="315"/>
      <c r="J334" s="315"/>
      <c r="K334" s="315"/>
      <c r="L334" s="315"/>
      <c r="M334" s="315"/>
      <c r="N334" s="315"/>
      <c r="O334" s="315"/>
      <c r="P334" s="315"/>
      <c r="Q334" s="324">
        <v>80680070536</v>
      </c>
      <c r="R334" s="324">
        <v>80680070572</v>
      </c>
    </row>
    <row r="335" spans="1:26" x14ac:dyDescent="0.25">
      <c r="A335" s="89"/>
      <c r="B335" s="715"/>
      <c r="C335" s="354" t="s">
        <v>845</v>
      </c>
      <c r="D335" s="358">
        <v>4.32</v>
      </c>
      <c r="E335" s="340">
        <v>5.76</v>
      </c>
      <c r="F335" s="341">
        <v>1.44</v>
      </c>
      <c r="G335" s="341">
        <v>4.3</v>
      </c>
      <c r="H335" s="315" t="s">
        <v>0</v>
      </c>
      <c r="I335" s="315"/>
      <c r="J335" s="315"/>
      <c r="K335" s="315"/>
      <c r="L335" s="315"/>
      <c r="M335" s="315"/>
      <c r="N335" s="315"/>
      <c r="O335" s="315"/>
      <c r="P335" s="315"/>
      <c r="Q335" s="324">
        <v>80680070536</v>
      </c>
      <c r="R335" s="324">
        <v>80680070536</v>
      </c>
    </row>
    <row r="336" spans="1:26" ht="23.25" x14ac:dyDescent="0.25">
      <c r="A336" s="76">
        <v>3</v>
      </c>
      <c r="B336" s="717" t="s">
        <v>692</v>
      </c>
      <c r="C336" s="354" t="s">
        <v>846</v>
      </c>
      <c r="D336" s="358">
        <v>0</v>
      </c>
      <c r="E336" s="340">
        <v>0.13</v>
      </c>
      <c r="F336" s="341">
        <v>0.13</v>
      </c>
      <c r="G336" s="341">
        <v>3.5</v>
      </c>
      <c r="H336" s="315" t="s">
        <v>0</v>
      </c>
      <c r="I336" s="315"/>
      <c r="J336" s="315"/>
      <c r="K336" s="315"/>
      <c r="L336" s="315"/>
      <c r="M336" s="315"/>
      <c r="N336" s="315"/>
      <c r="O336" s="315"/>
      <c r="P336" s="315"/>
      <c r="Q336" s="324">
        <v>80680070547</v>
      </c>
      <c r="R336" s="324">
        <v>80680070547</v>
      </c>
    </row>
    <row r="337" spans="1:18" x14ac:dyDescent="0.25">
      <c r="A337" s="89"/>
      <c r="B337" s="715"/>
      <c r="C337" s="354" t="s">
        <v>846</v>
      </c>
      <c r="D337" s="358">
        <v>0.13</v>
      </c>
      <c r="E337" s="340">
        <v>0.25</v>
      </c>
      <c r="F337" s="341">
        <v>0.12</v>
      </c>
      <c r="G337" s="341">
        <v>3</v>
      </c>
      <c r="H337" s="315" t="s">
        <v>325</v>
      </c>
      <c r="I337" s="315"/>
      <c r="J337" s="315"/>
      <c r="K337" s="315"/>
      <c r="L337" s="315"/>
      <c r="M337" s="315"/>
      <c r="N337" s="315"/>
      <c r="O337" s="315"/>
      <c r="P337" s="315"/>
      <c r="Q337" s="324">
        <v>80680070547</v>
      </c>
      <c r="R337" s="324">
        <v>80680070547</v>
      </c>
    </row>
    <row r="338" spans="1:18" x14ac:dyDescent="0.25">
      <c r="A338" s="89"/>
      <c r="B338" s="715"/>
      <c r="C338" s="354" t="s">
        <v>846</v>
      </c>
      <c r="D338" s="358">
        <v>0.25</v>
      </c>
      <c r="E338" s="340">
        <v>0.72</v>
      </c>
      <c r="F338" s="341">
        <v>0.47</v>
      </c>
      <c r="G338" s="341">
        <v>3.5</v>
      </c>
      <c r="H338" s="315" t="s">
        <v>0</v>
      </c>
      <c r="I338" s="315"/>
      <c r="J338" s="315"/>
      <c r="K338" s="315"/>
      <c r="L338" s="315"/>
      <c r="M338" s="315"/>
      <c r="N338" s="315"/>
      <c r="O338" s="315"/>
      <c r="P338" s="315"/>
      <c r="Q338" s="324">
        <v>80680070547</v>
      </c>
      <c r="R338" s="324">
        <v>80680070547</v>
      </c>
    </row>
    <row r="339" spans="1:18" ht="23.25" x14ac:dyDescent="0.25">
      <c r="A339" s="76">
        <v>4</v>
      </c>
      <c r="B339" s="717" t="s">
        <v>693</v>
      </c>
      <c r="C339" s="354" t="s">
        <v>846</v>
      </c>
      <c r="D339" s="358">
        <v>0</v>
      </c>
      <c r="E339" s="340">
        <v>0.99</v>
      </c>
      <c r="F339" s="341">
        <v>0.99</v>
      </c>
      <c r="G339" s="341">
        <v>4</v>
      </c>
      <c r="H339" s="315" t="s">
        <v>4</v>
      </c>
      <c r="I339" s="315"/>
      <c r="J339" s="315"/>
      <c r="K339" s="315"/>
      <c r="L339" s="315"/>
      <c r="M339" s="315"/>
      <c r="N339" s="315"/>
      <c r="O339" s="315"/>
      <c r="P339" s="315"/>
      <c r="Q339" s="324">
        <v>80680020254</v>
      </c>
      <c r="R339" s="324">
        <v>80680020254</v>
      </c>
    </row>
    <row r="340" spans="1:18" x14ac:dyDescent="0.25">
      <c r="A340" s="89"/>
      <c r="B340" s="715"/>
      <c r="C340" s="354" t="s">
        <v>846</v>
      </c>
      <c r="D340" s="358">
        <v>0.99</v>
      </c>
      <c r="E340" s="340">
        <v>1.1399999999999999</v>
      </c>
      <c r="F340" s="341">
        <v>0.15</v>
      </c>
      <c r="G340" s="341">
        <v>3</v>
      </c>
      <c r="H340" s="315" t="s">
        <v>0</v>
      </c>
      <c r="I340" s="315"/>
      <c r="J340" s="315"/>
      <c r="K340" s="315"/>
      <c r="L340" s="315"/>
      <c r="M340" s="315"/>
      <c r="N340" s="315"/>
      <c r="O340" s="315"/>
      <c r="P340" s="315"/>
      <c r="Q340" s="324">
        <v>80680020254</v>
      </c>
      <c r="R340" s="324">
        <v>80680020254</v>
      </c>
    </row>
    <row r="341" spans="1:18" ht="23.25" x14ac:dyDescent="0.25">
      <c r="A341" s="76">
        <v>5</v>
      </c>
      <c r="B341" s="717" t="s">
        <v>694</v>
      </c>
      <c r="C341" s="354" t="s">
        <v>845</v>
      </c>
      <c r="D341" s="358">
        <v>0</v>
      </c>
      <c r="E341" s="340">
        <v>2.82</v>
      </c>
      <c r="F341" s="341">
        <v>2.82</v>
      </c>
      <c r="G341" s="341">
        <v>5.5</v>
      </c>
      <c r="H341" s="315" t="s">
        <v>0</v>
      </c>
      <c r="I341" s="315"/>
      <c r="J341" s="315"/>
      <c r="K341" s="315"/>
      <c r="L341" s="315"/>
      <c r="M341" s="315"/>
      <c r="N341" s="315"/>
      <c r="O341" s="315"/>
      <c r="P341" s="315"/>
      <c r="Q341" s="324">
        <v>80680020256</v>
      </c>
      <c r="R341" s="324">
        <v>80680020256</v>
      </c>
    </row>
    <row r="342" spans="1:18" x14ac:dyDescent="0.25">
      <c r="A342" s="89"/>
      <c r="B342" s="715"/>
      <c r="C342" s="354" t="s">
        <v>845</v>
      </c>
      <c r="D342" s="358">
        <v>2.82</v>
      </c>
      <c r="E342" s="340">
        <v>4.34</v>
      </c>
      <c r="F342" s="341">
        <v>1.52</v>
      </c>
      <c r="G342" s="341">
        <v>5</v>
      </c>
      <c r="H342" s="315" t="s">
        <v>0</v>
      </c>
      <c r="I342" s="315"/>
      <c r="J342" s="315"/>
      <c r="K342" s="315"/>
      <c r="L342" s="315"/>
      <c r="M342" s="315"/>
      <c r="N342" s="315"/>
      <c r="O342" s="315"/>
      <c r="P342" s="315"/>
      <c r="Q342" s="324">
        <v>80680020042</v>
      </c>
      <c r="R342" s="324">
        <v>80680020336</v>
      </c>
    </row>
    <row r="343" spans="1:18" x14ac:dyDescent="0.25">
      <c r="A343" s="278"/>
      <c r="B343" s="718"/>
      <c r="C343" s="354" t="s">
        <v>845</v>
      </c>
      <c r="D343" s="358">
        <v>4.34</v>
      </c>
      <c r="E343" s="340">
        <v>5.64</v>
      </c>
      <c r="F343" s="341">
        <v>1.3</v>
      </c>
      <c r="G343" s="341">
        <v>5</v>
      </c>
      <c r="H343" s="315" t="s">
        <v>0</v>
      </c>
      <c r="I343" s="315"/>
      <c r="J343" s="315"/>
      <c r="K343" s="315"/>
      <c r="L343" s="315"/>
      <c r="M343" s="315"/>
      <c r="N343" s="315"/>
      <c r="O343" s="315"/>
      <c r="P343" s="315"/>
      <c r="Q343" s="324">
        <v>80680020256</v>
      </c>
      <c r="R343" s="324">
        <v>80680070548</v>
      </c>
    </row>
    <row r="344" spans="1:18" ht="15" customHeight="1" x14ac:dyDescent="0.25">
      <c r="A344" s="278">
        <v>6</v>
      </c>
      <c r="B344" s="719" t="s">
        <v>695</v>
      </c>
      <c r="C344" s="440" t="s">
        <v>846</v>
      </c>
      <c r="D344" s="340">
        <v>0</v>
      </c>
      <c r="E344" s="340">
        <v>1.64</v>
      </c>
      <c r="F344" s="341">
        <v>1.64</v>
      </c>
      <c r="G344" s="341">
        <v>4</v>
      </c>
      <c r="H344" s="315" t="s">
        <v>0</v>
      </c>
      <c r="I344" s="315"/>
      <c r="J344" s="315"/>
      <c r="K344" s="315"/>
      <c r="L344" s="315"/>
      <c r="M344" s="315"/>
      <c r="N344" s="315"/>
      <c r="O344" s="315"/>
      <c r="P344" s="315"/>
      <c r="Q344" s="324">
        <v>80680020258</v>
      </c>
      <c r="R344" s="324">
        <v>80680020258</v>
      </c>
    </row>
    <row r="345" spans="1:18" x14ac:dyDescent="0.25">
      <c r="A345" s="76">
        <v>7</v>
      </c>
      <c r="B345" s="720" t="s">
        <v>696</v>
      </c>
      <c r="C345" s="441" t="s">
        <v>846</v>
      </c>
      <c r="D345" s="340">
        <v>0</v>
      </c>
      <c r="E345" s="340">
        <v>1.41</v>
      </c>
      <c r="F345" s="341">
        <v>1.41</v>
      </c>
      <c r="G345" s="341">
        <v>3.5</v>
      </c>
      <c r="H345" s="315" t="s">
        <v>0</v>
      </c>
      <c r="I345" s="315"/>
      <c r="J345" s="315"/>
      <c r="K345" s="315"/>
      <c r="L345" s="315"/>
      <c r="M345" s="315"/>
      <c r="N345" s="315"/>
      <c r="O345" s="315"/>
      <c r="P345" s="315"/>
      <c r="Q345" s="324">
        <v>80680020257</v>
      </c>
      <c r="R345" s="324">
        <v>80680020257</v>
      </c>
    </row>
    <row r="346" spans="1:18" x14ac:dyDescent="0.25">
      <c r="A346" s="76">
        <v>8</v>
      </c>
      <c r="B346" s="717" t="s">
        <v>697</v>
      </c>
      <c r="C346" s="354" t="s">
        <v>846</v>
      </c>
      <c r="D346" s="330">
        <v>0</v>
      </c>
      <c r="E346" s="341">
        <v>0.11</v>
      </c>
      <c r="F346" s="341">
        <v>0.11</v>
      </c>
      <c r="G346" s="341">
        <v>4.5</v>
      </c>
      <c r="H346" s="334" t="s">
        <v>4</v>
      </c>
      <c r="I346" s="334"/>
      <c r="J346" s="334"/>
      <c r="K346" s="334"/>
      <c r="L346" s="334"/>
      <c r="M346" s="334"/>
      <c r="N346" s="334"/>
      <c r="O346" s="334"/>
      <c r="P346" s="334"/>
      <c r="Q346" s="343">
        <v>80680040022001</v>
      </c>
      <c r="R346" s="343">
        <v>80680040022001</v>
      </c>
    </row>
    <row r="347" spans="1:18" x14ac:dyDescent="0.25">
      <c r="A347" s="89"/>
      <c r="B347" s="715"/>
      <c r="C347" s="354" t="s">
        <v>846</v>
      </c>
      <c r="D347" s="330">
        <v>0.11</v>
      </c>
      <c r="E347" s="341">
        <v>0.6</v>
      </c>
      <c r="F347" s="341">
        <v>0.49</v>
      </c>
      <c r="G347" s="341">
        <v>4</v>
      </c>
      <c r="H347" s="334" t="s">
        <v>0</v>
      </c>
      <c r="I347" s="334"/>
      <c r="J347" s="334"/>
      <c r="K347" s="334"/>
      <c r="L347" s="334"/>
      <c r="M347" s="334"/>
      <c r="N347" s="334"/>
      <c r="O347" s="334"/>
      <c r="P347" s="334"/>
      <c r="Q347" s="343">
        <v>80680040022002</v>
      </c>
      <c r="R347" s="343">
        <v>80680040022002</v>
      </c>
    </row>
    <row r="348" spans="1:18" ht="23.25" x14ac:dyDescent="0.25">
      <c r="A348" s="76">
        <v>9</v>
      </c>
      <c r="B348" s="717" t="s">
        <v>698</v>
      </c>
      <c r="C348" s="354" t="s">
        <v>846</v>
      </c>
      <c r="D348" s="358">
        <v>0</v>
      </c>
      <c r="E348" s="340">
        <v>0.31</v>
      </c>
      <c r="F348" s="341">
        <v>0.31</v>
      </c>
      <c r="G348" s="341">
        <v>6</v>
      </c>
      <c r="H348" s="315" t="s">
        <v>0</v>
      </c>
      <c r="I348" s="315"/>
      <c r="J348" s="315"/>
      <c r="K348" s="315"/>
      <c r="L348" s="315"/>
      <c r="M348" s="315"/>
      <c r="N348" s="315"/>
      <c r="O348" s="315"/>
      <c r="P348" s="315"/>
      <c r="Q348" s="324">
        <v>80680010152</v>
      </c>
      <c r="R348" s="324">
        <v>80680040068</v>
      </c>
    </row>
    <row r="349" spans="1:18" x14ac:dyDescent="0.25">
      <c r="A349" s="89"/>
      <c r="B349" s="715"/>
      <c r="C349" s="354" t="s">
        <v>846</v>
      </c>
      <c r="D349" s="358">
        <v>0.31</v>
      </c>
      <c r="E349" s="340">
        <v>0.45</v>
      </c>
      <c r="F349" s="341">
        <v>0.14000000000000001</v>
      </c>
      <c r="G349" s="341">
        <v>6</v>
      </c>
      <c r="H349" s="315" t="s">
        <v>4</v>
      </c>
      <c r="I349" s="315"/>
      <c r="J349" s="315"/>
      <c r="K349" s="315"/>
      <c r="L349" s="315"/>
      <c r="M349" s="315"/>
      <c r="N349" s="315"/>
      <c r="O349" s="315"/>
      <c r="P349" s="315"/>
      <c r="Q349" s="324">
        <v>80680010152</v>
      </c>
      <c r="R349" s="324">
        <v>80680040068</v>
      </c>
    </row>
    <row r="350" spans="1:18" x14ac:dyDescent="0.25">
      <c r="A350" s="89"/>
      <c r="B350" s="715"/>
      <c r="C350" s="354" t="s">
        <v>846</v>
      </c>
      <c r="D350" s="358">
        <v>0.45</v>
      </c>
      <c r="E350" s="340">
        <v>2.62</v>
      </c>
      <c r="F350" s="341">
        <v>2.17</v>
      </c>
      <c r="G350" s="341">
        <v>4</v>
      </c>
      <c r="H350" s="315" t="s">
        <v>0</v>
      </c>
      <c r="I350" s="315"/>
      <c r="J350" s="315"/>
      <c r="K350" s="315"/>
      <c r="L350" s="315"/>
      <c r="M350" s="315"/>
      <c r="N350" s="315"/>
      <c r="O350" s="315"/>
      <c r="P350" s="315"/>
      <c r="Q350" s="324">
        <v>80680010152</v>
      </c>
      <c r="R350" s="324">
        <v>80680040068</v>
      </c>
    </row>
    <row r="351" spans="1:18" x14ac:dyDescent="0.25">
      <c r="A351" s="278"/>
      <c r="B351" s="718"/>
      <c r="C351" s="354" t="s">
        <v>846</v>
      </c>
      <c r="D351" s="358">
        <v>2.62</v>
      </c>
      <c r="E351" s="340">
        <v>3.8600000000000003</v>
      </c>
      <c r="F351" s="341">
        <v>1.24</v>
      </c>
      <c r="G351" s="341">
        <v>5</v>
      </c>
      <c r="H351" s="315" t="s">
        <v>0</v>
      </c>
      <c r="I351" s="315"/>
      <c r="J351" s="315"/>
      <c r="K351" s="315"/>
      <c r="L351" s="315"/>
      <c r="M351" s="315"/>
      <c r="N351" s="315"/>
      <c r="O351" s="315"/>
      <c r="P351" s="315"/>
      <c r="Q351" s="324">
        <v>80680010152</v>
      </c>
      <c r="R351" s="324">
        <v>80680010152</v>
      </c>
    </row>
    <row r="352" spans="1:18" ht="23.25" x14ac:dyDescent="0.25">
      <c r="A352" s="89">
        <v>10</v>
      </c>
      <c r="B352" s="721" t="s">
        <v>699</v>
      </c>
      <c r="C352" s="354" t="s">
        <v>846</v>
      </c>
      <c r="D352" s="340">
        <v>0</v>
      </c>
      <c r="E352" s="340">
        <v>1.1000000000000001</v>
      </c>
      <c r="F352" s="341">
        <v>1.1000000000000001</v>
      </c>
      <c r="G352" s="341">
        <v>3</v>
      </c>
      <c r="H352" s="315" t="s">
        <v>0</v>
      </c>
      <c r="I352" s="315"/>
      <c r="J352" s="315"/>
      <c r="K352" s="315"/>
      <c r="L352" s="315"/>
      <c r="M352" s="315"/>
      <c r="N352" s="315"/>
      <c r="O352" s="315"/>
      <c r="P352" s="315"/>
      <c r="Q352" s="324">
        <v>80680010149</v>
      </c>
      <c r="R352" s="324">
        <v>80680010149</v>
      </c>
    </row>
    <row r="353" spans="1:18" ht="23.25" x14ac:dyDescent="0.25">
      <c r="A353" s="76">
        <v>11</v>
      </c>
      <c r="B353" s="717" t="s">
        <v>700</v>
      </c>
      <c r="C353" s="354" t="s">
        <v>846</v>
      </c>
      <c r="D353" s="358">
        <v>0</v>
      </c>
      <c r="E353" s="340">
        <v>1</v>
      </c>
      <c r="F353" s="341">
        <v>1</v>
      </c>
      <c r="G353" s="341">
        <v>5</v>
      </c>
      <c r="H353" s="315" t="s">
        <v>0</v>
      </c>
      <c r="I353" s="315"/>
      <c r="J353" s="315"/>
      <c r="K353" s="315"/>
      <c r="L353" s="315"/>
      <c r="M353" s="315"/>
      <c r="N353" s="315"/>
      <c r="O353" s="315"/>
      <c r="P353" s="315"/>
      <c r="Q353" s="324">
        <v>80680050288</v>
      </c>
      <c r="R353" s="324">
        <v>80680050288</v>
      </c>
    </row>
    <row r="354" spans="1:18" x14ac:dyDescent="0.25">
      <c r="A354" s="89"/>
      <c r="B354" s="715"/>
      <c r="C354" s="354" t="s">
        <v>846</v>
      </c>
      <c r="D354" s="358">
        <v>1</v>
      </c>
      <c r="E354" s="340">
        <v>1.04</v>
      </c>
      <c r="F354" s="341">
        <v>0.04</v>
      </c>
      <c r="G354" s="341">
        <v>5</v>
      </c>
      <c r="H354" s="315" t="s">
        <v>0</v>
      </c>
      <c r="I354" s="315"/>
      <c r="J354" s="315"/>
      <c r="K354" s="315"/>
      <c r="L354" s="315"/>
      <c r="M354" s="315"/>
      <c r="N354" s="315"/>
      <c r="O354" s="315"/>
      <c r="P354" s="315"/>
      <c r="Q354" s="324">
        <v>80680010147</v>
      </c>
      <c r="R354" s="343">
        <v>80680050270001</v>
      </c>
    </row>
    <row r="355" spans="1:18" x14ac:dyDescent="0.25">
      <c r="A355" s="89"/>
      <c r="B355" s="715"/>
      <c r="C355" s="354" t="s">
        <v>846</v>
      </c>
      <c r="D355" s="358">
        <v>1.04</v>
      </c>
      <c r="E355" s="340">
        <v>2.83</v>
      </c>
      <c r="F355" s="341">
        <v>1.79</v>
      </c>
      <c r="G355" s="341">
        <v>4</v>
      </c>
      <c r="H355" s="315" t="s">
        <v>0</v>
      </c>
      <c r="I355" s="315"/>
      <c r="J355" s="315"/>
      <c r="K355" s="315"/>
      <c r="L355" s="315"/>
      <c r="M355" s="315"/>
      <c r="N355" s="315"/>
      <c r="O355" s="315"/>
      <c r="P355" s="315"/>
      <c r="Q355" s="324">
        <v>80680050288</v>
      </c>
      <c r="R355" s="324">
        <v>80680050311</v>
      </c>
    </row>
    <row r="356" spans="1:18" x14ac:dyDescent="0.25">
      <c r="A356" s="89"/>
      <c r="B356" s="715"/>
      <c r="C356" s="354" t="s">
        <v>846</v>
      </c>
      <c r="D356" s="358">
        <v>2.83</v>
      </c>
      <c r="E356" s="340">
        <v>2.88</v>
      </c>
      <c r="F356" s="341">
        <v>0.05</v>
      </c>
      <c r="G356" s="341">
        <v>4</v>
      </c>
      <c r="H356" s="315" t="s">
        <v>0</v>
      </c>
      <c r="I356" s="315"/>
      <c r="J356" s="315"/>
      <c r="K356" s="315"/>
      <c r="L356" s="315"/>
      <c r="M356" s="315"/>
      <c r="N356" s="315"/>
      <c r="O356" s="315"/>
      <c r="P356" s="315"/>
      <c r="Q356" s="324">
        <v>80680010147</v>
      </c>
      <c r="R356" s="324">
        <v>80680050270</v>
      </c>
    </row>
    <row r="357" spans="1:18" x14ac:dyDescent="0.25">
      <c r="A357" s="278"/>
      <c r="B357" s="718"/>
      <c r="C357" s="354" t="s">
        <v>846</v>
      </c>
      <c r="D357" s="358">
        <v>2.88</v>
      </c>
      <c r="E357" s="340">
        <v>4.7300000000000004</v>
      </c>
      <c r="F357" s="341">
        <v>1.85</v>
      </c>
      <c r="G357" s="341">
        <v>4</v>
      </c>
      <c r="H357" s="315" t="s">
        <v>0</v>
      </c>
      <c r="I357" s="315"/>
      <c r="J357" s="315"/>
      <c r="K357" s="315"/>
      <c r="L357" s="315"/>
      <c r="M357" s="315"/>
      <c r="N357" s="315"/>
      <c r="O357" s="315"/>
      <c r="P357" s="315"/>
      <c r="Q357" s="324">
        <v>80680050288</v>
      </c>
      <c r="R357" s="324">
        <v>80680050312</v>
      </c>
    </row>
    <row r="358" spans="1:18" x14ac:dyDescent="0.25">
      <c r="A358" s="278">
        <v>12</v>
      </c>
      <c r="B358" s="719" t="s">
        <v>701</v>
      </c>
      <c r="C358" s="440" t="s">
        <v>846</v>
      </c>
      <c r="D358" s="340">
        <v>0</v>
      </c>
      <c r="E358" s="340">
        <v>0.4</v>
      </c>
      <c r="F358" s="341">
        <v>0.4</v>
      </c>
      <c r="G358" s="341">
        <v>3.5</v>
      </c>
      <c r="H358" s="315" t="s">
        <v>0</v>
      </c>
      <c r="I358" s="315"/>
      <c r="J358" s="315"/>
      <c r="K358" s="315"/>
      <c r="L358" s="315"/>
      <c r="M358" s="315"/>
      <c r="N358" s="315"/>
      <c r="O358" s="315"/>
      <c r="P358" s="315"/>
      <c r="Q358" s="324"/>
      <c r="R358" s="331" t="s">
        <v>670</v>
      </c>
    </row>
    <row r="359" spans="1:18" ht="23.25" x14ac:dyDescent="0.25">
      <c r="A359" s="76">
        <v>13</v>
      </c>
      <c r="B359" s="720" t="s">
        <v>702</v>
      </c>
      <c r="C359" s="441" t="s">
        <v>846</v>
      </c>
      <c r="D359" s="340">
        <v>0</v>
      </c>
      <c r="E359" s="340">
        <v>1.63</v>
      </c>
      <c r="F359" s="341">
        <v>1.63</v>
      </c>
      <c r="G359" s="341">
        <v>4</v>
      </c>
      <c r="H359" s="315" t="s">
        <v>0</v>
      </c>
      <c r="I359" s="315"/>
      <c r="J359" s="315"/>
      <c r="K359" s="315"/>
      <c r="L359" s="315"/>
      <c r="M359" s="315"/>
      <c r="N359" s="315"/>
      <c r="O359" s="315"/>
      <c r="P359" s="315"/>
      <c r="Q359" s="324">
        <v>80680050289</v>
      </c>
      <c r="R359" s="324">
        <v>80680050289</v>
      </c>
    </row>
    <row r="360" spans="1:18" ht="23.25" x14ac:dyDescent="0.25">
      <c r="A360" s="76">
        <v>14</v>
      </c>
      <c r="B360" s="722" t="s">
        <v>703</v>
      </c>
      <c r="C360" s="611" t="s">
        <v>845</v>
      </c>
      <c r="D360" s="358">
        <v>0</v>
      </c>
      <c r="E360" s="340">
        <v>1.57</v>
      </c>
      <c r="F360" s="341">
        <v>1.57</v>
      </c>
      <c r="G360" s="341">
        <v>4.5</v>
      </c>
      <c r="H360" s="315" t="s">
        <v>4</v>
      </c>
      <c r="I360" s="315"/>
      <c r="J360" s="315"/>
      <c r="K360" s="315"/>
      <c r="L360" s="315"/>
      <c r="M360" s="315"/>
      <c r="N360" s="315"/>
      <c r="O360" s="315"/>
      <c r="P360" s="315"/>
      <c r="Q360" s="324">
        <v>80680020230</v>
      </c>
      <c r="R360" s="324">
        <v>80680020230</v>
      </c>
    </row>
    <row r="361" spans="1:18" x14ac:dyDescent="0.25">
      <c r="A361" s="89"/>
      <c r="B361" s="723"/>
      <c r="C361" s="611" t="s">
        <v>845</v>
      </c>
      <c r="D361" s="358">
        <v>1.57</v>
      </c>
      <c r="E361" s="340">
        <v>3.17</v>
      </c>
      <c r="F361" s="341">
        <v>1.6</v>
      </c>
      <c r="G361" s="341">
        <v>5</v>
      </c>
      <c r="H361" s="315" t="s">
        <v>0</v>
      </c>
      <c r="I361" s="315"/>
      <c r="J361" s="315"/>
      <c r="K361" s="315"/>
      <c r="L361" s="315"/>
      <c r="M361" s="315"/>
      <c r="N361" s="315"/>
      <c r="O361" s="315"/>
      <c r="P361" s="315"/>
      <c r="Q361" s="324">
        <v>80680020230</v>
      </c>
      <c r="R361" s="324">
        <v>80680020230</v>
      </c>
    </row>
    <row r="362" spans="1:18" x14ac:dyDescent="0.25">
      <c r="A362" s="278"/>
      <c r="B362" s="718"/>
      <c r="C362" s="611" t="s">
        <v>845</v>
      </c>
      <c r="D362" s="358">
        <v>3.17</v>
      </c>
      <c r="E362" s="340">
        <v>4.84</v>
      </c>
      <c r="F362" s="341">
        <v>1.67</v>
      </c>
      <c r="G362" s="341">
        <v>4.5</v>
      </c>
      <c r="H362" s="315" t="s">
        <v>0</v>
      </c>
      <c r="I362" s="315"/>
      <c r="J362" s="315"/>
      <c r="K362" s="315"/>
      <c r="L362" s="315"/>
      <c r="M362" s="315"/>
      <c r="N362" s="315"/>
      <c r="O362" s="315"/>
      <c r="P362" s="315"/>
      <c r="Q362" s="324">
        <v>80680020230</v>
      </c>
      <c r="R362" s="324">
        <v>80680090482</v>
      </c>
    </row>
    <row r="363" spans="1:18" ht="23.25" x14ac:dyDescent="0.25">
      <c r="A363" s="278">
        <v>15</v>
      </c>
      <c r="B363" s="719" t="s">
        <v>704</v>
      </c>
      <c r="C363" s="440" t="s">
        <v>846</v>
      </c>
      <c r="D363" s="340">
        <v>0</v>
      </c>
      <c r="E363" s="340">
        <v>5.59</v>
      </c>
      <c r="F363" s="341">
        <v>5.59</v>
      </c>
      <c r="G363" s="341">
        <v>3.5</v>
      </c>
      <c r="H363" s="315" t="s">
        <v>0</v>
      </c>
      <c r="I363" s="315"/>
      <c r="J363" s="315"/>
      <c r="K363" s="315"/>
      <c r="L363" s="315"/>
      <c r="M363" s="315"/>
      <c r="N363" s="315"/>
      <c r="O363" s="315"/>
      <c r="P363" s="315"/>
      <c r="Q363" s="324">
        <v>80680090376</v>
      </c>
      <c r="R363" s="324">
        <v>80680090376</v>
      </c>
    </row>
    <row r="364" spans="1:18" ht="23.25" x14ac:dyDescent="0.25">
      <c r="A364" s="27">
        <v>16</v>
      </c>
      <c r="B364" s="724" t="s">
        <v>705</v>
      </c>
      <c r="C364" s="354" t="s">
        <v>846</v>
      </c>
      <c r="D364" s="340">
        <v>0</v>
      </c>
      <c r="E364" s="340">
        <v>1.54</v>
      </c>
      <c r="F364" s="341">
        <v>1.54</v>
      </c>
      <c r="G364" s="341">
        <v>3.5</v>
      </c>
      <c r="H364" s="334" t="s">
        <v>0</v>
      </c>
      <c r="I364" s="334"/>
      <c r="J364" s="334"/>
      <c r="K364" s="334"/>
      <c r="L364" s="334"/>
      <c r="M364" s="334"/>
      <c r="N364" s="334"/>
      <c r="O364" s="334"/>
      <c r="P364" s="334"/>
      <c r="Q364" s="324">
        <v>80680090284</v>
      </c>
      <c r="R364" s="324">
        <v>80680090284</v>
      </c>
    </row>
    <row r="365" spans="1:18" ht="16.5" customHeight="1" x14ac:dyDescent="0.25">
      <c r="A365" s="76">
        <v>17</v>
      </c>
      <c r="B365" s="720" t="s">
        <v>706</v>
      </c>
      <c r="C365" s="441" t="s">
        <v>846</v>
      </c>
      <c r="D365" s="340">
        <v>0</v>
      </c>
      <c r="E365" s="340">
        <v>1.94</v>
      </c>
      <c r="F365" s="341">
        <v>1.94</v>
      </c>
      <c r="G365" s="341">
        <v>3</v>
      </c>
      <c r="H365" s="334" t="s">
        <v>0</v>
      </c>
      <c r="I365" s="334"/>
      <c r="J365" s="334"/>
      <c r="K365" s="334"/>
      <c r="L365" s="334"/>
      <c r="M365" s="334"/>
      <c r="N365" s="334"/>
      <c r="O365" s="334"/>
      <c r="P365" s="334"/>
      <c r="Q365" s="324">
        <v>80680090375</v>
      </c>
      <c r="R365" s="324">
        <v>80680090375</v>
      </c>
    </row>
    <row r="366" spans="1:18" ht="23.25" x14ac:dyDescent="0.25">
      <c r="A366" s="76">
        <v>18</v>
      </c>
      <c r="B366" s="717" t="s">
        <v>707</v>
      </c>
      <c r="C366" s="354" t="s">
        <v>846</v>
      </c>
      <c r="D366" s="358">
        <v>0</v>
      </c>
      <c r="E366" s="340">
        <v>1.39</v>
      </c>
      <c r="F366" s="341">
        <v>1.39</v>
      </c>
      <c r="G366" s="341">
        <v>3.5</v>
      </c>
      <c r="H366" s="315" t="s">
        <v>0</v>
      </c>
      <c r="I366" s="315"/>
      <c r="J366" s="315"/>
      <c r="K366" s="315"/>
      <c r="L366" s="315"/>
      <c r="M366" s="315"/>
      <c r="N366" s="315"/>
      <c r="O366" s="315"/>
      <c r="P366" s="315"/>
      <c r="Q366" s="324">
        <v>80680090371</v>
      </c>
      <c r="R366" s="324">
        <v>80680090490</v>
      </c>
    </row>
    <row r="367" spans="1:18" x14ac:dyDescent="0.25">
      <c r="A367" s="89"/>
      <c r="B367" s="715"/>
      <c r="C367" s="354" t="s">
        <v>846</v>
      </c>
      <c r="D367" s="358">
        <f>E366</f>
        <v>1.39</v>
      </c>
      <c r="E367" s="340">
        <f>D367+F367</f>
        <v>1.5899999999999999</v>
      </c>
      <c r="F367" s="341">
        <v>0.2</v>
      </c>
      <c r="G367" s="341">
        <v>3.5</v>
      </c>
      <c r="H367" s="315" t="s">
        <v>0</v>
      </c>
      <c r="I367" s="315"/>
      <c r="J367" s="315"/>
      <c r="K367" s="315"/>
      <c r="L367" s="315"/>
      <c r="M367" s="315"/>
      <c r="N367" s="315"/>
      <c r="O367" s="315"/>
      <c r="P367" s="315"/>
      <c r="Q367" s="473" t="s">
        <v>859</v>
      </c>
      <c r="R367" s="324">
        <v>80680020290</v>
      </c>
    </row>
    <row r="368" spans="1:18" x14ac:dyDescent="0.25">
      <c r="A368" s="278"/>
      <c r="B368" s="725"/>
      <c r="C368" s="354" t="s">
        <v>846</v>
      </c>
      <c r="D368" s="358">
        <v>1.5899999999999999</v>
      </c>
      <c r="E368" s="340">
        <v>1.9499999999999997</v>
      </c>
      <c r="F368" s="341">
        <v>0.36</v>
      </c>
      <c r="G368" s="341">
        <v>3.5</v>
      </c>
      <c r="H368" s="315" t="s">
        <v>0</v>
      </c>
      <c r="I368" s="315"/>
      <c r="J368" s="315"/>
      <c r="K368" s="315"/>
      <c r="L368" s="315"/>
      <c r="M368" s="315"/>
      <c r="N368" s="315"/>
      <c r="O368" s="315"/>
      <c r="P368" s="315"/>
      <c r="Q368" s="324">
        <v>80680090371</v>
      </c>
      <c r="R368" s="324">
        <v>80680090481</v>
      </c>
    </row>
    <row r="369" spans="1:18" ht="23.25" x14ac:dyDescent="0.25">
      <c r="A369" s="89">
        <v>19</v>
      </c>
      <c r="B369" s="715" t="s">
        <v>708</v>
      </c>
      <c r="C369" s="354" t="s">
        <v>846</v>
      </c>
      <c r="D369" s="358">
        <v>0</v>
      </c>
      <c r="E369" s="340">
        <v>0.60000000000000009</v>
      </c>
      <c r="F369" s="341">
        <v>0.60000000000000009</v>
      </c>
      <c r="G369" s="341">
        <v>3.3</v>
      </c>
      <c r="H369" s="315" t="s">
        <v>0</v>
      </c>
      <c r="I369" s="315"/>
      <c r="J369" s="315"/>
      <c r="K369" s="315"/>
      <c r="L369" s="315"/>
      <c r="M369" s="315"/>
      <c r="N369" s="315"/>
      <c r="O369" s="315"/>
      <c r="P369" s="315"/>
      <c r="Q369" s="324">
        <v>80680090333</v>
      </c>
      <c r="R369" s="324">
        <v>80680090333</v>
      </c>
    </row>
    <row r="370" spans="1:18" x14ac:dyDescent="0.25">
      <c r="A370" s="278"/>
      <c r="B370" s="718"/>
      <c r="C370" s="354" t="s">
        <v>846</v>
      </c>
      <c r="D370" s="358">
        <v>0.6</v>
      </c>
      <c r="E370" s="340">
        <f>D370+F370</f>
        <v>0.91999999999999993</v>
      </c>
      <c r="F370" s="341">
        <v>0.32</v>
      </c>
      <c r="G370" s="341">
        <v>3</v>
      </c>
      <c r="H370" s="315" t="s">
        <v>0</v>
      </c>
      <c r="I370" s="315"/>
      <c r="J370" s="315"/>
      <c r="K370" s="315"/>
      <c r="L370" s="315"/>
      <c r="M370" s="315"/>
      <c r="N370" s="315"/>
      <c r="O370" s="315"/>
      <c r="P370" s="315"/>
      <c r="Q370" s="324"/>
      <c r="R370" s="331" t="s">
        <v>671</v>
      </c>
    </row>
    <row r="371" spans="1:18" ht="23.25" x14ac:dyDescent="0.25">
      <c r="A371" s="278">
        <v>20</v>
      </c>
      <c r="B371" s="719" t="s">
        <v>709</v>
      </c>
      <c r="C371" s="440" t="s">
        <v>845</v>
      </c>
      <c r="D371" s="340">
        <v>0</v>
      </c>
      <c r="E371" s="340">
        <v>3.67</v>
      </c>
      <c r="F371" s="341">
        <v>3.67</v>
      </c>
      <c r="G371" s="341">
        <v>4.5</v>
      </c>
      <c r="H371" s="315" t="s">
        <v>0</v>
      </c>
      <c r="I371" s="315"/>
      <c r="J371" s="315"/>
      <c r="K371" s="315"/>
      <c r="L371" s="315"/>
      <c r="M371" s="315"/>
      <c r="N371" s="315"/>
      <c r="O371" s="315"/>
      <c r="P371" s="315"/>
      <c r="Q371" s="324">
        <v>80680090316</v>
      </c>
      <c r="R371" s="324">
        <v>80680090316</v>
      </c>
    </row>
    <row r="372" spans="1:18" x14ac:dyDescent="0.25">
      <c r="A372" s="76">
        <v>21</v>
      </c>
      <c r="B372" s="720" t="s">
        <v>710</v>
      </c>
      <c r="C372" s="441" t="s">
        <v>846</v>
      </c>
      <c r="D372" s="340">
        <v>0</v>
      </c>
      <c r="E372" s="340">
        <v>2.29</v>
      </c>
      <c r="F372" s="341">
        <v>2.29</v>
      </c>
      <c r="G372" s="341">
        <v>3.8</v>
      </c>
      <c r="H372" s="315" t="s">
        <v>0</v>
      </c>
      <c r="I372" s="315"/>
      <c r="J372" s="315"/>
      <c r="K372" s="315"/>
      <c r="L372" s="315"/>
      <c r="M372" s="315"/>
      <c r="N372" s="315"/>
      <c r="O372" s="315"/>
      <c r="P372" s="315"/>
      <c r="Q372" s="324">
        <v>80680090315</v>
      </c>
      <c r="R372" s="324">
        <v>80680090315</v>
      </c>
    </row>
    <row r="373" spans="1:18" x14ac:dyDescent="0.25">
      <c r="A373" s="76">
        <v>22</v>
      </c>
      <c r="B373" s="717" t="s">
        <v>711</v>
      </c>
      <c r="C373" s="479" t="s">
        <v>846</v>
      </c>
      <c r="D373" s="358">
        <v>0</v>
      </c>
      <c r="E373" s="340">
        <v>0.31</v>
      </c>
      <c r="F373" s="341">
        <v>0.31</v>
      </c>
      <c r="G373" s="341">
        <v>3</v>
      </c>
      <c r="H373" s="315" t="s">
        <v>0</v>
      </c>
      <c r="I373" s="315"/>
      <c r="J373" s="315"/>
      <c r="K373" s="315"/>
      <c r="L373" s="315"/>
      <c r="M373" s="315"/>
      <c r="N373" s="315"/>
      <c r="O373" s="315"/>
      <c r="P373" s="315"/>
      <c r="Q373" s="324"/>
      <c r="R373" s="331" t="s">
        <v>672</v>
      </c>
    </row>
    <row r="374" spans="1:18" x14ac:dyDescent="0.25">
      <c r="A374" s="89"/>
      <c r="B374" s="715"/>
      <c r="C374" s="479" t="s">
        <v>846</v>
      </c>
      <c r="D374" s="358">
        <v>0.31</v>
      </c>
      <c r="E374" s="340">
        <v>0.72</v>
      </c>
      <c r="F374" s="341">
        <v>0.41</v>
      </c>
      <c r="G374" s="341">
        <v>3</v>
      </c>
      <c r="H374" s="315" t="s">
        <v>0</v>
      </c>
      <c r="I374" s="315"/>
      <c r="J374" s="315"/>
      <c r="K374" s="315"/>
      <c r="L374" s="315"/>
      <c r="M374" s="315"/>
      <c r="N374" s="315"/>
      <c r="O374" s="315"/>
      <c r="P374" s="315"/>
      <c r="Q374" s="324">
        <v>80680020023</v>
      </c>
      <c r="R374" s="324">
        <v>80680020284</v>
      </c>
    </row>
    <row r="375" spans="1:18" x14ac:dyDescent="0.25">
      <c r="A375" s="278"/>
      <c r="B375" s="718"/>
      <c r="C375" s="479" t="s">
        <v>846</v>
      </c>
      <c r="D375" s="358">
        <v>0.72</v>
      </c>
      <c r="E375" s="340">
        <v>1.21</v>
      </c>
      <c r="F375" s="341">
        <v>0.49</v>
      </c>
      <c r="G375" s="341">
        <v>3</v>
      </c>
      <c r="H375" s="315" t="s">
        <v>0</v>
      </c>
      <c r="I375" s="315"/>
      <c r="J375" s="315"/>
      <c r="K375" s="315"/>
      <c r="L375" s="315"/>
      <c r="M375" s="315"/>
      <c r="N375" s="315"/>
      <c r="O375" s="315"/>
      <c r="P375" s="315"/>
      <c r="Q375" s="324"/>
      <c r="R375" s="331" t="s">
        <v>673</v>
      </c>
    </row>
    <row r="376" spans="1:18" ht="23.25" x14ac:dyDescent="0.25">
      <c r="A376" s="89">
        <v>23</v>
      </c>
      <c r="B376" s="721" t="s">
        <v>712</v>
      </c>
      <c r="C376" s="354" t="s">
        <v>846</v>
      </c>
      <c r="D376" s="340">
        <v>0</v>
      </c>
      <c r="E376" s="340">
        <v>1.34</v>
      </c>
      <c r="F376" s="341">
        <v>1.34</v>
      </c>
      <c r="G376" s="341">
        <v>4</v>
      </c>
      <c r="H376" s="315" t="s">
        <v>0</v>
      </c>
      <c r="I376" s="315"/>
      <c r="J376" s="315"/>
      <c r="K376" s="315"/>
      <c r="L376" s="315"/>
      <c r="M376" s="315"/>
      <c r="N376" s="315"/>
      <c r="O376" s="315"/>
      <c r="P376" s="315"/>
      <c r="Q376" s="324"/>
      <c r="R376" s="331" t="s">
        <v>674</v>
      </c>
    </row>
    <row r="377" spans="1:18" ht="23.25" x14ac:dyDescent="0.25">
      <c r="A377" s="76">
        <v>24</v>
      </c>
      <c r="B377" s="717" t="s">
        <v>713</v>
      </c>
      <c r="C377" s="354" t="s">
        <v>846</v>
      </c>
      <c r="D377" s="358">
        <v>0</v>
      </c>
      <c r="E377" s="340">
        <v>0.49</v>
      </c>
      <c r="F377" s="341">
        <v>0.49</v>
      </c>
      <c r="G377" s="341">
        <v>3</v>
      </c>
      <c r="H377" s="334" t="s">
        <v>0</v>
      </c>
      <c r="I377" s="334"/>
      <c r="J377" s="334"/>
      <c r="K377" s="334"/>
      <c r="L377" s="334"/>
      <c r="M377" s="334"/>
      <c r="N377" s="334"/>
      <c r="O377" s="334"/>
      <c r="P377" s="334"/>
      <c r="Q377" s="324"/>
      <c r="R377" s="331" t="s">
        <v>675</v>
      </c>
    </row>
    <row r="378" spans="1:18" x14ac:dyDescent="0.25">
      <c r="A378" s="89"/>
      <c r="B378" s="715"/>
      <c r="C378" s="354" t="s">
        <v>846</v>
      </c>
      <c r="D378" s="358">
        <v>0.49</v>
      </c>
      <c r="E378" s="340">
        <v>1.3900000000000001</v>
      </c>
      <c r="F378" s="341">
        <v>0.9</v>
      </c>
      <c r="G378" s="341">
        <v>3</v>
      </c>
      <c r="H378" s="334" t="s">
        <v>0</v>
      </c>
      <c r="I378" s="334"/>
      <c r="J378" s="334"/>
      <c r="K378" s="334"/>
      <c r="L378" s="334"/>
      <c r="M378" s="334"/>
      <c r="N378" s="334"/>
      <c r="O378" s="334"/>
      <c r="P378" s="334"/>
      <c r="Q378" s="324">
        <v>80680080217</v>
      </c>
      <c r="R378" s="324">
        <v>80680080217</v>
      </c>
    </row>
    <row r="379" spans="1:18" x14ac:dyDescent="0.25">
      <c r="A379" s="89"/>
      <c r="B379" s="715"/>
      <c r="C379" s="354" t="s">
        <v>846</v>
      </c>
      <c r="D379" s="358">
        <v>1.3900000000000001</v>
      </c>
      <c r="E379" s="340">
        <v>1.58</v>
      </c>
      <c r="F379" s="341">
        <v>0.19</v>
      </c>
      <c r="G379" s="341">
        <v>3</v>
      </c>
      <c r="H379" s="334" t="s">
        <v>0</v>
      </c>
      <c r="I379" s="334"/>
      <c r="J379" s="334"/>
      <c r="K379" s="334"/>
      <c r="L379" s="334"/>
      <c r="M379" s="334"/>
      <c r="N379" s="334"/>
      <c r="O379" s="334"/>
      <c r="P379" s="334"/>
      <c r="Q379" s="324"/>
      <c r="R379" s="331" t="s">
        <v>676</v>
      </c>
    </row>
    <row r="380" spans="1:18" x14ac:dyDescent="0.25">
      <c r="A380" s="89"/>
      <c r="B380" s="715"/>
      <c r="C380" s="354" t="s">
        <v>846</v>
      </c>
      <c r="D380" s="358">
        <v>1.58</v>
      </c>
      <c r="E380" s="340">
        <v>1.87</v>
      </c>
      <c r="F380" s="341">
        <v>0.28999999999999998</v>
      </c>
      <c r="G380" s="341">
        <v>3</v>
      </c>
      <c r="H380" s="334" t="s">
        <v>0</v>
      </c>
      <c r="I380" s="334"/>
      <c r="J380" s="334"/>
      <c r="K380" s="334"/>
      <c r="L380" s="334"/>
      <c r="M380" s="334"/>
      <c r="N380" s="334"/>
      <c r="O380" s="334"/>
      <c r="P380" s="334"/>
      <c r="Q380" s="324">
        <v>80680080217</v>
      </c>
      <c r="R380" s="324">
        <v>80680090369</v>
      </c>
    </row>
    <row r="381" spans="1:18" x14ac:dyDescent="0.25">
      <c r="A381" s="76">
        <v>25</v>
      </c>
      <c r="B381" s="717" t="s">
        <v>714</v>
      </c>
      <c r="C381" s="354" t="s">
        <v>845</v>
      </c>
      <c r="D381" s="358">
        <v>0</v>
      </c>
      <c r="E381" s="340">
        <v>0.79</v>
      </c>
      <c r="F381" s="341">
        <v>0.79</v>
      </c>
      <c r="G381" s="341">
        <v>5.5</v>
      </c>
      <c r="H381" s="334" t="s">
        <v>4</v>
      </c>
      <c r="I381" s="334"/>
      <c r="J381" s="334"/>
      <c r="K381" s="334"/>
      <c r="L381" s="334"/>
      <c r="M381" s="334"/>
      <c r="N381" s="334"/>
      <c r="O381" s="334"/>
      <c r="P381" s="334"/>
      <c r="Q381" s="324">
        <v>80680080206</v>
      </c>
      <c r="R381" s="324">
        <v>80680080206</v>
      </c>
    </row>
    <row r="382" spans="1:18" x14ac:dyDescent="0.25">
      <c r="A382" s="89"/>
      <c r="B382" s="715"/>
      <c r="C382" s="354" t="s">
        <v>845</v>
      </c>
      <c r="D382" s="358">
        <v>0.79</v>
      </c>
      <c r="E382" s="340">
        <v>2.56</v>
      </c>
      <c r="F382" s="341">
        <v>1.77</v>
      </c>
      <c r="G382" s="341">
        <v>3.5</v>
      </c>
      <c r="H382" s="334" t="s">
        <v>0</v>
      </c>
      <c r="I382" s="334"/>
      <c r="J382" s="334"/>
      <c r="K382" s="334"/>
      <c r="L382" s="334"/>
      <c r="M382" s="334"/>
      <c r="N382" s="334"/>
      <c r="O382" s="334"/>
      <c r="P382" s="334"/>
      <c r="Q382" s="324">
        <v>80680080206</v>
      </c>
      <c r="R382" s="324">
        <v>80680080206</v>
      </c>
    </row>
    <row r="383" spans="1:18" x14ac:dyDescent="0.25">
      <c r="A383" s="76">
        <v>26</v>
      </c>
      <c r="B383" s="717" t="s">
        <v>715</v>
      </c>
      <c r="C383" s="354" t="s">
        <v>846</v>
      </c>
      <c r="D383" s="358">
        <v>0</v>
      </c>
      <c r="E383" s="340">
        <v>1.84</v>
      </c>
      <c r="F383" s="341">
        <v>1.84</v>
      </c>
      <c r="G383" s="341">
        <v>4.5</v>
      </c>
      <c r="H383" s="315" t="s">
        <v>0</v>
      </c>
      <c r="I383" s="315"/>
      <c r="J383" s="315"/>
      <c r="K383" s="315"/>
      <c r="L383" s="315"/>
      <c r="M383" s="315"/>
      <c r="N383" s="315"/>
      <c r="O383" s="315"/>
      <c r="P383" s="315"/>
      <c r="Q383" s="324">
        <v>80680020255</v>
      </c>
      <c r="R383" s="324">
        <v>80680080200</v>
      </c>
    </row>
    <row r="384" spans="1:18" x14ac:dyDescent="0.25">
      <c r="A384" s="89"/>
      <c r="B384" s="715"/>
      <c r="C384" s="354" t="s">
        <v>846</v>
      </c>
      <c r="D384" s="358">
        <v>1.84</v>
      </c>
      <c r="E384" s="340">
        <v>3.77</v>
      </c>
      <c r="F384" s="341">
        <v>1.93</v>
      </c>
      <c r="G384" s="341">
        <v>4</v>
      </c>
      <c r="H384" s="315" t="s">
        <v>0</v>
      </c>
      <c r="I384" s="315"/>
      <c r="J384" s="315"/>
      <c r="K384" s="315"/>
      <c r="L384" s="315"/>
      <c r="M384" s="315"/>
      <c r="N384" s="315"/>
      <c r="O384" s="315"/>
      <c r="P384" s="315"/>
      <c r="Q384" s="324">
        <v>80680020255</v>
      </c>
      <c r="R384" s="324">
        <v>80680020255</v>
      </c>
    </row>
    <row r="385" spans="1:18" x14ac:dyDescent="0.25">
      <c r="A385" s="76">
        <v>27</v>
      </c>
      <c r="B385" s="717" t="s">
        <v>716</v>
      </c>
      <c r="C385" s="354" t="s">
        <v>846</v>
      </c>
      <c r="D385" s="358">
        <v>0</v>
      </c>
      <c r="E385" s="340">
        <v>1.1000000000000001</v>
      </c>
      <c r="F385" s="341">
        <v>1.1000000000000001</v>
      </c>
      <c r="G385" s="341">
        <v>3.7</v>
      </c>
      <c r="H385" s="315" t="s">
        <v>0</v>
      </c>
      <c r="I385" s="315"/>
      <c r="J385" s="315"/>
      <c r="K385" s="315"/>
      <c r="L385" s="315"/>
      <c r="M385" s="315"/>
      <c r="N385" s="315"/>
      <c r="O385" s="315"/>
      <c r="P385" s="315"/>
      <c r="Q385" s="324">
        <v>80680070539</v>
      </c>
      <c r="R385" s="324">
        <v>80680070539</v>
      </c>
    </row>
    <row r="386" spans="1:18" x14ac:dyDescent="0.25">
      <c r="A386" s="89"/>
      <c r="B386" s="715"/>
      <c r="C386" s="354" t="s">
        <v>846</v>
      </c>
      <c r="D386" s="358">
        <v>1.1000000000000001</v>
      </c>
      <c r="E386" s="340">
        <v>2.4300000000000002</v>
      </c>
      <c r="F386" s="341">
        <v>1.33</v>
      </c>
      <c r="G386" s="341">
        <v>3.7</v>
      </c>
      <c r="H386" s="315" t="s">
        <v>0</v>
      </c>
      <c r="I386" s="315"/>
      <c r="J386" s="315"/>
      <c r="K386" s="315"/>
      <c r="L386" s="315"/>
      <c r="M386" s="315"/>
      <c r="N386" s="315"/>
      <c r="O386" s="315"/>
      <c r="P386" s="315"/>
      <c r="Q386" s="324">
        <v>80680070539</v>
      </c>
      <c r="R386" s="324">
        <v>80680080215</v>
      </c>
    </row>
    <row r="387" spans="1:18" x14ac:dyDescent="0.25">
      <c r="A387" s="89"/>
      <c r="B387" s="715"/>
      <c r="C387" s="354" t="s">
        <v>846</v>
      </c>
      <c r="D387" s="358">
        <v>2.4300000000000002</v>
      </c>
      <c r="E387" s="340">
        <v>3.9800000000000004</v>
      </c>
      <c r="F387" s="341">
        <v>1.55</v>
      </c>
      <c r="G387" s="341">
        <v>3.5</v>
      </c>
      <c r="H387" s="315" t="s">
        <v>0</v>
      </c>
      <c r="I387" s="315"/>
      <c r="J387" s="315"/>
      <c r="K387" s="315"/>
      <c r="L387" s="315"/>
      <c r="M387" s="315"/>
      <c r="N387" s="315"/>
      <c r="O387" s="315"/>
      <c r="P387" s="315"/>
      <c r="Q387" s="324">
        <v>80680070539</v>
      </c>
      <c r="R387" s="324">
        <v>80680080216</v>
      </c>
    </row>
    <row r="388" spans="1:18" ht="23.25" x14ac:dyDescent="0.25">
      <c r="A388" s="76">
        <v>28</v>
      </c>
      <c r="B388" s="717" t="s">
        <v>717</v>
      </c>
      <c r="C388" s="354" t="s">
        <v>846</v>
      </c>
      <c r="D388" s="358">
        <v>0</v>
      </c>
      <c r="E388" s="340">
        <v>1.96</v>
      </c>
      <c r="F388" s="341">
        <v>1.96</v>
      </c>
      <c r="G388" s="341">
        <v>4</v>
      </c>
      <c r="H388" s="315" t="s">
        <v>0</v>
      </c>
      <c r="I388" s="315"/>
      <c r="J388" s="315"/>
      <c r="K388" s="315"/>
      <c r="L388" s="315"/>
      <c r="M388" s="315"/>
      <c r="N388" s="315"/>
      <c r="O388" s="315"/>
      <c r="P388" s="315"/>
      <c r="Q388" s="324">
        <v>80680080213</v>
      </c>
      <c r="R388" s="324">
        <v>80680080213</v>
      </c>
    </row>
    <row r="389" spans="1:18" x14ac:dyDescent="0.25">
      <c r="A389" s="89"/>
      <c r="B389" s="715"/>
      <c r="C389" s="354" t="s">
        <v>846</v>
      </c>
      <c r="D389" s="358">
        <v>1.96</v>
      </c>
      <c r="E389" s="340">
        <v>2.9699999999999998</v>
      </c>
      <c r="F389" s="341">
        <v>1.01</v>
      </c>
      <c r="G389" s="341">
        <v>3</v>
      </c>
      <c r="H389" s="315" t="s">
        <v>0</v>
      </c>
      <c r="I389" s="315"/>
      <c r="J389" s="315"/>
      <c r="K389" s="315"/>
      <c r="L389" s="315"/>
      <c r="M389" s="315"/>
      <c r="N389" s="315"/>
      <c r="O389" s="315"/>
      <c r="P389" s="315"/>
      <c r="Q389" s="324"/>
      <c r="R389" s="331" t="s">
        <v>677</v>
      </c>
    </row>
    <row r="390" spans="1:18" ht="23.25" x14ac:dyDescent="0.25">
      <c r="A390" s="76">
        <v>29</v>
      </c>
      <c r="B390" s="717" t="s">
        <v>718</v>
      </c>
      <c r="C390" s="354" t="s">
        <v>846</v>
      </c>
      <c r="D390" s="358">
        <v>0</v>
      </c>
      <c r="E390" s="340">
        <v>1.64</v>
      </c>
      <c r="F390" s="341">
        <v>1.64</v>
      </c>
      <c r="G390" s="341">
        <v>3</v>
      </c>
      <c r="H390" s="315" t="s">
        <v>0</v>
      </c>
      <c r="I390" s="315"/>
      <c r="J390" s="315"/>
      <c r="K390" s="315"/>
      <c r="L390" s="315"/>
      <c r="M390" s="315"/>
      <c r="N390" s="315"/>
      <c r="O390" s="315"/>
      <c r="P390" s="315"/>
      <c r="Q390" s="324"/>
      <c r="R390" s="331" t="s">
        <v>678</v>
      </c>
    </row>
    <row r="391" spans="1:18" x14ac:dyDescent="0.25">
      <c r="A391" s="89"/>
      <c r="B391" s="715"/>
      <c r="C391" s="354" t="s">
        <v>846</v>
      </c>
      <c r="D391" s="358">
        <v>1.64</v>
      </c>
      <c r="E391" s="340">
        <v>1.97</v>
      </c>
      <c r="F391" s="341">
        <v>0.33</v>
      </c>
      <c r="G391" s="341">
        <v>3</v>
      </c>
      <c r="H391" s="315" t="s">
        <v>0</v>
      </c>
      <c r="I391" s="315"/>
      <c r="J391" s="315"/>
      <c r="K391" s="315"/>
      <c r="L391" s="315"/>
      <c r="M391" s="315"/>
      <c r="N391" s="315"/>
      <c r="O391" s="315"/>
      <c r="P391" s="315"/>
      <c r="Q391" s="324">
        <v>80680100118</v>
      </c>
      <c r="R391" s="324">
        <v>80680100118</v>
      </c>
    </row>
    <row r="392" spans="1:18" x14ac:dyDescent="0.25">
      <c r="A392" s="89"/>
      <c r="B392" s="715"/>
      <c r="C392" s="354" t="s">
        <v>846</v>
      </c>
      <c r="D392" s="330">
        <v>1.97</v>
      </c>
      <c r="E392" s="341">
        <v>2.2400000000000002</v>
      </c>
      <c r="F392" s="341">
        <v>0.27</v>
      </c>
      <c r="G392" s="341">
        <v>3</v>
      </c>
      <c r="H392" s="334" t="s">
        <v>0</v>
      </c>
      <c r="I392" s="334"/>
      <c r="J392" s="334"/>
      <c r="K392" s="334"/>
      <c r="L392" s="334"/>
      <c r="M392" s="334"/>
      <c r="N392" s="334"/>
      <c r="O392" s="334"/>
      <c r="P392" s="334"/>
      <c r="Q392" s="324">
        <v>80680100118</v>
      </c>
      <c r="R392" s="324">
        <v>80680100118</v>
      </c>
    </row>
    <row r="393" spans="1:18" x14ac:dyDescent="0.25">
      <c r="A393" s="89"/>
      <c r="B393" s="715"/>
      <c r="C393" s="354" t="s">
        <v>846</v>
      </c>
      <c r="D393" s="358">
        <v>2.2400000000000002</v>
      </c>
      <c r="E393" s="340">
        <v>2.4200000000000004</v>
      </c>
      <c r="F393" s="341">
        <v>0.18</v>
      </c>
      <c r="G393" s="341">
        <v>3</v>
      </c>
      <c r="H393" s="315" t="s">
        <v>0</v>
      </c>
      <c r="I393" s="315"/>
      <c r="J393" s="315"/>
      <c r="K393" s="315"/>
      <c r="L393" s="315"/>
      <c r="M393" s="315"/>
      <c r="N393" s="315"/>
      <c r="O393" s="315"/>
      <c r="P393" s="315"/>
      <c r="Q393" s="324">
        <v>80680100118</v>
      </c>
      <c r="R393" s="324">
        <v>80680100118</v>
      </c>
    </row>
    <row r="394" spans="1:18" x14ac:dyDescent="0.25">
      <c r="A394" s="76">
        <v>30</v>
      </c>
      <c r="B394" s="722" t="s">
        <v>719</v>
      </c>
      <c r="C394" s="354" t="s">
        <v>846</v>
      </c>
      <c r="D394" s="358">
        <v>0</v>
      </c>
      <c r="E394" s="340">
        <v>0.2</v>
      </c>
      <c r="F394" s="341">
        <v>0.2</v>
      </c>
      <c r="G394" s="341">
        <v>4</v>
      </c>
      <c r="H394" s="315" t="s">
        <v>0</v>
      </c>
      <c r="I394" s="315"/>
      <c r="J394" s="315"/>
      <c r="K394" s="315"/>
      <c r="L394" s="315"/>
      <c r="M394" s="315"/>
      <c r="N394" s="315"/>
      <c r="O394" s="315"/>
      <c r="P394" s="315"/>
      <c r="Q394" s="324">
        <v>80680100013</v>
      </c>
      <c r="R394" s="324">
        <v>80680100124</v>
      </c>
    </row>
    <row r="395" spans="1:18" x14ac:dyDescent="0.25">
      <c r="A395" s="89"/>
      <c r="B395" s="715"/>
      <c r="C395" s="354" t="s">
        <v>846</v>
      </c>
      <c r="D395" s="358">
        <v>0.2</v>
      </c>
      <c r="E395" s="340">
        <v>1.1100000000000001</v>
      </c>
      <c r="F395" s="341">
        <v>0.91</v>
      </c>
      <c r="G395" s="341">
        <v>4</v>
      </c>
      <c r="H395" s="315" t="s">
        <v>0</v>
      </c>
      <c r="I395" s="315"/>
      <c r="J395" s="315"/>
      <c r="K395" s="315"/>
      <c r="L395" s="315"/>
      <c r="M395" s="315"/>
      <c r="N395" s="315"/>
      <c r="O395" s="315"/>
      <c r="P395" s="315"/>
      <c r="Q395" s="324"/>
      <c r="R395" s="331" t="s">
        <v>679</v>
      </c>
    </row>
    <row r="396" spans="1:18" x14ac:dyDescent="0.25">
      <c r="A396" s="89"/>
      <c r="B396" s="715"/>
      <c r="C396" s="354" t="s">
        <v>846</v>
      </c>
      <c r="D396" s="358">
        <v>1.1100000000000001</v>
      </c>
      <c r="E396" s="340">
        <v>1.6500000000000001</v>
      </c>
      <c r="F396" s="341">
        <v>0.54</v>
      </c>
      <c r="G396" s="341">
        <v>4</v>
      </c>
      <c r="H396" s="315" t="s">
        <v>0</v>
      </c>
      <c r="I396" s="315"/>
      <c r="J396" s="315"/>
      <c r="K396" s="315"/>
      <c r="L396" s="315"/>
      <c r="M396" s="315"/>
      <c r="N396" s="315"/>
      <c r="O396" s="315"/>
      <c r="P396" s="315"/>
      <c r="Q396" s="324">
        <v>80680100013</v>
      </c>
      <c r="R396" s="324">
        <v>80680100122</v>
      </c>
    </row>
    <row r="397" spans="1:18" ht="34.5" x14ac:dyDescent="0.25">
      <c r="A397" s="76">
        <v>31</v>
      </c>
      <c r="B397" s="717" t="s">
        <v>720</v>
      </c>
      <c r="C397" s="354" t="s">
        <v>846</v>
      </c>
      <c r="D397" s="358">
        <v>0</v>
      </c>
      <c r="E397" s="340">
        <v>0.5</v>
      </c>
      <c r="F397" s="341">
        <v>0.5</v>
      </c>
      <c r="G397" s="341">
        <v>4</v>
      </c>
      <c r="H397" s="334" t="s">
        <v>0</v>
      </c>
      <c r="I397" s="334"/>
      <c r="J397" s="334"/>
      <c r="K397" s="334"/>
      <c r="L397" s="334"/>
      <c r="M397" s="334"/>
      <c r="N397" s="334"/>
      <c r="O397" s="334"/>
      <c r="P397" s="334"/>
      <c r="Q397" s="324">
        <v>80680070526</v>
      </c>
      <c r="R397" s="324">
        <v>80680100141</v>
      </c>
    </row>
    <row r="398" spans="1:18" x14ac:dyDescent="0.25">
      <c r="A398" s="89"/>
      <c r="B398" s="715"/>
      <c r="C398" s="354" t="s">
        <v>846</v>
      </c>
      <c r="D398" s="358">
        <v>0.5</v>
      </c>
      <c r="E398" s="340">
        <v>0.79</v>
      </c>
      <c r="F398" s="341">
        <v>0.28999999999999998</v>
      </c>
      <c r="G398" s="341">
        <v>4</v>
      </c>
      <c r="H398" s="334" t="s">
        <v>0</v>
      </c>
      <c r="I398" s="334"/>
      <c r="J398" s="334"/>
      <c r="K398" s="334"/>
      <c r="L398" s="334"/>
      <c r="M398" s="334"/>
      <c r="N398" s="334"/>
      <c r="O398" s="334"/>
      <c r="P398" s="334"/>
      <c r="Q398" s="324"/>
      <c r="R398" s="331" t="s">
        <v>680</v>
      </c>
    </row>
    <row r="399" spans="1:18" x14ac:dyDescent="0.25">
      <c r="A399" s="89"/>
      <c r="B399" s="715"/>
      <c r="C399" s="354" t="s">
        <v>846</v>
      </c>
      <c r="D399" s="358">
        <v>0.79</v>
      </c>
      <c r="E399" s="340">
        <v>0.9</v>
      </c>
      <c r="F399" s="341">
        <v>0.11</v>
      </c>
      <c r="G399" s="341">
        <v>4</v>
      </c>
      <c r="H399" s="334" t="s">
        <v>0</v>
      </c>
      <c r="I399" s="334"/>
      <c r="J399" s="334"/>
      <c r="K399" s="334"/>
      <c r="L399" s="334"/>
      <c r="M399" s="334"/>
      <c r="N399" s="334"/>
      <c r="O399" s="334"/>
      <c r="P399" s="334"/>
      <c r="Q399" s="324">
        <v>80680070526</v>
      </c>
      <c r="R399" s="324">
        <v>80680100125</v>
      </c>
    </row>
    <row r="400" spans="1:18" x14ac:dyDescent="0.25">
      <c r="A400" s="89"/>
      <c r="B400" s="715"/>
      <c r="C400" s="354" t="s">
        <v>846</v>
      </c>
      <c r="D400" s="330">
        <v>0.9</v>
      </c>
      <c r="E400" s="341">
        <v>1.58</v>
      </c>
      <c r="F400" s="341">
        <v>0.68</v>
      </c>
      <c r="G400" s="341">
        <v>3.7</v>
      </c>
      <c r="H400" s="334" t="s">
        <v>0</v>
      </c>
      <c r="I400" s="334"/>
      <c r="J400" s="334"/>
      <c r="K400" s="334"/>
      <c r="L400" s="334"/>
      <c r="M400" s="334"/>
      <c r="N400" s="334"/>
      <c r="O400" s="334"/>
      <c r="P400" s="334"/>
      <c r="Q400" s="324">
        <v>80680070526</v>
      </c>
      <c r="R400" s="324">
        <v>80680070543</v>
      </c>
    </row>
    <row r="401" spans="1:32" x14ac:dyDescent="0.25">
      <c r="A401" s="89"/>
      <c r="B401" s="715"/>
      <c r="C401" s="354" t="s">
        <v>846</v>
      </c>
      <c r="D401" s="330">
        <v>1.61</v>
      </c>
      <c r="E401" s="341">
        <v>2.66</v>
      </c>
      <c r="F401" s="341">
        <v>1.05</v>
      </c>
      <c r="G401" s="341">
        <v>4</v>
      </c>
      <c r="H401" s="334" t="s">
        <v>0</v>
      </c>
      <c r="I401" s="334"/>
      <c r="J401" s="334"/>
      <c r="K401" s="334"/>
      <c r="L401" s="334"/>
      <c r="M401" s="334"/>
      <c r="N401" s="334"/>
      <c r="O401" s="334"/>
      <c r="P401" s="334"/>
      <c r="Q401" s="324">
        <v>80680070526</v>
      </c>
      <c r="R401" s="324">
        <v>80680070880</v>
      </c>
    </row>
    <row r="402" spans="1:32" x14ac:dyDescent="0.25">
      <c r="A402" s="278"/>
      <c r="B402" s="718"/>
      <c r="C402" s="354" t="s">
        <v>846</v>
      </c>
      <c r="D402" s="330">
        <v>2.66</v>
      </c>
      <c r="E402" s="341">
        <v>2.77</v>
      </c>
      <c r="F402" s="341">
        <v>0.11</v>
      </c>
      <c r="G402" s="341">
        <v>5.8</v>
      </c>
      <c r="H402" s="334" t="s">
        <v>4</v>
      </c>
      <c r="I402" s="334"/>
      <c r="J402" s="334"/>
      <c r="K402" s="334"/>
      <c r="L402" s="334"/>
      <c r="M402" s="334"/>
      <c r="N402" s="334"/>
      <c r="O402" s="334"/>
      <c r="P402" s="334"/>
      <c r="Q402" s="324">
        <v>80680070526</v>
      </c>
      <c r="R402" s="324">
        <v>80680070880</v>
      </c>
    </row>
    <row r="403" spans="1:32" ht="23.25" x14ac:dyDescent="0.25">
      <c r="A403" s="89">
        <v>32</v>
      </c>
      <c r="B403" s="721" t="s">
        <v>721</v>
      </c>
      <c r="C403" s="442" t="s">
        <v>845</v>
      </c>
      <c r="D403" s="341">
        <v>0</v>
      </c>
      <c r="E403" s="341">
        <v>0.26</v>
      </c>
      <c r="F403" s="341">
        <v>0.26</v>
      </c>
      <c r="G403" s="341">
        <v>6</v>
      </c>
      <c r="H403" s="334" t="s">
        <v>4</v>
      </c>
      <c r="I403" s="334"/>
      <c r="J403" s="334"/>
      <c r="K403" s="334"/>
      <c r="L403" s="334"/>
      <c r="M403" s="334"/>
      <c r="N403" s="334"/>
      <c r="O403" s="334"/>
      <c r="P403" s="334"/>
      <c r="Q403" s="324">
        <v>80680070881</v>
      </c>
      <c r="R403" s="324">
        <v>80680070879</v>
      </c>
    </row>
    <row r="404" spans="1:32" ht="23.25" x14ac:dyDescent="0.25">
      <c r="A404" s="76">
        <v>33</v>
      </c>
      <c r="B404" s="722" t="s">
        <v>722</v>
      </c>
      <c r="C404" s="611" t="s">
        <v>846</v>
      </c>
      <c r="D404" s="358">
        <v>0</v>
      </c>
      <c r="E404" s="340">
        <v>0.23</v>
      </c>
      <c r="F404" s="341">
        <v>0.23</v>
      </c>
      <c r="G404" s="341">
        <v>4</v>
      </c>
      <c r="H404" s="315" t="s">
        <v>0</v>
      </c>
      <c r="I404" s="315"/>
      <c r="J404" s="315"/>
      <c r="K404" s="315"/>
      <c r="L404" s="315"/>
      <c r="M404" s="315"/>
      <c r="N404" s="315"/>
      <c r="O404" s="315"/>
      <c r="P404" s="315"/>
      <c r="Q404" s="324"/>
      <c r="R404" s="331" t="s">
        <v>681</v>
      </c>
    </row>
    <row r="405" spans="1:32" x14ac:dyDescent="0.25">
      <c r="A405" s="89"/>
      <c r="B405" s="715"/>
      <c r="C405" s="611" t="s">
        <v>846</v>
      </c>
      <c r="D405" s="358">
        <v>0.23</v>
      </c>
      <c r="E405" s="340">
        <v>0.55000000000000004</v>
      </c>
      <c r="F405" s="341">
        <v>0.32</v>
      </c>
      <c r="G405" s="341">
        <v>4</v>
      </c>
      <c r="H405" s="315" t="s">
        <v>0</v>
      </c>
      <c r="I405" s="315"/>
      <c r="J405" s="315"/>
      <c r="K405" s="315"/>
      <c r="L405" s="315"/>
      <c r="M405" s="315"/>
      <c r="N405" s="315"/>
      <c r="O405" s="315"/>
      <c r="P405" s="315"/>
      <c r="Q405" s="324">
        <v>80680100121</v>
      </c>
      <c r="R405" s="331" t="s">
        <v>682</v>
      </c>
    </row>
    <row r="406" spans="1:32" x14ac:dyDescent="0.25">
      <c r="A406" s="89"/>
      <c r="B406" s="715"/>
      <c r="C406" s="611" t="s">
        <v>846</v>
      </c>
      <c r="D406" s="358">
        <v>0.55000000000000004</v>
      </c>
      <c r="E406" s="340">
        <v>0.83000000000000007</v>
      </c>
      <c r="F406" s="341">
        <v>0.28000000000000003</v>
      </c>
      <c r="G406" s="341">
        <v>3</v>
      </c>
      <c r="H406" s="315" t="s">
        <v>0</v>
      </c>
      <c r="I406" s="315"/>
      <c r="J406" s="315"/>
      <c r="K406" s="315"/>
      <c r="L406" s="315"/>
      <c r="M406" s="315"/>
      <c r="N406" s="315"/>
      <c r="O406" s="315"/>
      <c r="P406" s="315"/>
      <c r="Q406" s="324">
        <v>80680100121</v>
      </c>
      <c r="R406" s="324">
        <v>80680100138</v>
      </c>
    </row>
    <row r="407" spans="1:32" x14ac:dyDescent="0.25">
      <c r="A407" s="278"/>
      <c r="B407" s="718"/>
      <c r="C407" s="611" t="s">
        <v>846</v>
      </c>
      <c r="D407" s="358">
        <v>0.83000000000000007</v>
      </c>
      <c r="E407" s="340">
        <v>1.1700000000000002</v>
      </c>
      <c r="F407" s="341">
        <v>0.34</v>
      </c>
      <c r="G407" s="341">
        <v>3</v>
      </c>
      <c r="H407" s="315" t="s">
        <v>0</v>
      </c>
      <c r="I407" s="315"/>
      <c r="J407" s="315"/>
      <c r="K407" s="315"/>
      <c r="L407" s="315"/>
      <c r="M407" s="315"/>
      <c r="N407" s="315"/>
      <c r="O407" s="315"/>
      <c r="P407" s="315"/>
      <c r="Q407" s="324"/>
      <c r="R407" s="331" t="s">
        <v>683</v>
      </c>
    </row>
    <row r="408" spans="1:32" x14ac:dyDescent="0.25">
      <c r="A408" s="278">
        <v>34</v>
      </c>
      <c r="B408" s="719" t="s">
        <v>723</v>
      </c>
      <c r="C408" s="440" t="s">
        <v>846</v>
      </c>
      <c r="D408" s="340">
        <v>0</v>
      </c>
      <c r="E408" s="340">
        <v>0.48</v>
      </c>
      <c r="F408" s="341">
        <v>0.48</v>
      </c>
      <c r="G408" s="341">
        <v>3.5</v>
      </c>
      <c r="H408" s="315" t="s">
        <v>4</v>
      </c>
      <c r="I408" s="315"/>
      <c r="J408" s="315"/>
      <c r="K408" s="315"/>
      <c r="L408" s="315"/>
      <c r="M408" s="315"/>
      <c r="N408" s="315"/>
      <c r="O408" s="315"/>
      <c r="P408" s="315"/>
      <c r="Q408" s="324">
        <v>80680100193</v>
      </c>
      <c r="R408" s="324">
        <v>80680100121</v>
      </c>
    </row>
    <row r="409" spans="1:32" x14ac:dyDescent="0.25">
      <c r="A409" s="76">
        <v>35</v>
      </c>
      <c r="B409" s="720" t="s">
        <v>724</v>
      </c>
      <c r="C409" s="441" t="s">
        <v>846</v>
      </c>
      <c r="D409" s="340">
        <v>0</v>
      </c>
      <c r="E409" s="340">
        <v>1.41</v>
      </c>
      <c r="F409" s="341">
        <v>1.41</v>
      </c>
      <c r="G409" s="341">
        <v>3.5</v>
      </c>
      <c r="H409" s="334" t="s">
        <v>0</v>
      </c>
      <c r="I409" s="334"/>
      <c r="J409" s="334"/>
      <c r="K409" s="334"/>
      <c r="L409" s="334"/>
      <c r="M409" s="334"/>
      <c r="N409" s="334"/>
      <c r="O409" s="334"/>
      <c r="P409" s="334"/>
      <c r="Q409" s="324">
        <v>80680110086</v>
      </c>
      <c r="R409" s="324">
        <v>80680110086</v>
      </c>
    </row>
    <row r="410" spans="1:32" x14ac:dyDescent="0.25">
      <c r="A410" s="76">
        <v>36</v>
      </c>
      <c r="B410" s="717" t="s">
        <v>725</v>
      </c>
      <c r="C410" s="354" t="s">
        <v>846</v>
      </c>
      <c r="D410" s="358">
        <v>0</v>
      </c>
      <c r="E410" s="340">
        <v>0.09</v>
      </c>
      <c r="F410" s="341">
        <v>0.09</v>
      </c>
      <c r="G410" s="341">
        <v>3</v>
      </c>
      <c r="H410" s="334" t="s">
        <v>0</v>
      </c>
      <c r="I410" s="334"/>
      <c r="J410" s="334"/>
      <c r="K410" s="334"/>
      <c r="L410" s="334"/>
      <c r="M410" s="334"/>
      <c r="N410" s="334"/>
      <c r="O410" s="334"/>
      <c r="P410" s="334"/>
      <c r="Q410" s="324">
        <v>80680110111</v>
      </c>
      <c r="R410" s="324">
        <v>80680110111</v>
      </c>
    </row>
    <row r="411" spans="1:32" x14ac:dyDescent="0.25">
      <c r="A411" s="278"/>
      <c r="B411" s="718"/>
      <c r="C411" s="354" t="s">
        <v>846</v>
      </c>
      <c r="D411" s="358">
        <v>0.09</v>
      </c>
      <c r="E411" s="340">
        <v>0.14000000000000001</v>
      </c>
      <c r="F411" s="341">
        <v>0.05</v>
      </c>
      <c r="G411" s="341">
        <v>3</v>
      </c>
      <c r="H411" s="315" t="s">
        <v>325</v>
      </c>
      <c r="I411" s="315"/>
      <c r="J411" s="315"/>
      <c r="K411" s="315"/>
      <c r="L411" s="315"/>
      <c r="M411" s="315"/>
      <c r="N411" s="315"/>
      <c r="O411" s="315"/>
      <c r="P411" s="315"/>
      <c r="Q411" s="324">
        <v>80680110111</v>
      </c>
      <c r="R411" s="324">
        <v>80680110111</v>
      </c>
      <c r="AA411" t="s">
        <v>1097</v>
      </c>
    </row>
    <row r="412" spans="1:32" ht="23.25" x14ac:dyDescent="0.25">
      <c r="C412" s="438"/>
      <c r="K412" s="53" t="s">
        <v>268</v>
      </c>
      <c r="L412" s="50">
        <f>SUM(L329:L411)</f>
        <v>18</v>
      </c>
      <c r="M412" s="50">
        <f>SUM(M329:M411)</f>
        <v>126</v>
      </c>
      <c r="N412" s="55"/>
      <c r="O412" s="53" t="s">
        <v>269</v>
      </c>
      <c r="P412" s="50">
        <f>SUM(P329:P411)</f>
        <v>0</v>
      </c>
      <c r="S412" s="102"/>
      <c r="T412" s="625" t="s">
        <v>1092</v>
      </c>
      <c r="U412" s="625" t="s">
        <v>1093</v>
      </c>
      <c r="V412" s="625" t="s">
        <v>1094</v>
      </c>
      <c r="W412" s="625" t="s">
        <v>1095</v>
      </c>
      <c r="X412" s="625" t="s">
        <v>1096</v>
      </c>
      <c r="Y412" s="627" t="s">
        <v>269</v>
      </c>
      <c r="Z412" s="102"/>
      <c r="AA412" s="625" t="s">
        <v>1092</v>
      </c>
      <c r="AB412" s="625" t="s">
        <v>1093</v>
      </c>
      <c r="AC412" s="625" t="s">
        <v>1094</v>
      </c>
      <c r="AD412" s="625" t="s">
        <v>1095</v>
      </c>
      <c r="AE412" s="625" t="s">
        <v>1096</v>
      </c>
      <c r="AF412" s="627" t="s">
        <v>269</v>
      </c>
    </row>
    <row r="413" spans="1:32" s="1" customFormat="1" ht="11.25" x14ac:dyDescent="0.2">
      <c r="A413" s="46" t="s">
        <v>726</v>
      </c>
      <c r="B413" s="47"/>
      <c r="C413" s="47"/>
      <c r="D413" s="48"/>
      <c r="E413" s="49"/>
      <c r="F413" s="50">
        <f>SUM(F329:F411)</f>
        <v>82.270000000000024</v>
      </c>
      <c r="G413" s="688"/>
      <c r="H413" s="51"/>
      <c r="I413" s="40"/>
      <c r="J413" s="52"/>
      <c r="Q413" s="55"/>
      <c r="S413" s="628" t="s">
        <v>844</v>
      </c>
      <c r="T413" s="625" t="s">
        <v>231</v>
      </c>
      <c r="U413" s="625" t="s">
        <v>231</v>
      </c>
      <c r="V413" s="625" t="s">
        <v>231</v>
      </c>
      <c r="W413" s="625" t="s">
        <v>231</v>
      </c>
      <c r="X413" s="625" t="s">
        <v>231</v>
      </c>
      <c r="Y413" s="626" t="s">
        <v>231</v>
      </c>
      <c r="Z413" s="628"/>
      <c r="AA413" s="625" t="s">
        <v>231</v>
      </c>
      <c r="AB413" s="625" t="s">
        <v>231</v>
      </c>
      <c r="AC413" s="625" t="s">
        <v>231</v>
      </c>
      <c r="AD413" s="625" t="s">
        <v>231</v>
      </c>
      <c r="AE413" s="625" t="s">
        <v>231</v>
      </c>
      <c r="AF413" s="626" t="s">
        <v>231</v>
      </c>
    </row>
    <row r="414" spans="1:32" s="1" customFormat="1" ht="11.25" x14ac:dyDescent="0.2">
      <c r="A414" s="56" t="s">
        <v>270</v>
      </c>
      <c r="B414" s="57"/>
      <c r="C414" s="57"/>
      <c r="D414" s="58"/>
      <c r="E414" s="59"/>
      <c r="F414" s="266">
        <f>SUMIFS(F329:F411,H329:H411,"melnais")</f>
        <v>4.4500000000000011</v>
      </c>
      <c r="G414" s="632"/>
      <c r="H414" s="61"/>
      <c r="I414" s="62"/>
      <c r="J414" s="55"/>
      <c r="K414" s="63"/>
      <c r="L414" s="64"/>
      <c r="M414" s="64"/>
      <c r="N414" s="55"/>
      <c r="O414" s="55"/>
      <c r="P414" s="55"/>
      <c r="Q414" s="55"/>
      <c r="S414" s="616" t="s">
        <v>847</v>
      </c>
      <c r="T414" s="624">
        <f>SUMIFS(F329:F411,C329:C411,"A",H329:H411,"melnais")</f>
        <v>0</v>
      </c>
      <c r="U414" s="624">
        <f>SUMIFS(F329:F411,C329:C411,"A",H329:H411,"dubultā virsma")</f>
        <v>0</v>
      </c>
      <c r="V414" s="624">
        <f>SUMIFS(F329:F411,C329:C411,"A",H329:H411,"bruģis")</f>
        <v>0</v>
      </c>
      <c r="W414" s="624">
        <f>SUMIFS(F329:F411,C329:C411,"A",H329:H411,"grants")</f>
        <v>0</v>
      </c>
      <c r="X414" s="624">
        <f>SUMIFS(F329:F411,C329:C411,"A",H329:H411,"cits segums")</f>
        <v>0</v>
      </c>
      <c r="Y414" s="624">
        <f>SUM(T414:X414)</f>
        <v>0</v>
      </c>
      <c r="Z414" s="616" t="s">
        <v>847</v>
      </c>
      <c r="AA414" s="614">
        <f>SUMIFS(F338:F411,C338:C411,"A",H338:H411,"melnais", Q338:Q411,"Nepiederošs")</f>
        <v>0</v>
      </c>
      <c r="AB414" s="614">
        <f>SUMIFS(F338:F411,C338:C411,"A",H338:H411,"dubultā virsma", Q338:Q411,"Nepiederošs")</f>
        <v>0</v>
      </c>
      <c r="AC414" s="614">
        <f>SUMIFS(F338:F411,C338:C411,"A",H338:H411,"bruģis", Q338:Q411,"Nepiederošs")</f>
        <v>0</v>
      </c>
      <c r="AD414" s="614">
        <f>SUMIFS(F338:F411,C338:C411,"A",H338:H411,"grants", Q338:Q411,"Nepiederošs")</f>
        <v>0</v>
      </c>
      <c r="AE414" s="614">
        <f>SUMIFS(F338:F411,C338:C411,"A",H338:H411,"cits segums", Q338:Q411,"Nepiederošs")</f>
        <v>0</v>
      </c>
      <c r="AF414" s="614">
        <f>SUM(AA414:AE414)</f>
        <v>0</v>
      </c>
    </row>
    <row r="415" spans="1:32" s="1" customFormat="1" ht="11.25" x14ac:dyDescent="0.2">
      <c r="A415" s="56" t="s">
        <v>271</v>
      </c>
      <c r="B415" s="57"/>
      <c r="C415" s="57"/>
      <c r="D415" s="58"/>
      <c r="E415" s="59"/>
      <c r="F415" s="266">
        <f>SUMIFS(F329:F411,H329:H411,"bruģis")</f>
        <v>0</v>
      </c>
      <c r="G415" s="632"/>
      <c r="H415" s="65"/>
      <c r="I415" s="40"/>
      <c r="J415" s="66"/>
      <c r="K415" s="67"/>
      <c r="L415" s="67"/>
      <c r="M415" s="67"/>
      <c r="N415" s="68"/>
      <c r="O415" s="55"/>
      <c r="P415" s="55"/>
      <c r="Q415" s="55"/>
      <c r="S415" s="617" t="s">
        <v>848</v>
      </c>
      <c r="T415" s="624">
        <f>SUMIFS(F329:F411,C329:C411,"B",H329:H411,"melnais")</f>
        <v>0</v>
      </c>
      <c r="U415" s="624">
        <f>SUMIFS(F329:F411,C329:C411,"B",H329:H411,"dubultā virsma")</f>
        <v>0</v>
      </c>
      <c r="V415" s="624">
        <f>SUMIFS(F329:F411,C329:C411,"B",H329:H411,"bruģis")</f>
        <v>0</v>
      </c>
      <c r="W415" s="624">
        <f>SUMIFS(F329:F411,C329:C411,"B",H329:H411,"grants")</f>
        <v>0</v>
      </c>
      <c r="X415" s="624">
        <f>SUMIFS(F329:F411,C329:C411,"B",H329:H411,"cits segums")</f>
        <v>0</v>
      </c>
      <c r="Y415" s="624">
        <f t="shared" ref="Y415:Y417" si="51">SUM(T415:X415)</f>
        <v>0</v>
      </c>
      <c r="Z415" s="617" t="s">
        <v>848</v>
      </c>
      <c r="AA415" s="614">
        <f>SUMIFS(F338:F411,C338:C411,"B",H338:H411,"melnais", Q338:Q411,"Nepiederošs")</f>
        <v>0</v>
      </c>
      <c r="AB415" s="614">
        <f>SUMIFS(F338:F411,C338:C411,"B",H338:H411,"dubultā virsma", Q338:Q411,"Nepiederošs")</f>
        <v>0</v>
      </c>
      <c r="AC415" s="614">
        <f>SUMIFS(F338:F411,C338:C411,"B",H338:H411,"bruģis", Q338:Q411,"Nepiederošs")</f>
        <v>0</v>
      </c>
      <c r="AD415" s="614">
        <f>SUMIFS(F338:F411,C338:C411,"B",H338:H411,"grants", Q338:Q411,"Nepiederošs")</f>
        <v>0</v>
      </c>
      <c r="AE415" s="614">
        <f>SUMIFS(F338:F411,C338:C411,"B",H338:H411,"cits segums", Q338:Q411,"Nepiederošs")</f>
        <v>0</v>
      </c>
      <c r="AF415" s="614">
        <f t="shared" ref="AF415:AF417" si="52">SUM(AA415:AE415)</f>
        <v>0</v>
      </c>
    </row>
    <row r="416" spans="1:32" s="1" customFormat="1" ht="11.25" x14ac:dyDescent="0.2">
      <c r="A416" s="56" t="s">
        <v>272</v>
      </c>
      <c r="B416" s="57"/>
      <c r="C416" s="57"/>
      <c r="D416" s="58"/>
      <c r="E416" s="59"/>
      <c r="F416" s="266">
        <f>SUMIFS(F329:F411,H329:H411,"grants")</f>
        <v>77.650000000000034</v>
      </c>
      <c r="G416" s="632"/>
      <c r="H416" s="65"/>
      <c r="I416" s="65"/>
      <c r="J416" s="66"/>
      <c r="K416" s="67"/>
      <c r="L416" s="67"/>
      <c r="M416" s="67"/>
      <c r="N416" s="68"/>
      <c r="O416" s="55"/>
      <c r="P416" s="55"/>
      <c r="Q416" s="55"/>
      <c r="S416" s="615" t="s">
        <v>845</v>
      </c>
      <c r="T416" s="624">
        <f>SUMIFS(F329:F411,C329:C411,"C",H329:H411,"melnais")</f>
        <v>2.62</v>
      </c>
      <c r="U416" s="624">
        <f>SUMIFS(F329:F411,C329:C411,"C",H329:H411,"dubultā virsma")</f>
        <v>0</v>
      </c>
      <c r="V416" s="624">
        <f>SUMIFS(F329:F411,C329:C411,"C",H329:H411,"bruģis")</f>
        <v>0</v>
      </c>
      <c r="W416" s="624">
        <f>SUMIFS(F329:F411,C329:C411,"C",H329:H411,"grants")</f>
        <v>16.87</v>
      </c>
      <c r="X416" s="624">
        <f>SUMIFS(F329:F411,C329:C411,"C",H329:H411,"cits segums")</f>
        <v>0</v>
      </c>
      <c r="Y416" s="624">
        <f t="shared" si="51"/>
        <v>19.490000000000002</v>
      </c>
      <c r="Z416" s="615" t="s">
        <v>845</v>
      </c>
      <c r="AA416" s="614">
        <f>SUMIFS(F338:F411,C338:C411,"C",H338:H411,"melnais", Q338:Q411,"Nepiederošs")</f>
        <v>0</v>
      </c>
      <c r="AB416" s="614">
        <f>SUMIFS(F338:F411,C338:C411,"C",H338:H411,"dubultā virsma", Q338:Q411,"Nepiederošs")</f>
        <v>0</v>
      </c>
      <c r="AC416" s="614">
        <f>SUMIFS(F338:F411,C338:C411,"C",H338:H411,"bruģis", Q338:Q411,"Nepiederošs")</f>
        <v>0</v>
      </c>
      <c r="AD416" s="614">
        <f>SUMIFS(F338:F411,C338:C411,"C",H338:H411,"grants", Q338:Q411,"Nepiederošs")</f>
        <v>0</v>
      </c>
      <c r="AE416" s="614">
        <f>SUMIFS(F338:F411,C338:C411,"C",H338:H411,"cits segums", Q338:Q411,"Nepiederošs")</f>
        <v>0</v>
      </c>
      <c r="AF416" s="614">
        <f t="shared" si="52"/>
        <v>0</v>
      </c>
    </row>
    <row r="417" spans="1:32" s="1" customFormat="1" ht="11.25" x14ac:dyDescent="0.2">
      <c r="A417" s="56" t="s">
        <v>273</v>
      </c>
      <c r="B417" s="57"/>
      <c r="C417" s="57"/>
      <c r="D417" s="58"/>
      <c r="E417" s="59"/>
      <c r="F417" s="266">
        <f>SUMIFS(F329:F411,H329:H411,"cits segums")</f>
        <v>0.16999999999999998</v>
      </c>
      <c r="G417" s="632"/>
      <c r="H417" s="69"/>
      <c r="I417" s="65"/>
      <c r="J417" s="70"/>
      <c r="K417" s="67"/>
      <c r="L417" s="67"/>
      <c r="M417" s="67"/>
      <c r="N417" s="68"/>
      <c r="O417" s="55"/>
      <c r="P417" s="55"/>
      <c r="Q417" s="55"/>
      <c r="S417" s="616" t="s">
        <v>846</v>
      </c>
      <c r="T417" s="624">
        <f>SUMIFS(F329:F411,C329:C411,"D",H329:H411,"melnais")</f>
        <v>1.8300000000000003</v>
      </c>
      <c r="U417" s="624">
        <f>SUMIFS(F329:F411,C329:C411,"D",H329:H411,"dubultā virsma")</f>
        <v>0</v>
      </c>
      <c r="V417" s="624">
        <f>SUMIFS(F329:F411,C329:C411,"D",H329:H411,"bruģis")</f>
        <v>0</v>
      </c>
      <c r="W417" s="624">
        <f>SUMIFS(F329:F411,C329:C411,"D",H329:H411,"grants")</f>
        <v>60.78</v>
      </c>
      <c r="X417" s="624">
        <f>SUMIFS(F329:F411,C329:C411,"D",H329:H411,"cits segums")</f>
        <v>0.16999999999999998</v>
      </c>
      <c r="Y417" s="624">
        <f t="shared" si="51"/>
        <v>62.78</v>
      </c>
      <c r="Z417" s="616" t="s">
        <v>846</v>
      </c>
      <c r="AA417" s="614">
        <f>SUMIFS(F338:F411,C338:C411,"D",H338:H411,"melnais", Q338:Q411,"Nepiederošs")</f>
        <v>0</v>
      </c>
      <c r="AB417" s="614">
        <f>SUMIFS(F338:F411,C338:C411,"D",H338:H411,"dubultā virsma", Q338:Q411,"Nepiederošs")</f>
        <v>0</v>
      </c>
      <c r="AC417" s="614">
        <f>SUMIFS(F338:F411,C338:C411,"D",H338:H411,"bruģis", Q338:Q411,"Nepiederošs")</f>
        <v>0</v>
      </c>
      <c r="AD417" s="614">
        <f>SUMIFS(F338:F411,C338:C411,"D",H338:H411,"grants", Q338:Q411,"Nepiederošs")</f>
        <v>0.2</v>
      </c>
      <c r="AE417" s="614">
        <f>SUMIFS(F338:F411,C338:C411,"D",H338:H411,"cits segums", Q338:Q411,"Nepiederošs")</f>
        <v>0</v>
      </c>
      <c r="AF417" s="614">
        <f t="shared" si="52"/>
        <v>0.2</v>
      </c>
    </row>
    <row r="418" spans="1:32" x14ac:dyDescent="0.25">
      <c r="C418" s="438"/>
      <c r="T418" s="630">
        <f>SUM(T414:T417)</f>
        <v>4.45</v>
      </c>
      <c r="U418" s="630">
        <f t="shared" ref="U418" si="53">SUM(U414:U417)</f>
        <v>0</v>
      </c>
      <c r="V418" s="630">
        <f t="shared" ref="V418" si="54">SUM(V414:V417)</f>
        <v>0</v>
      </c>
      <c r="W418" s="630">
        <f t="shared" ref="W418" si="55">SUM(W414:W417)</f>
        <v>77.650000000000006</v>
      </c>
      <c r="X418" s="630">
        <f t="shared" ref="X418" si="56">SUM(X414:X417)</f>
        <v>0.16999999999999998</v>
      </c>
      <c r="Y418" s="630">
        <f t="shared" ref="Y418" si="57">SUM(Y414:Y417)</f>
        <v>82.27000000000001</v>
      </c>
      <c r="AA418" s="629">
        <f>SUM(AA414:AA417)</f>
        <v>0</v>
      </c>
      <c r="AB418" s="629">
        <f t="shared" ref="AB418" si="58">SUM(AB414:AB417)</f>
        <v>0</v>
      </c>
      <c r="AC418" s="629">
        <f>SUM(AC414:AC417)</f>
        <v>0</v>
      </c>
      <c r="AD418" s="629">
        <f t="shared" ref="AD418" si="59">SUM(AD414:AD417)</f>
        <v>0.2</v>
      </c>
      <c r="AE418" s="629">
        <f t="shared" ref="AE418" si="60">SUM(AE414:AE417)</f>
        <v>0</v>
      </c>
      <c r="AF418" s="629">
        <f t="shared" ref="AF418" si="61">SUM(AF414:AF417)</f>
        <v>0.2</v>
      </c>
    </row>
    <row r="419" spans="1:32" s="32" customFormat="1" ht="15" customHeight="1" x14ac:dyDescent="0.25">
      <c r="A419" s="33"/>
      <c r="B419" s="33"/>
      <c r="C419" s="33"/>
      <c r="D419" s="781" t="s">
        <v>1055</v>
      </c>
      <c r="E419" s="781"/>
      <c r="F419" s="781"/>
      <c r="G419" s="781"/>
      <c r="H419" s="781"/>
      <c r="I419" s="781"/>
      <c r="J419" s="781"/>
      <c r="K419" s="781"/>
      <c r="L419" s="781"/>
      <c r="M419" s="781"/>
      <c r="N419" s="781"/>
      <c r="O419" s="781"/>
      <c r="P419" s="781"/>
      <c r="Q419" s="30"/>
      <c r="R419" s="37"/>
    </row>
    <row r="420" spans="1:32" s="32" customFormat="1" ht="11.25" x14ac:dyDescent="0.25">
      <c r="A420" s="33"/>
      <c r="B420" s="33"/>
      <c r="C420" s="33"/>
      <c r="D420" s="38"/>
      <c r="E420" s="29"/>
      <c r="F420" s="29"/>
      <c r="G420" s="29"/>
      <c r="H420" s="30"/>
      <c r="I420" s="28"/>
      <c r="J420" s="28"/>
      <c r="K420" s="28"/>
      <c r="L420" s="28"/>
      <c r="M420" s="28"/>
      <c r="N420" s="39"/>
      <c r="O420" s="39"/>
      <c r="P420" s="28"/>
      <c r="Q420" s="28"/>
      <c r="R420" s="37"/>
    </row>
    <row r="421" spans="1:32" s="40" customFormat="1" ht="5.25" customHeight="1" x14ac:dyDescent="0.2">
      <c r="A421" s="44"/>
      <c r="B421" s="44"/>
      <c r="C421" s="39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</row>
    <row r="422" spans="1:32" s="40" customFormat="1" ht="12.75" customHeight="1" x14ac:dyDescent="0.2">
      <c r="A422" s="782" t="s">
        <v>244</v>
      </c>
      <c r="B422" s="790" t="s">
        <v>245</v>
      </c>
      <c r="C422" s="413"/>
      <c r="D422" s="793" t="s">
        <v>246</v>
      </c>
      <c r="E422" s="794"/>
      <c r="F422" s="794"/>
      <c r="G422" s="794"/>
      <c r="H422" s="794"/>
      <c r="I422" s="794"/>
      <c r="J422" s="794"/>
      <c r="K422" s="794"/>
      <c r="L422" s="794"/>
      <c r="M422" s="794"/>
      <c r="N422" s="794"/>
      <c r="O422" s="794"/>
      <c r="P422" s="784"/>
      <c r="Q422" s="795" t="s">
        <v>247</v>
      </c>
      <c r="R422" s="796"/>
    </row>
    <row r="423" spans="1:32" s="40" customFormat="1" ht="12.75" customHeight="1" x14ac:dyDescent="0.2">
      <c r="A423" s="782"/>
      <c r="B423" s="791"/>
      <c r="C423" s="395"/>
      <c r="D423" s="785" t="s">
        <v>248</v>
      </c>
      <c r="E423" s="785"/>
      <c r="F423" s="785"/>
      <c r="G423" s="785"/>
      <c r="H423" s="785"/>
      <c r="I423" s="788" t="s">
        <v>249</v>
      </c>
      <c r="J423" s="788"/>
      <c r="K423" s="788"/>
      <c r="L423" s="788"/>
      <c r="M423" s="788"/>
      <c r="N423" s="788"/>
      <c r="O423" s="788"/>
      <c r="P423" s="801" t="s">
        <v>250</v>
      </c>
      <c r="Q423" s="797"/>
      <c r="R423" s="798"/>
    </row>
    <row r="424" spans="1:32" s="40" customFormat="1" ht="15.2" customHeight="1" x14ac:dyDescent="0.2">
      <c r="A424" s="782"/>
      <c r="B424" s="791"/>
      <c r="C424" s="395"/>
      <c r="D424" s="785" t="s">
        <v>251</v>
      </c>
      <c r="E424" s="785"/>
      <c r="F424" s="786" t="s">
        <v>252</v>
      </c>
      <c r="G424" s="786" t="s">
        <v>881</v>
      </c>
      <c r="H424" s="782" t="s">
        <v>253</v>
      </c>
      <c r="I424" s="789" t="s">
        <v>254</v>
      </c>
      <c r="J424" s="788" t="s">
        <v>255</v>
      </c>
      <c r="K424" s="788"/>
      <c r="L424" s="787" t="s">
        <v>256</v>
      </c>
      <c r="M424" s="787" t="s">
        <v>257</v>
      </c>
      <c r="N424" s="787" t="s">
        <v>258</v>
      </c>
      <c r="O424" s="787" t="s">
        <v>259</v>
      </c>
      <c r="P424" s="799"/>
      <c r="Q424" s="799" t="s">
        <v>260</v>
      </c>
      <c r="R424" s="791" t="s">
        <v>261</v>
      </c>
    </row>
    <row r="425" spans="1:32" s="40" customFormat="1" ht="59.25" customHeight="1" x14ac:dyDescent="0.2">
      <c r="A425" s="782"/>
      <c r="B425" s="792"/>
      <c r="C425" s="432" t="s">
        <v>844</v>
      </c>
      <c r="D425" s="92" t="s">
        <v>262</v>
      </c>
      <c r="E425" s="92" t="s">
        <v>263</v>
      </c>
      <c r="F425" s="786"/>
      <c r="G425" s="786"/>
      <c r="H425" s="782"/>
      <c r="I425" s="789"/>
      <c r="J425" s="93" t="s">
        <v>231</v>
      </c>
      <c r="K425" s="93" t="s">
        <v>264</v>
      </c>
      <c r="L425" s="787"/>
      <c r="M425" s="787"/>
      <c r="N425" s="787"/>
      <c r="O425" s="787"/>
      <c r="P425" s="800"/>
      <c r="Q425" s="800"/>
      <c r="R425" s="792"/>
    </row>
    <row r="426" spans="1:32" s="41" customFormat="1" ht="12" customHeight="1" x14ac:dyDescent="0.25">
      <c r="A426" s="276">
        <v>1</v>
      </c>
      <c r="B426" s="276">
        <v>2</v>
      </c>
      <c r="C426" s="276"/>
      <c r="D426" s="276">
        <v>3</v>
      </c>
      <c r="E426" s="276">
        <v>4</v>
      </c>
      <c r="F426" s="276">
        <v>5</v>
      </c>
      <c r="G426" s="42">
        <v>5.0999999999999996</v>
      </c>
      <c r="H426" s="276">
        <v>6</v>
      </c>
      <c r="I426" s="292">
        <v>7</v>
      </c>
      <c r="J426" s="292">
        <v>8</v>
      </c>
      <c r="K426" s="292">
        <v>9</v>
      </c>
      <c r="L426" s="292">
        <v>10</v>
      </c>
      <c r="M426" s="292">
        <v>11</v>
      </c>
      <c r="N426" s="292">
        <v>12</v>
      </c>
      <c r="O426" s="292">
        <v>13</v>
      </c>
      <c r="P426" s="292">
        <v>14</v>
      </c>
      <c r="Q426" s="292">
        <v>15</v>
      </c>
      <c r="R426" s="276">
        <v>16</v>
      </c>
    </row>
    <row r="427" spans="1:32" x14ac:dyDescent="0.25">
      <c r="A427" s="27">
        <v>1</v>
      </c>
      <c r="B427" s="714" t="s">
        <v>766</v>
      </c>
      <c r="C427" s="436" t="s">
        <v>846</v>
      </c>
      <c r="D427" s="340">
        <v>0</v>
      </c>
      <c r="E427" s="340">
        <v>1.73</v>
      </c>
      <c r="F427" s="341">
        <v>1.73</v>
      </c>
      <c r="G427" s="341">
        <v>4</v>
      </c>
      <c r="H427" s="315" t="s">
        <v>0</v>
      </c>
      <c r="I427" s="342"/>
      <c r="J427" s="342"/>
      <c r="K427" s="342"/>
      <c r="L427" s="342"/>
      <c r="M427" s="342"/>
      <c r="N427" s="342"/>
      <c r="O427" s="342"/>
      <c r="P427" s="342"/>
      <c r="Q427" s="342">
        <v>66560010242</v>
      </c>
      <c r="R427" s="342">
        <v>66560010242</v>
      </c>
    </row>
    <row r="428" spans="1:32" x14ac:dyDescent="0.25">
      <c r="A428" s="27">
        <v>2</v>
      </c>
      <c r="B428" s="713" t="s">
        <v>767</v>
      </c>
      <c r="C428" s="443" t="s">
        <v>846</v>
      </c>
      <c r="D428" s="340">
        <v>0</v>
      </c>
      <c r="E428" s="340">
        <v>0.25</v>
      </c>
      <c r="F428" s="341">
        <v>0.25</v>
      </c>
      <c r="G428" s="341">
        <v>4</v>
      </c>
      <c r="H428" s="315" t="s">
        <v>0</v>
      </c>
      <c r="I428" s="342"/>
      <c r="J428" s="342"/>
      <c r="K428" s="342"/>
      <c r="L428" s="342"/>
      <c r="M428" s="342"/>
      <c r="N428" s="342"/>
      <c r="O428" s="342"/>
      <c r="P428" s="342"/>
      <c r="Q428" s="342">
        <v>66560010240</v>
      </c>
      <c r="R428" s="342">
        <v>66560010240</v>
      </c>
    </row>
    <row r="429" spans="1:32" x14ac:dyDescent="0.25">
      <c r="A429" s="27">
        <v>3</v>
      </c>
      <c r="B429" s="714" t="s">
        <v>768</v>
      </c>
      <c r="C429" s="436" t="s">
        <v>846</v>
      </c>
      <c r="D429" s="340">
        <v>0</v>
      </c>
      <c r="E429" s="340">
        <v>0.17</v>
      </c>
      <c r="F429" s="341">
        <v>0.17</v>
      </c>
      <c r="G429" s="341">
        <v>5</v>
      </c>
      <c r="H429" s="315" t="s">
        <v>0</v>
      </c>
      <c r="I429" s="342"/>
      <c r="J429" s="342"/>
      <c r="K429" s="342"/>
      <c r="L429" s="342"/>
      <c r="M429" s="342"/>
      <c r="N429" s="342"/>
      <c r="O429" s="342"/>
      <c r="P429" s="342"/>
      <c r="Q429" s="342">
        <v>66560010276</v>
      </c>
      <c r="R429" s="342">
        <v>66560010276</v>
      </c>
    </row>
    <row r="430" spans="1:32" x14ac:dyDescent="0.25">
      <c r="A430" s="27">
        <v>4</v>
      </c>
      <c r="B430" s="714" t="s">
        <v>769</v>
      </c>
      <c r="C430" s="436" t="s">
        <v>846</v>
      </c>
      <c r="D430" s="340">
        <v>0</v>
      </c>
      <c r="E430" s="340">
        <v>5.79</v>
      </c>
      <c r="F430" s="341">
        <v>5.79</v>
      </c>
      <c r="G430" s="341">
        <v>4.5</v>
      </c>
      <c r="H430" s="315" t="s">
        <v>0</v>
      </c>
      <c r="I430" s="342"/>
      <c r="J430" s="342"/>
      <c r="K430" s="342"/>
      <c r="L430" s="342"/>
      <c r="M430" s="342"/>
      <c r="N430" s="342"/>
      <c r="O430" s="342"/>
      <c r="P430" s="342"/>
      <c r="Q430" s="342">
        <v>66560010238</v>
      </c>
      <c r="R430" s="342">
        <v>66560010238</v>
      </c>
    </row>
    <row r="431" spans="1:32" x14ac:dyDescent="0.25">
      <c r="A431" s="27">
        <v>5</v>
      </c>
      <c r="B431" s="715" t="s">
        <v>770</v>
      </c>
      <c r="C431" s="444" t="s">
        <v>846</v>
      </c>
      <c r="D431" s="340">
        <v>0.64</v>
      </c>
      <c r="E431" s="340">
        <v>6.16</v>
      </c>
      <c r="F431" s="341">
        <v>5.52</v>
      </c>
      <c r="G431" s="341">
        <v>4.2</v>
      </c>
      <c r="H431" s="315" t="s">
        <v>0</v>
      </c>
      <c r="I431" s="342"/>
      <c r="J431" s="342"/>
      <c r="K431" s="342"/>
      <c r="L431" s="342"/>
      <c r="M431" s="342"/>
      <c r="N431" s="342"/>
      <c r="O431" s="342"/>
      <c r="P431" s="342"/>
      <c r="Q431" s="342">
        <v>66560020553</v>
      </c>
      <c r="R431" s="342">
        <v>66560020553</v>
      </c>
    </row>
    <row r="432" spans="1:32" x14ac:dyDescent="0.25">
      <c r="A432" s="27">
        <v>6</v>
      </c>
      <c r="B432" s="714" t="s">
        <v>771</v>
      </c>
      <c r="C432" s="436" t="s">
        <v>846</v>
      </c>
      <c r="D432" s="340">
        <v>0</v>
      </c>
      <c r="E432" s="340">
        <v>0.37</v>
      </c>
      <c r="F432" s="341">
        <v>0.37</v>
      </c>
      <c r="G432" s="341">
        <v>5.7</v>
      </c>
      <c r="H432" s="315" t="s">
        <v>0</v>
      </c>
      <c r="I432" s="342"/>
      <c r="J432" s="342"/>
      <c r="K432" s="342"/>
      <c r="L432" s="342"/>
      <c r="M432" s="342"/>
      <c r="N432" s="342"/>
      <c r="O432" s="342"/>
      <c r="P432" s="342"/>
      <c r="Q432" s="342">
        <v>66560020619</v>
      </c>
      <c r="R432" s="342">
        <v>66560020619</v>
      </c>
    </row>
    <row r="433" spans="1:18" x14ac:dyDescent="0.25">
      <c r="A433" s="27">
        <v>7</v>
      </c>
      <c r="B433" s="714" t="s">
        <v>772</v>
      </c>
      <c r="C433" s="436" t="s">
        <v>846</v>
      </c>
      <c r="D433" s="340">
        <v>0</v>
      </c>
      <c r="E433" s="340">
        <v>1.1200000000000001</v>
      </c>
      <c r="F433" s="341">
        <v>1.1200000000000001</v>
      </c>
      <c r="G433" s="341">
        <v>4.3</v>
      </c>
      <c r="H433" s="315" t="s">
        <v>0</v>
      </c>
      <c r="I433" s="342"/>
      <c r="J433" s="342"/>
      <c r="K433" s="342"/>
      <c r="L433" s="342"/>
      <c r="M433" s="342"/>
      <c r="N433" s="342"/>
      <c r="O433" s="342"/>
      <c r="P433" s="342"/>
      <c r="Q433" s="342">
        <v>66560020373</v>
      </c>
      <c r="R433" s="342">
        <v>66560020373</v>
      </c>
    </row>
    <row r="434" spans="1:18" x14ac:dyDescent="0.25">
      <c r="A434" s="27">
        <v>8</v>
      </c>
      <c r="B434" s="714" t="s">
        <v>773</v>
      </c>
      <c r="C434" s="436" t="s">
        <v>846</v>
      </c>
      <c r="D434" s="340">
        <v>0</v>
      </c>
      <c r="E434" s="340">
        <v>0.8</v>
      </c>
      <c r="F434" s="341">
        <v>0.8</v>
      </c>
      <c r="G434" s="341">
        <v>4.5</v>
      </c>
      <c r="H434" s="315" t="s">
        <v>0</v>
      </c>
      <c r="I434" s="342"/>
      <c r="J434" s="342"/>
      <c r="K434" s="342"/>
      <c r="L434" s="342"/>
      <c r="M434" s="342"/>
      <c r="N434" s="342"/>
      <c r="O434" s="342"/>
      <c r="P434" s="342"/>
      <c r="Q434" s="342">
        <v>66560040064</v>
      </c>
      <c r="R434" s="342">
        <v>66560040064</v>
      </c>
    </row>
    <row r="435" spans="1:18" x14ac:dyDescent="0.25">
      <c r="A435" s="27">
        <v>9</v>
      </c>
      <c r="B435" s="714" t="s">
        <v>774</v>
      </c>
      <c r="C435" s="436" t="s">
        <v>846</v>
      </c>
      <c r="D435" s="340">
        <v>0</v>
      </c>
      <c r="E435" s="340">
        <v>1.23</v>
      </c>
      <c r="F435" s="341">
        <v>1.23</v>
      </c>
      <c r="G435" s="341">
        <v>4</v>
      </c>
      <c r="H435" s="315" t="s">
        <v>0</v>
      </c>
      <c r="I435" s="342"/>
      <c r="J435" s="342"/>
      <c r="K435" s="342"/>
      <c r="L435" s="342"/>
      <c r="M435" s="342"/>
      <c r="N435" s="342"/>
      <c r="O435" s="342"/>
      <c r="P435" s="342"/>
      <c r="Q435" s="342">
        <v>66560040063</v>
      </c>
      <c r="R435" s="342">
        <v>66560040063</v>
      </c>
    </row>
    <row r="436" spans="1:18" ht="22.5" x14ac:dyDescent="0.25">
      <c r="A436" s="27">
        <v>10</v>
      </c>
      <c r="B436" s="716" t="s">
        <v>775</v>
      </c>
      <c r="C436" s="436" t="s">
        <v>846</v>
      </c>
      <c r="D436" s="686">
        <v>0</v>
      </c>
      <c r="E436" s="686">
        <v>1.6500000000000001</v>
      </c>
      <c r="F436" s="687">
        <v>1.6400000000000001</v>
      </c>
      <c r="G436" s="687">
        <v>4.5</v>
      </c>
      <c r="H436" s="316" t="s">
        <v>0</v>
      </c>
      <c r="I436" s="325" t="s">
        <v>761</v>
      </c>
      <c r="J436" s="353">
        <v>0.98</v>
      </c>
      <c r="K436" s="354" t="s">
        <v>762</v>
      </c>
      <c r="L436" s="325">
        <v>12</v>
      </c>
      <c r="M436" s="325">
        <v>82</v>
      </c>
      <c r="N436" s="325"/>
      <c r="O436" s="325" t="s">
        <v>667</v>
      </c>
      <c r="P436" s="325"/>
      <c r="Q436" s="355">
        <v>66560020557</v>
      </c>
      <c r="R436" s="355">
        <v>66560020557</v>
      </c>
    </row>
    <row r="437" spans="1:18" x14ac:dyDescent="0.25">
      <c r="A437" s="27">
        <v>11</v>
      </c>
      <c r="B437" s="713" t="s">
        <v>776</v>
      </c>
      <c r="C437" s="443" t="s">
        <v>846</v>
      </c>
      <c r="D437" s="340">
        <v>0</v>
      </c>
      <c r="E437" s="340">
        <v>2.1</v>
      </c>
      <c r="F437" s="341">
        <v>2.1</v>
      </c>
      <c r="G437" s="341">
        <v>4.2</v>
      </c>
      <c r="H437" s="334" t="s">
        <v>0</v>
      </c>
      <c r="I437" s="324"/>
      <c r="J437" s="324"/>
      <c r="K437" s="324"/>
      <c r="L437" s="324"/>
      <c r="M437" s="324"/>
      <c r="N437" s="324"/>
      <c r="O437" s="324"/>
      <c r="P437" s="324"/>
      <c r="Q437" s="342">
        <v>66560020556</v>
      </c>
      <c r="R437" s="342">
        <v>66560020556</v>
      </c>
    </row>
    <row r="438" spans="1:18" x14ac:dyDescent="0.25">
      <c r="A438" s="76">
        <v>12</v>
      </c>
      <c r="B438" s="714" t="s">
        <v>777</v>
      </c>
      <c r="C438" s="445" t="s">
        <v>846</v>
      </c>
      <c r="D438" s="340">
        <v>0</v>
      </c>
      <c r="E438" s="340">
        <v>1.76</v>
      </c>
      <c r="F438" s="341">
        <v>1.76</v>
      </c>
      <c r="G438" s="341">
        <v>4.5</v>
      </c>
      <c r="H438" s="334" t="s">
        <v>0</v>
      </c>
      <c r="I438" s="324"/>
      <c r="J438" s="324"/>
      <c r="K438" s="324"/>
      <c r="L438" s="324"/>
      <c r="M438" s="324"/>
      <c r="N438" s="324"/>
      <c r="O438" s="324"/>
      <c r="P438" s="324"/>
      <c r="Q438" s="342">
        <v>66560050103</v>
      </c>
      <c r="R438" s="342">
        <v>66560050103</v>
      </c>
    </row>
    <row r="439" spans="1:18" x14ac:dyDescent="0.25">
      <c r="A439" s="76">
        <v>13</v>
      </c>
      <c r="B439" s="713" t="s">
        <v>778</v>
      </c>
      <c r="C439" s="445" t="s">
        <v>846</v>
      </c>
      <c r="D439" s="340">
        <v>0</v>
      </c>
      <c r="E439" s="340">
        <v>0.18</v>
      </c>
      <c r="F439" s="341">
        <v>0.18</v>
      </c>
      <c r="G439" s="341">
        <v>3.8</v>
      </c>
      <c r="H439" s="334" t="s">
        <v>4</v>
      </c>
      <c r="I439" s="324"/>
      <c r="J439" s="324"/>
      <c r="K439" s="324"/>
      <c r="L439" s="324"/>
      <c r="M439" s="324"/>
      <c r="N439" s="324"/>
      <c r="O439" s="324"/>
      <c r="P439" s="324"/>
      <c r="Q439" s="342">
        <v>66560050099</v>
      </c>
      <c r="R439" s="342">
        <v>66560050099</v>
      </c>
    </row>
    <row r="440" spans="1:18" x14ac:dyDescent="0.25">
      <c r="A440" s="278"/>
      <c r="B440" s="713"/>
      <c r="C440" s="445" t="s">
        <v>846</v>
      </c>
      <c r="D440" s="340">
        <v>0.18</v>
      </c>
      <c r="E440" s="340">
        <v>0.84000000000000008</v>
      </c>
      <c r="F440" s="341">
        <v>0.66</v>
      </c>
      <c r="G440" s="341">
        <v>3</v>
      </c>
      <c r="H440" s="334" t="s">
        <v>325</v>
      </c>
      <c r="I440" s="324"/>
      <c r="J440" s="324"/>
      <c r="K440" s="324"/>
      <c r="L440" s="324"/>
      <c r="M440" s="324"/>
      <c r="N440" s="324"/>
      <c r="O440" s="324"/>
      <c r="P440" s="324"/>
      <c r="Q440" s="342">
        <v>66560050099</v>
      </c>
      <c r="R440" s="342">
        <v>66560050099</v>
      </c>
    </row>
    <row r="441" spans="1:18" x14ac:dyDescent="0.25">
      <c r="A441" s="278">
        <v>14</v>
      </c>
      <c r="B441" s="714" t="s">
        <v>779</v>
      </c>
      <c r="C441" s="445" t="s">
        <v>846</v>
      </c>
      <c r="D441" s="340">
        <v>0</v>
      </c>
      <c r="E441" s="340">
        <v>0.71</v>
      </c>
      <c r="F441" s="341">
        <v>0.71</v>
      </c>
      <c r="G441" s="341">
        <v>3</v>
      </c>
      <c r="H441" s="315" t="s">
        <v>0</v>
      </c>
      <c r="I441" s="315"/>
      <c r="J441" s="315"/>
      <c r="K441" s="315"/>
      <c r="L441" s="315"/>
      <c r="M441" s="315"/>
      <c r="N441" s="315"/>
      <c r="O441" s="315"/>
      <c r="P441" s="315"/>
      <c r="Q441" s="342">
        <v>66560060185</v>
      </c>
      <c r="R441" s="342">
        <v>66560060185</v>
      </c>
    </row>
    <row r="442" spans="1:18" x14ac:dyDescent="0.25">
      <c r="A442" s="76">
        <v>15</v>
      </c>
      <c r="B442" s="314" t="s">
        <v>780</v>
      </c>
      <c r="C442" s="445" t="s">
        <v>846</v>
      </c>
      <c r="D442" s="340">
        <v>0</v>
      </c>
      <c r="E442" s="340">
        <v>0.25</v>
      </c>
      <c r="F442" s="341">
        <v>0.25</v>
      </c>
      <c r="G442" s="341">
        <v>3.3</v>
      </c>
      <c r="H442" s="315" t="s">
        <v>0</v>
      </c>
      <c r="I442" s="315"/>
      <c r="J442" s="315"/>
      <c r="K442" s="315"/>
      <c r="L442" s="315"/>
      <c r="M442" s="315"/>
      <c r="N442" s="315"/>
      <c r="O442" s="315"/>
      <c r="P442" s="315"/>
      <c r="Q442" s="342">
        <v>66560020708</v>
      </c>
      <c r="R442" s="342">
        <v>66560020708</v>
      </c>
    </row>
    <row r="443" spans="1:18" x14ac:dyDescent="0.25">
      <c r="A443" s="76">
        <v>16</v>
      </c>
      <c r="B443" s="713" t="s">
        <v>781</v>
      </c>
      <c r="C443" s="445" t="s">
        <v>846</v>
      </c>
      <c r="D443" s="340">
        <v>0</v>
      </c>
      <c r="E443" s="340">
        <v>1.08</v>
      </c>
      <c r="F443" s="341">
        <v>1.08</v>
      </c>
      <c r="G443" s="341">
        <v>3</v>
      </c>
      <c r="H443" s="334" t="s">
        <v>0</v>
      </c>
      <c r="I443" s="334"/>
      <c r="J443" s="334"/>
      <c r="K443" s="334"/>
      <c r="L443" s="334"/>
      <c r="M443" s="334"/>
      <c r="N443" s="334"/>
      <c r="O443" s="334"/>
      <c r="P443" s="334"/>
      <c r="Q443" s="342">
        <v>66560020611</v>
      </c>
      <c r="R443" s="342">
        <v>66560020611</v>
      </c>
    </row>
    <row r="444" spans="1:18" x14ac:dyDescent="0.25">
      <c r="A444" s="278"/>
      <c r="B444" s="713"/>
      <c r="C444" s="445" t="s">
        <v>846</v>
      </c>
      <c r="D444" s="340">
        <v>1.08</v>
      </c>
      <c r="E444" s="340">
        <v>2.7199999999999998</v>
      </c>
      <c r="F444" s="341">
        <v>1.64</v>
      </c>
      <c r="G444" s="341">
        <v>3</v>
      </c>
      <c r="H444" s="334" t="s">
        <v>325</v>
      </c>
      <c r="I444" s="334"/>
      <c r="J444" s="334"/>
      <c r="K444" s="334"/>
      <c r="L444" s="334"/>
      <c r="M444" s="334"/>
      <c r="N444" s="334"/>
      <c r="O444" s="334"/>
      <c r="P444" s="334"/>
      <c r="Q444" s="342">
        <v>66560020611</v>
      </c>
      <c r="R444" s="342">
        <v>66560020611</v>
      </c>
    </row>
    <row r="445" spans="1:18" x14ac:dyDescent="0.25">
      <c r="A445" s="278">
        <v>17</v>
      </c>
      <c r="B445" s="714" t="s">
        <v>782</v>
      </c>
      <c r="C445" s="436" t="s">
        <v>846</v>
      </c>
      <c r="D445" s="340">
        <v>0</v>
      </c>
      <c r="E445" s="340">
        <v>0.67</v>
      </c>
      <c r="F445" s="341">
        <v>0.67</v>
      </c>
      <c r="G445" s="341">
        <v>3.5</v>
      </c>
      <c r="H445" s="334" t="s">
        <v>325</v>
      </c>
      <c r="I445" s="334"/>
      <c r="J445" s="334"/>
      <c r="K445" s="334"/>
      <c r="L445" s="334"/>
      <c r="M445" s="334"/>
      <c r="N445" s="334"/>
      <c r="O445" s="334"/>
      <c r="P445" s="334"/>
      <c r="Q445" s="342">
        <v>66560020558</v>
      </c>
      <c r="R445" s="342">
        <v>66560020558</v>
      </c>
    </row>
    <row r="446" spans="1:18" x14ac:dyDescent="0.25">
      <c r="A446" s="76">
        <v>18</v>
      </c>
      <c r="B446" s="713" t="s">
        <v>783</v>
      </c>
      <c r="C446" s="443" t="s">
        <v>846</v>
      </c>
      <c r="D446" s="340">
        <v>0</v>
      </c>
      <c r="E446" s="340">
        <v>0.88</v>
      </c>
      <c r="F446" s="341">
        <v>0.88</v>
      </c>
      <c r="G446" s="341">
        <v>4</v>
      </c>
      <c r="H446" s="315" t="s">
        <v>0</v>
      </c>
      <c r="I446" s="315"/>
      <c r="J446" s="315"/>
      <c r="K446" s="315"/>
      <c r="L446" s="315"/>
      <c r="M446" s="315"/>
      <c r="N446" s="315"/>
      <c r="O446" s="315"/>
      <c r="P446" s="315"/>
      <c r="Q446" s="342">
        <v>66560020561</v>
      </c>
      <c r="R446" s="342">
        <v>66560020561</v>
      </c>
    </row>
    <row r="447" spans="1:18" x14ac:dyDescent="0.25">
      <c r="A447" s="76">
        <v>19</v>
      </c>
      <c r="B447" s="313" t="s">
        <v>784</v>
      </c>
      <c r="C447" s="325" t="s">
        <v>845</v>
      </c>
      <c r="D447" s="340">
        <v>0</v>
      </c>
      <c r="E447" s="340">
        <v>1.04</v>
      </c>
      <c r="F447" s="341">
        <v>1.04</v>
      </c>
      <c r="G447" s="341">
        <v>6</v>
      </c>
      <c r="H447" s="315" t="s">
        <v>4</v>
      </c>
      <c r="I447" s="315"/>
      <c r="J447" s="315"/>
      <c r="K447" s="315"/>
      <c r="L447" s="315"/>
      <c r="M447" s="315"/>
      <c r="N447" s="315"/>
      <c r="O447" s="315"/>
      <c r="P447" s="315"/>
      <c r="Q447" s="342">
        <v>66560020613</v>
      </c>
      <c r="R447" s="342">
        <v>66560020613</v>
      </c>
    </row>
    <row r="448" spans="1:18" x14ac:dyDescent="0.25">
      <c r="A448" s="278"/>
      <c r="B448" s="314"/>
      <c r="C448" s="325" t="s">
        <v>845</v>
      </c>
      <c r="D448" s="340">
        <v>1.04</v>
      </c>
      <c r="E448" s="340">
        <v>2.29</v>
      </c>
      <c r="F448" s="341">
        <v>1.25</v>
      </c>
      <c r="G448" s="341">
        <v>5.2</v>
      </c>
      <c r="H448" s="315" t="s">
        <v>0</v>
      </c>
      <c r="I448" s="315"/>
      <c r="J448" s="315"/>
      <c r="K448" s="315"/>
      <c r="L448" s="315"/>
      <c r="M448" s="315"/>
      <c r="N448" s="315"/>
      <c r="O448" s="315"/>
      <c r="P448" s="315"/>
      <c r="Q448" s="342">
        <v>66560020613</v>
      </c>
      <c r="R448" s="342">
        <v>66560020613</v>
      </c>
    </row>
    <row r="449" spans="1:32" x14ac:dyDescent="0.25">
      <c r="A449" s="278">
        <v>20</v>
      </c>
      <c r="B449" s="714" t="s">
        <v>785</v>
      </c>
      <c r="C449" s="436" t="s">
        <v>846</v>
      </c>
      <c r="D449" s="340">
        <v>0</v>
      </c>
      <c r="E449" s="340">
        <v>1.33</v>
      </c>
      <c r="F449" s="341">
        <v>1.33</v>
      </c>
      <c r="G449" s="341">
        <v>3.5</v>
      </c>
      <c r="H449" s="315" t="s">
        <v>0</v>
      </c>
      <c r="I449" s="315"/>
      <c r="J449" s="315"/>
      <c r="K449" s="315"/>
      <c r="L449" s="315"/>
      <c r="M449" s="315"/>
      <c r="N449" s="315"/>
      <c r="O449" s="315"/>
      <c r="P449" s="315"/>
      <c r="Q449" s="342">
        <v>66560020559</v>
      </c>
      <c r="R449" s="342">
        <v>66560020559</v>
      </c>
      <c r="AA449" t="s">
        <v>1097</v>
      </c>
    </row>
    <row r="450" spans="1:32" ht="23.25" x14ac:dyDescent="0.25">
      <c r="K450" s="53" t="s">
        <v>268</v>
      </c>
      <c r="L450" s="50">
        <f>SUM(L427:L449)</f>
        <v>12</v>
      </c>
      <c r="M450" s="50">
        <f>SUM(M427:M449)</f>
        <v>82</v>
      </c>
      <c r="O450" s="53" t="s">
        <v>269</v>
      </c>
      <c r="P450" s="50">
        <f>SUM(P427:P449)</f>
        <v>0</v>
      </c>
      <c r="S450" s="102"/>
      <c r="T450" s="625" t="s">
        <v>1092</v>
      </c>
      <c r="U450" s="625" t="s">
        <v>1093</v>
      </c>
      <c r="V450" s="625" t="s">
        <v>1094</v>
      </c>
      <c r="W450" s="625" t="s">
        <v>1095</v>
      </c>
      <c r="X450" s="625" t="s">
        <v>1096</v>
      </c>
      <c r="Y450" s="627" t="s">
        <v>269</v>
      </c>
      <c r="Z450" s="102"/>
      <c r="AA450" s="625" t="s">
        <v>1092</v>
      </c>
      <c r="AB450" s="625" t="s">
        <v>1093</v>
      </c>
      <c r="AC450" s="625" t="s">
        <v>1094</v>
      </c>
      <c r="AD450" s="625" t="s">
        <v>1095</v>
      </c>
      <c r="AE450" s="625" t="s">
        <v>1096</v>
      </c>
      <c r="AF450" s="627" t="s">
        <v>269</v>
      </c>
    </row>
    <row r="451" spans="1:32" s="1" customFormat="1" ht="11.25" x14ac:dyDescent="0.2">
      <c r="A451" s="46" t="s">
        <v>786</v>
      </c>
      <c r="B451" s="47"/>
      <c r="C451" s="47"/>
      <c r="D451" s="48"/>
      <c r="E451" s="49"/>
      <c r="F451" s="50">
        <f>SUM(F427:F449)</f>
        <v>32.170000000000009</v>
      </c>
      <c r="G451" s="688"/>
      <c r="H451" s="51"/>
      <c r="I451" s="40"/>
      <c r="J451" s="52"/>
      <c r="N451" s="55"/>
      <c r="Q451" s="55"/>
      <c r="S451" s="628" t="s">
        <v>844</v>
      </c>
      <c r="T451" s="625" t="s">
        <v>231</v>
      </c>
      <c r="U451" s="625" t="s">
        <v>231</v>
      </c>
      <c r="V451" s="625" t="s">
        <v>231</v>
      </c>
      <c r="W451" s="625" t="s">
        <v>231</v>
      </c>
      <c r="X451" s="625" t="s">
        <v>231</v>
      </c>
      <c r="Y451" s="626" t="s">
        <v>231</v>
      </c>
      <c r="Z451" s="628"/>
      <c r="AA451" s="625" t="s">
        <v>231</v>
      </c>
      <c r="AB451" s="625" t="s">
        <v>231</v>
      </c>
      <c r="AC451" s="625" t="s">
        <v>231</v>
      </c>
      <c r="AD451" s="625" t="s">
        <v>231</v>
      </c>
      <c r="AE451" s="625" t="s">
        <v>231</v>
      </c>
      <c r="AF451" s="626" t="s">
        <v>231</v>
      </c>
    </row>
    <row r="452" spans="1:32" s="1" customFormat="1" ht="11.25" x14ac:dyDescent="0.2">
      <c r="A452" s="56" t="s">
        <v>270</v>
      </c>
      <c r="B452" s="57"/>
      <c r="C452" s="57"/>
      <c r="D452" s="58"/>
      <c r="E452" s="59"/>
      <c r="F452" s="266">
        <f>SUMIFS(F427:F449,H427:H449,"melnais")</f>
        <v>1.22</v>
      </c>
      <c r="G452" s="632"/>
      <c r="H452" s="61"/>
      <c r="I452" s="62"/>
      <c r="J452" s="55"/>
      <c r="K452" s="63"/>
      <c r="L452" s="64"/>
      <c r="M452" s="64"/>
      <c r="N452" s="55"/>
      <c r="O452" s="55"/>
      <c r="P452" s="55"/>
      <c r="Q452" s="55"/>
      <c r="S452" s="616" t="s">
        <v>847</v>
      </c>
      <c r="T452" s="624">
        <f>SUMIFS(F412:F449,C412:C449,"A",H412:H449,"melnais")</f>
        <v>0</v>
      </c>
      <c r="U452" s="624">
        <f>SUMIFS(F412:F449,C412:C449,"A",H412:H449,"dubultā virsma")</f>
        <v>0</v>
      </c>
      <c r="V452" s="624">
        <f>SUMIFS(F412:F449,C412:C449,"A",H412:H449,"bruģis")</f>
        <v>0</v>
      </c>
      <c r="W452" s="624">
        <f>SUMIFS(F412:F449,C412:C449,"A",H412:H449,"grants")</f>
        <v>0</v>
      </c>
      <c r="X452" s="624">
        <f>SUMIFS(F412:F449,C412:C449,"A",H412:H449,"cits segums")</f>
        <v>0</v>
      </c>
      <c r="Y452" s="624">
        <f>SUM(T452:X452)</f>
        <v>0</v>
      </c>
      <c r="Z452" s="616" t="s">
        <v>847</v>
      </c>
      <c r="AA452" s="614">
        <f>SUMIFS(F412:F449,C412:C449,"A",H412:H449,"melnais", Q412:Q449,"Nepiederošs")</f>
        <v>0</v>
      </c>
      <c r="AB452" s="614">
        <f>SUMIFS(F412:F449,C412:C449,"A",H412:H449,"dubultā virsma", Q412:Q449,"Nepiederošs")</f>
        <v>0</v>
      </c>
      <c r="AC452" s="614">
        <f>SUMIFS(F412:F449,C412:C449,"A",H412:H449,"bruģis", Q412:Q449,"Nepiederošs")</f>
        <v>0</v>
      </c>
      <c r="AD452" s="614">
        <f>SUMIFS(F412:F449,C412:C449,"A",H412:H449,"grants", Q412:Q449,"Nepiederošs")</f>
        <v>0</v>
      </c>
      <c r="AE452" s="614">
        <f>SUMIFS(F412:F449,C412:C449,"A",H412:H449,"cits segums", Q412:Q449,"Nepiederošs")</f>
        <v>0</v>
      </c>
      <c r="AF452" s="614">
        <f>SUM(AA452:AE452)</f>
        <v>0</v>
      </c>
    </row>
    <row r="453" spans="1:32" s="1" customFormat="1" ht="11.25" x14ac:dyDescent="0.2">
      <c r="A453" s="56" t="s">
        <v>271</v>
      </c>
      <c r="B453" s="57"/>
      <c r="C453" s="57"/>
      <c r="D453" s="58"/>
      <c r="E453" s="59"/>
      <c r="F453" s="266">
        <f>SUMIFS(F427:F449,H427:H449,"bruģis")</f>
        <v>0</v>
      </c>
      <c r="G453" s="632"/>
      <c r="H453" s="65"/>
      <c r="I453" s="40"/>
      <c r="J453" s="66"/>
      <c r="K453" s="67"/>
      <c r="L453" s="67"/>
      <c r="M453" s="67"/>
      <c r="N453" s="68"/>
      <c r="O453" s="55"/>
      <c r="P453" s="55"/>
      <c r="Q453" s="55"/>
      <c r="S453" s="617" t="s">
        <v>848</v>
      </c>
      <c r="T453" s="624">
        <f>SUMIFS(F412:F449,C412:C449,"B",H412:H449,"melnais")</f>
        <v>0</v>
      </c>
      <c r="U453" s="624">
        <f>SUMIFS(F412:F449,C412:C449,"B",H412:H449,"dubultā virsma")</f>
        <v>0</v>
      </c>
      <c r="V453" s="624">
        <f>SUMIFS(F412:F449,C412:C449,"B",H412:H449,"bruģis")</f>
        <v>0</v>
      </c>
      <c r="W453" s="624">
        <f>SUMIFS(F412:F449,C412:C449,"B",H412:H449,"grants")</f>
        <v>0</v>
      </c>
      <c r="X453" s="624">
        <f>SUMIFS(F412:F449,C412:C449,"B",H412:H449,"cits segums")</f>
        <v>0</v>
      </c>
      <c r="Y453" s="624">
        <f t="shared" ref="Y453:Y455" si="62">SUM(T453:X453)</f>
        <v>0</v>
      </c>
      <c r="Z453" s="617" t="s">
        <v>848</v>
      </c>
      <c r="AA453" s="614">
        <f>SUMIFS(F412:F449,C412:C449,"B",H412:H449,"melnais", Q412:Q449,"Nepiederošs")</f>
        <v>0</v>
      </c>
      <c r="AB453" s="614">
        <f>SUMIFS(F412:F449,C412:C449,"B",H412:H449,"dubultā virsma", Q412:Q449,"Nepiederošs")</f>
        <v>0</v>
      </c>
      <c r="AC453" s="614">
        <f>SUMIFS(F412:F449,C412:C449,"B",H412:H449,"bruģis", Q412:Q449,"Nepiederošs")</f>
        <v>0</v>
      </c>
      <c r="AD453" s="614">
        <f>SUMIFS(F412:F449,C412:C449,"B",H412:H449,"grants", Q412:Q449,"Nepiederošs")</f>
        <v>0</v>
      </c>
      <c r="AE453" s="614">
        <f>SUMIFS(F412:F449,C412:C449,"B",H412:H449,"cits segums", Q412:Q449,"Nepiederošs")</f>
        <v>0</v>
      </c>
      <c r="AF453" s="614">
        <f t="shared" ref="AF453:AF455" si="63">SUM(AA453:AE453)</f>
        <v>0</v>
      </c>
    </row>
    <row r="454" spans="1:32" s="1" customFormat="1" ht="11.25" x14ac:dyDescent="0.2">
      <c r="A454" s="56" t="s">
        <v>272</v>
      </c>
      <c r="B454" s="57"/>
      <c r="C454" s="57"/>
      <c r="D454" s="58"/>
      <c r="E454" s="59"/>
      <c r="F454" s="266">
        <f>SUMIFS(F427:F449,H427:H449,"grants")</f>
        <v>27.980000000000004</v>
      </c>
      <c r="G454" s="632"/>
      <c r="H454" s="65"/>
      <c r="I454" s="65"/>
      <c r="J454" s="66"/>
      <c r="K454" s="53" t="s">
        <v>268</v>
      </c>
      <c r="L454" s="50">
        <f>L450+L412+L313+L236+L176+L87+L49</f>
        <v>127.69</v>
      </c>
      <c r="M454" s="50">
        <f>M450+M412+M313+M236+M176+M87+M49</f>
        <v>852</v>
      </c>
      <c r="N454" s="55"/>
      <c r="O454" s="53" t="s">
        <v>269</v>
      </c>
      <c r="P454" s="50">
        <f>P450+P412+P313+P236+P176+P87+P49</f>
        <v>1803</v>
      </c>
      <c r="Q454" s="55"/>
      <c r="S454" s="615" t="s">
        <v>845</v>
      </c>
      <c r="T454" s="624">
        <f>SUMIFS(F412:F449,C412:C449,"C",H412:H449,"melnais")</f>
        <v>1.04</v>
      </c>
      <c r="U454" s="624">
        <f>SUMIFS(F412:F449,C412:C449,"C",H412:H449,"dubultā virsma")</f>
        <v>0</v>
      </c>
      <c r="V454" s="624">
        <f>SUMIFS(F412:F449,C412:C449,"C",H412:H449,"bruģis")</f>
        <v>0</v>
      </c>
      <c r="W454" s="624">
        <f>SUMIFS(F412:F449,C412:C449,"C",H412:H449,"grants")</f>
        <v>1.25</v>
      </c>
      <c r="X454" s="624">
        <f>SUMIFS(F412:F449,C412:C449,"C",H412:H449,"cits segums")</f>
        <v>0</v>
      </c>
      <c r="Y454" s="624">
        <f t="shared" si="62"/>
        <v>2.29</v>
      </c>
      <c r="Z454" s="615" t="s">
        <v>845</v>
      </c>
      <c r="AA454" s="614">
        <f>SUMIFS(F412:F449,C412:C449,"C",H412:H449,"melnais", Q412:Q449,"Nepiederošs")</f>
        <v>0</v>
      </c>
      <c r="AB454" s="614">
        <f>SUMIFS(F412:F449,C412:C449,"C",H412:H449,"dubultā virsma", Q412:Q449,"Nepiederošs")</f>
        <v>0</v>
      </c>
      <c r="AC454" s="614">
        <f>SUMIFS(F412:F449,C412:C449,"C",H412:H449,"bruģis", Q412:Q449,"Nepiederošs")</f>
        <v>0</v>
      </c>
      <c r="AD454" s="614">
        <f>SUMIFS(F412:F449,C412:C449,"C",H412:H449,"grants", Q412:Q449,"Nepiederošs")</f>
        <v>0</v>
      </c>
      <c r="AE454" s="614">
        <f>SUMIFS(F412:F449,C412:C449,"C",H412:H449,"cits segums", Q412:Q449,"Nepiederošs")</f>
        <v>0</v>
      </c>
      <c r="AF454" s="614">
        <f t="shared" si="63"/>
        <v>0</v>
      </c>
    </row>
    <row r="455" spans="1:32" s="1" customFormat="1" ht="11.25" x14ac:dyDescent="0.2">
      <c r="A455" s="56" t="s">
        <v>273</v>
      </c>
      <c r="B455" s="57"/>
      <c r="C455" s="57"/>
      <c r="D455" s="58"/>
      <c r="E455" s="59"/>
      <c r="F455" s="266">
        <f>SUMIFS(F427:F449,H427:H449,"cits segums")</f>
        <v>2.9699999999999998</v>
      </c>
      <c r="G455" s="632"/>
      <c r="H455" s="69"/>
      <c r="I455" s="65"/>
      <c r="J455" s="70"/>
      <c r="K455" s="67"/>
      <c r="L455" s="67"/>
      <c r="M455" s="67"/>
      <c r="N455" s="68"/>
      <c r="O455" s="55"/>
      <c r="P455" s="55"/>
      <c r="Q455" s="55"/>
      <c r="S455" s="616" t="s">
        <v>846</v>
      </c>
      <c r="T455" s="624">
        <f>SUMIFS(F412:F449,C412:C449,"D",H412:H449,"melnais")</f>
        <v>0.18</v>
      </c>
      <c r="U455" s="624">
        <f>SUMIFS(F412:F449,C412:C449,"D",H412:H449,"dubultā virsma")</f>
        <v>0</v>
      </c>
      <c r="V455" s="624">
        <f>SUMIFS(F412:F449,C412:C449,"D",H412:H449,"bruģis")</f>
        <v>0</v>
      </c>
      <c r="W455" s="624">
        <f>SUMIFS(F412:F449,C412:C449,"D",H412:H449,"grants")</f>
        <v>26.730000000000004</v>
      </c>
      <c r="X455" s="624">
        <f>SUMIFS(F412:F449,C412:C449,"D",H412:H449,"cits segums")</f>
        <v>2.9699999999999998</v>
      </c>
      <c r="Y455" s="624">
        <f t="shared" si="62"/>
        <v>29.880000000000003</v>
      </c>
      <c r="Z455" s="616" t="s">
        <v>846</v>
      </c>
      <c r="AA455" s="614">
        <f>SUMIFS(F412:F449,C412:C449,"D",H412:H449,"melnais", Q412:Q449,"Nepiederošs")</f>
        <v>0</v>
      </c>
      <c r="AB455" s="614">
        <f>SUMIFS(F412:F449,C412:C449,"D",H412:H449,"dubultā virsma", Q412:Q449,"Nepiederošs")</f>
        <v>0</v>
      </c>
      <c r="AC455" s="614">
        <f>SUMIFS(F412:F449,C412:C449,"D",H412:H449,"bruģis", Q412:Q449,"Nepiederošs")</f>
        <v>0</v>
      </c>
      <c r="AD455" s="614">
        <f>SUMIFS(F412:F449,C412:C449,"D",H412:H449,"grants", Q412:Q449,"Nepiederošs")</f>
        <v>0</v>
      </c>
      <c r="AE455" s="614">
        <f>SUMIFS(F412:F449,C412:C449,"D",H412:H449,"cits segums", Q412:Q449,"Nepiederošs")</f>
        <v>0</v>
      </c>
      <c r="AF455" s="614">
        <f t="shared" si="63"/>
        <v>0</v>
      </c>
    </row>
    <row r="456" spans="1:32" x14ac:dyDescent="0.25">
      <c r="T456" s="630">
        <f>SUM(T452:T455)</f>
        <v>1.22</v>
      </c>
      <c r="U456" s="630">
        <f t="shared" ref="U456" si="64">SUM(U452:U455)</f>
        <v>0</v>
      </c>
      <c r="V456" s="630">
        <f t="shared" ref="V456" si="65">SUM(V452:V455)</f>
        <v>0</v>
      </c>
      <c r="W456" s="630">
        <f t="shared" ref="W456" si="66">SUM(W452:W455)</f>
        <v>27.980000000000004</v>
      </c>
      <c r="X456" s="630">
        <f t="shared" ref="X456" si="67">SUM(X452:X455)</f>
        <v>2.9699999999999998</v>
      </c>
      <c r="Y456" s="630">
        <f t="shared" ref="Y456" si="68">SUM(Y452:Y455)</f>
        <v>32.17</v>
      </c>
      <c r="AA456" s="629">
        <f>SUM(AA452:AA455)</f>
        <v>0</v>
      </c>
      <c r="AB456" s="629">
        <f t="shared" ref="AB456" si="69">SUM(AB452:AB455)</f>
        <v>0</v>
      </c>
      <c r="AC456" s="629">
        <f>SUM(AC452:AC455)</f>
        <v>0</v>
      </c>
      <c r="AD456" s="629">
        <f t="shared" ref="AD456" si="70">SUM(AD452:AD455)</f>
        <v>0</v>
      </c>
      <c r="AE456" s="629">
        <f t="shared" ref="AE456" si="71">SUM(AE452:AE455)</f>
        <v>0</v>
      </c>
      <c r="AF456" s="629">
        <f t="shared" ref="AF456" si="72">SUM(AF452:AF455)</f>
        <v>0</v>
      </c>
    </row>
    <row r="457" spans="1:32" s="1" customFormat="1" ht="11.25" x14ac:dyDescent="0.2">
      <c r="A457" s="46" t="s">
        <v>841</v>
      </c>
      <c r="B457" s="47"/>
      <c r="C457" s="47"/>
      <c r="D457" s="48"/>
      <c r="E457" s="49"/>
      <c r="F457" s="50">
        <f>F451+F413+F315+F237+F177+F88+F50</f>
        <v>371.27000000000004</v>
      </c>
      <c r="G457" s="688"/>
      <c r="H457" s="51"/>
      <c r="I457" s="40"/>
      <c r="J457" s="52"/>
      <c r="Q457" s="55"/>
    </row>
    <row r="458" spans="1:32" s="1" customFormat="1" ht="11.25" x14ac:dyDescent="0.2">
      <c r="A458" s="56" t="s">
        <v>270</v>
      </c>
      <c r="B458" s="57"/>
      <c r="C458" s="57"/>
      <c r="D458" s="58"/>
      <c r="E458" s="59"/>
      <c r="F458" s="60">
        <f>F452+F414+F316+F238+F178+F89+F51</f>
        <v>11.320000000000002</v>
      </c>
      <c r="G458" s="81"/>
      <c r="H458" s="61"/>
      <c r="I458" s="62"/>
      <c r="J458" s="55"/>
      <c r="K458" s="63"/>
      <c r="L458" s="64"/>
      <c r="M458" s="64"/>
      <c r="N458" s="55"/>
      <c r="O458" s="55"/>
      <c r="P458" s="55"/>
      <c r="Q458" s="55"/>
    </row>
    <row r="459" spans="1:32" s="1" customFormat="1" ht="11.25" x14ac:dyDescent="0.2">
      <c r="A459" s="56" t="s">
        <v>271</v>
      </c>
      <c r="B459" s="57"/>
      <c r="C459" s="57"/>
      <c r="D459" s="58"/>
      <c r="E459" s="59"/>
      <c r="F459" s="60">
        <f>F453+F415+F317+F239+F179+F90+F52</f>
        <v>7.0000000000000007E-2</v>
      </c>
      <c r="G459" s="81"/>
      <c r="H459" s="65"/>
      <c r="I459" s="40"/>
      <c r="J459" s="66"/>
      <c r="K459" s="67"/>
      <c r="L459" s="67"/>
      <c r="M459" s="67"/>
      <c r="N459" s="68"/>
      <c r="O459" s="55"/>
      <c r="P459" s="55"/>
      <c r="Q459" s="55"/>
    </row>
    <row r="460" spans="1:32" s="1" customFormat="1" ht="11.25" x14ac:dyDescent="0.2">
      <c r="A460" s="56" t="s">
        <v>272</v>
      </c>
      <c r="B460" s="57"/>
      <c r="C460" s="57"/>
      <c r="D460" s="58"/>
      <c r="E460" s="59"/>
      <c r="F460" s="60">
        <f>F454+F416+F318+F240+F180+F91+F53</f>
        <v>346.29</v>
      </c>
      <c r="G460" s="81"/>
      <c r="H460" s="65"/>
      <c r="I460" s="65"/>
      <c r="J460" s="66"/>
      <c r="K460" s="67"/>
      <c r="L460" s="67"/>
      <c r="M460" s="67"/>
      <c r="N460" s="68"/>
      <c r="O460" s="55"/>
      <c r="P460" s="55"/>
      <c r="Q460" s="55"/>
    </row>
    <row r="461" spans="1:32" s="1" customFormat="1" ht="11.25" x14ac:dyDescent="0.2">
      <c r="A461" s="56" t="s">
        <v>273</v>
      </c>
      <c r="B461" s="57"/>
      <c r="C461" s="57"/>
      <c r="D461" s="58"/>
      <c r="E461" s="59"/>
      <c r="F461" s="60">
        <f>F455+F417+F319+F241+F181+F92+F54</f>
        <v>13.59</v>
      </c>
      <c r="G461" s="81"/>
      <c r="H461" s="69"/>
      <c r="I461" s="65"/>
      <c r="J461" s="70"/>
      <c r="K461" s="67"/>
      <c r="L461" s="67"/>
      <c r="M461" s="67"/>
      <c r="N461" s="68"/>
      <c r="O461" s="55"/>
      <c r="P461" s="55"/>
      <c r="Q461" s="55"/>
    </row>
    <row r="466" spans="2:15" x14ac:dyDescent="0.25">
      <c r="B466" s="403" t="s">
        <v>835</v>
      </c>
      <c r="C466" s="403"/>
      <c r="D466" s="774"/>
      <c r="E466" s="774"/>
      <c r="F466" s="774"/>
      <c r="G466" s="689"/>
      <c r="H466" s="162"/>
      <c r="I466" s="162"/>
      <c r="J466" s="159"/>
      <c r="K466" s="159"/>
      <c r="L466" s="396"/>
      <c r="M466" s="396"/>
      <c r="N466" s="396"/>
      <c r="O466" s="63"/>
    </row>
    <row r="467" spans="2:15" x14ac:dyDescent="0.25">
      <c r="B467" s="403" t="s">
        <v>836</v>
      </c>
      <c r="C467" s="403"/>
      <c r="D467" s="399" t="s">
        <v>1270</v>
      </c>
      <c r="E467" s="399"/>
      <c r="F467" s="399"/>
      <c r="G467" s="399"/>
      <c r="H467" s="399"/>
      <c r="I467" s="399"/>
      <c r="J467" s="399"/>
      <c r="K467" s="399"/>
      <c r="L467" s="652"/>
      <c r="M467" s="397"/>
      <c r="N467" s="397"/>
      <c r="O467" s="63"/>
    </row>
    <row r="468" spans="2:15" x14ac:dyDescent="0.25">
      <c r="B468" s="403"/>
      <c r="C468" s="403"/>
      <c r="D468" s="778" t="s">
        <v>837</v>
      </c>
      <c r="E468" s="778"/>
      <c r="F468" s="778"/>
      <c r="G468" s="778"/>
      <c r="H468" s="778"/>
      <c r="I468" s="778"/>
      <c r="J468" s="778"/>
      <c r="K468" s="778"/>
      <c r="L468" s="396"/>
      <c r="M468" s="779" t="s">
        <v>838</v>
      </c>
      <c r="N468" s="779"/>
      <c r="O468" s="63"/>
    </row>
    <row r="469" spans="2:15" x14ac:dyDescent="0.25">
      <c r="B469" s="403" t="s">
        <v>835</v>
      </c>
      <c r="C469" s="403"/>
      <c r="D469" s="774"/>
      <c r="E469" s="774"/>
      <c r="F469" s="774"/>
      <c r="G469" s="689"/>
      <c r="H469" s="398"/>
      <c r="I469" s="398"/>
      <c r="J469" s="161"/>
      <c r="K469" s="161"/>
      <c r="L469" s="396"/>
      <c r="M469" s="396"/>
      <c r="N469" s="396"/>
      <c r="O469" s="63"/>
    </row>
    <row r="470" spans="2:15" x14ac:dyDescent="0.25">
      <c r="B470" s="403" t="s">
        <v>839</v>
      </c>
      <c r="C470" s="403"/>
      <c r="D470" s="780" t="s">
        <v>1099</v>
      </c>
      <c r="E470" s="780"/>
      <c r="F470" s="780"/>
      <c r="G470" s="780"/>
      <c r="H470" s="780"/>
      <c r="I470" s="780"/>
      <c r="J470" s="780"/>
      <c r="K470" s="780"/>
      <c r="L470" s="396"/>
      <c r="M470" s="397"/>
      <c r="N470" s="397"/>
      <c r="O470" s="63"/>
    </row>
    <row r="471" spans="2:15" x14ac:dyDescent="0.25">
      <c r="B471" s="403"/>
      <c r="C471" s="403"/>
      <c r="D471" s="778" t="s">
        <v>837</v>
      </c>
      <c r="E471" s="778"/>
      <c r="F471" s="778"/>
      <c r="G471" s="778"/>
      <c r="H471" s="778"/>
      <c r="I471" s="778"/>
      <c r="J471" s="778"/>
      <c r="K471" s="778"/>
      <c r="L471" s="396"/>
      <c r="M471" s="779" t="s">
        <v>838</v>
      </c>
      <c r="N471" s="779"/>
      <c r="O471" s="63"/>
    </row>
  </sheetData>
  <mergeCells count="150">
    <mergeCell ref="Z2:AA2"/>
    <mergeCell ref="T2:X2"/>
    <mergeCell ref="Q6:R7"/>
    <mergeCell ref="D7:H7"/>
    <mergeCell ref="I7:O7"/>
    <mergeCell ref="P7:P9"/>
    <mergeCell ref="D8:E8"/>
    <mergeCell ref="O424:O425"/>
    <mergeCell ref="Q424:Q425"/>
    <mergeCell ref="R424:R425"/>
    <mergeCell ref="D419:P419"/>
    <mergeCell ref="O326:O327"/>
    <mergeCell ref="Q326:Q327"/>
    <mergeCell ref="R326:R327"/>
    <mergeCell ref="D321:P321"/>
    <mergeCell ref="D56:P56"/>
    <mergeCell ref="I60:O60"/>
    <mergeCell ref="P60:P62"/>
    <mergeCell ref="D61:E61"/>
    <mergeCell ref="F61:F62"/>
    <mergeCell ref="H61:H62"/>
    <mergeCell ref="I61:I62"/>
    <mergeCell ref="J61:K61"/>
    <mergeCell ref="L61:L62"/>
    <mergeCell ref="Q422:R423"/>
    <mergeCell ref="D423:H423"/>
    <mergeCell ref="I423:O423"/>
    <mergeCell ref="P423:P425"/>
    <mergeCell ref="D424:E424"/>
    <mergeCell ref="F424:F425"/>
    <mergeCell ref="H424:H425"/>
    <mergeCell ref="I424:I425"/>
    <mergeCell ref="J424:K424"/>
    <mergeCell ref="L424:L425"/>
    <mergeCell ref="M424:M425"/>
    <mergeCell ref="N424:N425"/>
    <mergeCell ref="Q324:R325"/>
    <mergeCell ref="D325:H325"/>
    <mergeCell ref="I325:O325"/>
    <mergeCell ref="P325:P327"/>
    <mergeCell ref="D326:E326"/>
    <mergeCell ref="F326:F327"/>
    <mergeCell ref="H326:H327"/>
    <mergeCell ref="I326:I327"/>
    <mergeCell ref="J326:K326"/>
    <mergeCell ref="L326:L327"/>
    <mergeCell ref="M326:M327"/>
    <mergeCell ref="N326:N327"/>
    <mergeCell ref="D1:P1"/>
    <mergeCell ref="D3:P3"/>
    <mergeCell ref="A6:A9"/>
    <mergeCell ref="B6:B9"/>
    <mergeCell ref="D6:P6"/>
    <mergeCell ref="N8:N9"/>
    <mergeCell ref="O8:O9"/>
    <mergeCell ref="Q8:Q9"/>
    <mergeCell ref="R8:R9"/>
    <mergeCell ref="F8:F9"/>
    <mergeCell ref="H8:H9"/>
    <mergeCell ref="I8:I9"/>
    <mergeCell ref="J8:K8"/>
    <mergeCell ref="L8:L9"/>
    <mergeCell ref="M8:M9"/>
    <mergeCell ref="G8:G9"/>
    <mergeCell ref="M61:M62"/>
    <mergeCell ref="N61:N62"/>
    <mergeCell ref="D60:H60"/>
    <mergeCell ref="Q61:Q62"/>
    <mergeCell ref="R61:R62"/>
    <mergeCell ref="D94:P94"/>
    <mergeCell ref="A97:A100"/>
    <mergeCell ref="B97:B100"/>
    <mergeCell ref="D97:P97"/>
    <mergeCell ref="Q97:R98"/>
    <mergeCell ref="D98:H98"/>
    <mergeCell ref="I98:O98"/>
    <mergeCell ref="A59:A62"/>
    <mergeCell ref="B59:B62"/>
    <mergeCell ref="D59:P59"/>
    <mergeCell ref="Q59:R60"/>
    <mergeCell ref="L99:L100"/>
    <mergeCell ref="M99:M100"/>
    <mergeCell ref="N99:N100"/>
    <mergeCell ref="O99:O100"/>
    <mergeCell ref="O61:O62"/>
    <mergeCell ref="Q99:Q100"/>
    <mergeCell ref="R99:R100"/>
    <mergeCell ref="G61:G62"/>
    <mergeCell ref="D183:P183"/>
    <mergeCell ref="A186:A189"/>
    <mergeCell ref="B186:B189"/>
    <mergeCell ref="D186:P186"/>
    <mergeCell ref="Q186:R187"/>
    <mergeCell ref="D187:H187"/>
    <mergeCell ref="I187:O187"/>
    <mergeCell ref="P187:P189"/>
    <mergeCell ref="P98:P100"/>
    <mergeCell ref="D99:E99"/>
    <mergeCell ref="F99:F100"/>
    <mergeCell ref="H99:H100"/>
    <mergeCell ref="I99:I100"/>
    <mergeCell ref="J99:K99"/>
    <mergeCell ref="Q188:Q189"/>
    <mergeCell ref="R188:R189"/>
    <mergeCell ref="G99:G100"/>
    <mergeCell ref="G188:G189"/>
    <mergeCell ref="D243:P243"/>
    <mergeCell ref="D188:E188"/>
    <mergeCell ref="F188:F189"/>
    <mergeCell ref="H188:H189"/>
    <mergeCell ref="I188:I189"/>
    <mergeCell ref="J188:K188"/>
    <mergeCell ref="L188:L189"/>
    <mergeCell ref="M188:M189"/>
    <mergeCell ref="N188:N189"/>
    <mergeCell ref="O188:O189"/>
    <mergeCell ref="Q246:R247"/>
    <mergeCell ref="D247:H247"/>
    <mergeCell ref="I247:O247"/>
    <mergeCell ref="P247:P249"/>
    <mergeCell ref="D248:E248"/>
    <mergeCell ref="F248:F249"/>
    <mergeCell ref="H248:H249"/>
    <mergeCell ref="Q248:Q249"/>
    <mergeCell ref="R248:R249"/>
    <mergeCell ref="I248:I249"/>
    <mergeCell ref="J248:K248"/>
    <mergeCell ref="L248:L249"/>
    <mergeCell ref="M248:M249"/>
    <mergeCell ref="N248:N249"/>
    <mergeCell ref="O248:O249"/>
    <mergeCell ref="G248:G249"/>
    <mergeCell ref="D466:F466"/>
    <mergeCell ref="D468:K468"/>
    <mergeCell ref="M468:N468"/>
    <mergeCell ref="D469:F469"/>
    <mergeCell ref="D470:K470"/>
    <mergeCell ref="D471:K471"/>
    <mergeCell ref="M471:N471"/>
    <mergeCell ref="A246:A249"/>
    <mergeCell ref="B246:B249"/>
    <mergeCell ref="D246:P246"/>
    <mergeCell ref="A324:A327"/>
    <mergeCell ref="B324:B327"/>
    <mergeCell ref="D324:P324"/>
    <mergeCell ref="A422:A425"/>
    <mergeCell ref="B422:B425"/>
    <mergeCell ref="D422:P422"/>
    <mergeCell ref="G326:G327"/>
    <mergeCell ref="G424:G425"/>
  </mergeCells>
  <pageMargins left="0.7" right="0.7" top="0.75" bottom="0.75" header="0.3" footer="0.3"/>
  <pageSetup paperSize="9" orientation="portrait" verticalDpi="0" r:id="rId1"/>
  <ignoredErrors>
    <ignoredError sqref="R35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232"/>
  <sheetViews>
    <sheetView tabSelected="1" workbookViewId="0">
      <pane ySplit="3" topLeftCell="A4" activePane="bottomLeft" state="frozen"/>
      <selection activeCell="D141" sqref="D141"/>
      <selection pane="bottomLeft" activeCell="J217" sqref="J217"/>
    </sheetView>
  </sheetViews>
  <sheetFormatPr defaultColWidth="9.140625" defaultRowHeight="15" x14ac:dyDescent="0.25"/>
  <cols>
    <col min="1" max="1" width="4.85546875" customWidth="1"/>
    <col min="2" max="2" width="18.140625" style="731" customWidth="1"/>
    <col min="3" max="3" width="11.28515625" customWidth="1"/>
    <col min="4" max="4" width="9.85546875" customWidth="1"/>
    <col min="5" max="5" width="9.28515625" customWidth="1"/>
    <col min="6" max="7" width="7.28515625" customWidth="1"/>
    <col min="8" max="9" width="9.28515625" customWidth="1"/>
    <col min="10" max="10" width="9.140625" customWidth="1"/>
    <col min="11" max="11" width="10" customWidth="1"/>
    <col min="12" max="13" width="10.85546875" customWidth="1"/>
    <col min="14" max="14" width="12" customWidth="1"/>
    <col min="17" max="17" width="13.140625" customWidth="1"/>
    <col min="18" max="18" width="13.42578125" customWidth="1"/>
    <col min="19" max="19" width="9.140625" customWidth="1"/>
  </cols>
  <sheetData>
    <row r="1" spans="1:27" s="1" customFormat="1" x14ac:dyDescent="0.2">
      <c r="A1" s="10"/>
      <c r="B1" s="13"/>
      <c r="C1" s="10"/>
      <c r="D1" s="802" t="s">
        <v>1043</v>
      </c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10"/>
      <c r="R1" s="31" t="s">
        <v>240</v>
      </c>
      <c r="T1" s="418" t="s">
        <v>847</v>
      </c>
      <c r="U1" s="419" t="s">
        <v>848</v>
      </c>
      <c r="V1" s="419" t="s">
        <v>845</v>
      </c>
      <c r="W1" s="419" t="s">
        <v>846</v>
      </c>
      <c r="X1" s="420" t="s">
        <v>854</v>
      </c>
      <c r="Y1" s="32"/>
      <c r="Z1" s="427" t="s">
        <v>845</v>
      </c>
      <c r="AA1" s="428" t="s">
        <v>846</v>
      </c>
    </row>
    <row r="2" spans="1:27" s="1" customFormat="1" ht="11.25" x14ac:dyDescent="0.2">
      <c r="A2" s="10"/>
      <c r="B2" s="13"/>
      <c r="C2" s="10"/>
      <c r="D2" s="10"/>
      <c r="E2" s="13"/>
      <c r="F2" s="13"/>
      <c r="G2" s="13"/>
      <c r="H2" s="13"/>
      <c r="I2" s="10"/>
      <c r="J2" s="45"/>
      <c r="K2" s="10"/>
      <c r="L2" s="10"/>
      <c r="M2" s="10"/>
      <c r="N2" s="10"/>
      <c r="O2" s="10"/>
      <c r="P2" s="10"/>
      <c r="Q2" s="10"/>
      <c r="R2" s="37" t="s">
        <v>1271</v>
      </c>
      <c r="T2" s="806" t="s">
        <v>857</v>
      </c>
      <c r="U2" s="807"/>
      <c r="V2" s="807"/>
      <c r="W2" s="807"/>
      <c r="X2" s="808"/>
      <c r="Y2" s="32"/>
      <c r="Z2" s="804" t="s">
        <v>856</v>
      </c>
      <c r="AA2" s="805"/>
    </row>
    <row r="3" spans="1:27" s="1" customFormat="1" ht="12.75" x14ac:dyDescent="0.2">
      <c r="A3" s="33"/>
      <c r="B3" s="33"/>
      <c r="C3" s="33"/>
      <c r="D3" s="803" t="s">
        <v>1056</v>
      </c>
      <c r="E3" s="803"/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30"/>
      <c r="R3" s="37" t="s">
        <v>1272</v>
      </c>
      <c r="T3" s="423" t="s">
        <v>849</v>
      </c>
      <c r="U3" s="424" t="s">
        <v>850</v>
      </c>
      <c r="V3" s="424" t="s">
        <v>851</v>
      </c>
      <c r="W3" s="424" t="s">
        <v>852</v>
      </c>
      <c r="X3" s="425" t="s">
        <v>855</v>
      </c>
      <c r="Y3" s="32"/>
      <c r="Z3" s="431" t="s">
        <v>853</v>
      </c>
      <c r="AA3" s="426" t="s">
        <v>852</v>
      </c>
    </row>
    <row r="4" spans="1:27" s="1" customFormat="1" ht="11.25" x14ac:dyDescent="0.2">
      <c r="A4" s="33"/>
      <c r="B4" s="33"/>
      <c r="C4" s="33"/>
      <c r="D4" s="38"/>
      <c r="E4" s="29"/>
      <c r="F4" s="29"/>
      <c r="G4" s="29"/>
      <c r="H4" s="30"/>
      <c r="I4" s="28"/>
      <c r="J4" s="28"/>
      <c r="K4" s="28"/>
      <c r="L4" s="28"/>
      <c r="M4" s="28"/>
      <c r="N4" s="39"/>
      <c r="O4" s="39"/>
      <c r="P4" s="28"/>
      <c r="Q4" s="28"/>
    </row>
    <row r="5" spans="1:27" s="1" customFormat="1" ht="11.25" x14ac:dyDescent="0.2">
      <c r="A5" s="44"/>
      <c r="B5" s="73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37"/>
    </row>
    <row r="6" spans="1:27" s="1" customFormat="1" ht="11.25" x14ac:dyDescent="0.2">
      <c r="A6" s="782" t="s">
        <v>244</v>
      </c>
      <c r="B6" s="790" t="s">
        <v>245</v>
      </c>
      <c r="C6" s="413"/>
      <c r="D6" s="793" t="s">
        <v>246</v>
      </c>
      <c r="E6" s="794"/>
      <c r="F6" s="794"/>
      <c r="G6" s="794"/>
      <c r="H6" s="794"/>
      <c r="I6" s="794"/>
      <c r="J6" s="794"/>
      <c r="K6" s="794"/>
      <c r="L6" s="794"/>
      <c r="M6" s="794"/>
      <c r="N6" s="794"/>
      <c r="O6" s="794"/>
      <c r="P6" s="784"/>
      <c r="Q6" s="795" t="s">
        <v>247</v>
      </c>
      <c r="R6" s="796"/>
    </row>
    <row r="7" spans="1:27" s="1" customFormat="1" ht="11.25" x14ac:dyDescent="0.2">
      <c r="A7" s="782"/>
      <c r="B7" s="791"/>
      <c r="C7" s="395"/>
      <c r="D7" s="785" t="s">
        <v>248</v>
      </c>
      <c r="E7" s="785"/>
      <c r="F7" s="785"/>
      <c r="G7" s="785"/>
      <c r="H7" s="785"/>
      <c r="I7" s="788" t="s">
        <v>249</v>
      </c>
      <c r="J7" s="788"/>
      <c r="K7" s="788"/>
      <c r="L7" s="788"/>
      <c r="M7" s="788"/>
      <c r="N7" s="788"/>
      <c r="O7" s="788"/>
      <c r="P7" s="801" t="s">
        <v>250</v>
      </c>
      <c r="Q7" s="797"/>
      <c r="R7" s="798"/>
    </row>
    <row r="8" spans="1:27" s="1" customFormat="1" ht="11.25" x14ac:dyDescent="0.2">
      <c r="A8" s="782"/>
      <c r="B8" s="791"/>
      <c r="C8" s="395"/>
      <c r="D8" s="785" t="s">
        <v>251</v>
      </c>
      <c r="E8" s="785"/>
      <c r="F8" s="786" t="s">
        <v>252</v>
      </c>
      <c r="G8" s="786" t="s">
        <v>881</v>
      </c>
      <c r="H8" s="782" t="s">
        <v>253</v>
      </c>
      <c r="I8" s="789" t="s">
        <v>254</v>
      </c>
      <c r="J8" s="788" t="s">
        <v>255</v>
      </c>
      <c r="K8" s="788"/>
      <c r="L8" s="787" t="s">
        <v>256</v>
      </c>
      <c r="M8" s="787" t="s">
        <v>257</v>
      </c>
      <c r="N8" s="787" t="s">
        <v>258</v>
      </c>
      <c r="O8" s="787" t="s">
        <v>259</v>
      </c>
      <c r="P8" s="799"/>
      <c r="Q8" s="799" t="s">
        <v>260</v>
      </c>
      <c r="R8" s="791" t="s">
        <v>261</v>
      </c>
    </row>
    <row r="9" spans="1:27" s="1" customFormat="1" ht="66.75" customHeight="1" x14ac:dyDescent="0.2">
      <c r="A9" s="782"/>
      <c r="B9" s="792"/>
      <c r="C9" s="432" t="s">
        <v>844</v>
      </c>
      <c r="D9" s="74" t="s">
        <v>262</v>
      </c>
      <c r="E9" s="74" t="s">
        <v>263</v>
      </c>
      <c r="F9" s="786"/>
      <c r="G9" s="786"/>
      <c r="H9" s="782"/>
      <c r="I9" s="789"/>
      <c r="J9" s="75" t="s">
        <v>231</v>
      </c>
      <c r="K9" s="75" t="s">
        <v>264</v>
      </c>
      <c r="L9" s="787"/>
      <c r="M9" s="787"/>
      <c r="N9" s="787"/>
      <c r="O9" s="787"/>
      <c r="P9" s="800"/>
      <c r="Q9" s="800"/>
      <c r="R9" s="792"/>
    </row>
    <row r="10" spans="1:27" s="1" customFormat="1" ht="11.25" x14ac:dyDescent="0.2">
      <c r="A10" s="276">
        <v>1</v>
      </c>
      <c r="B10" s="276">
        <v>2</v>
      </c>
      <c r="C10" s="276"/>
      <c r="D10" s="42">
        <v>3</v>
      </c>
      <c r="E10" s="42">
        <v>4</v>
      </c>
      <c r="F10" s="42">
        <v>5</v>
      </c>
      <c r="G10" s="42">
        <v>5.0999999999999996</v>
      </c>
      <c r="H10" s="42">
        <v>6</v>
      </c>
      <c r="I10" s="43">
        <v>7</v>
      </c>
      <c r="J10" s="43">
        <v>8</v>
      </c>
      <c r="K10" s="43">
        <v>9</v>
      </c>
      <c r="L10" s="43">
        <v>10</v>
      </c>
      <c r="M10" s="43">
        <v>11</v>
      </c>
      <c r="N10" s="43">
        <v>12</v>
      </c>
      <c r="O10" s="43">
        <v>13</v>
      </c>
      <c r="P10" s="43">
        <v>14</v>
      </c>
      <c r="Q10" s="43">
        <v>15</v>
      </c>
      <c r="R10" s="42">
        <v>16</v>
      </c>
    </row>
    <row r="11" spans="1:27" s="1" customFormat="1" ht="11.25" x14ac:dyDescent="0.2">
      <c r="A11" s="283">
        <v>1</v>
      </c>
      <c r="B11" s="726" t="s">
        <v>297</v>
      </c>
      <c r="C11" s="446" t="s">
        <v>846</v>
      </c>
      <c r="D11" s="6">
        <v>0</v>
      </c>
      <c r="E11" s="6">
        <v>0.16</v>
      </c>
      <c r="F11" s="279">
        <f>E11-D11</f>
        <v>0.16</v>
      </c>
      <c r="G11" s="6">
        <v>3</v>
      </c>
      <c r="H11" s="3" t="s">
        <v>0</v>
      </c>
      <c r="I11" s="3"/>
      <c r="J11" s="22"/>
      <c r="K11" s="23"/>
      <c r="L11" s="22"/>
      <c r="M11" s="22"/>
      <c r="N11" s="22"/>
      <c r="O11" s="22"/>
      <c r="P11" s="22"/>
      <c r="Q11" s="456" t="s">
        <v>859</v>
      </c>
      <c r="R11" s="5">
        <v>80940020058</v>
      </c>
      <c r="S11" s="7"/>
    </row>
    <row r="12" spans="1:27" s="1" customFormat="1" ht="11.25" x14ac:dyDescent="0.2">
      <c r="A12" s="283"/>
      <c r="B12" s="726"/>
      <c r="C12" s="76" t="s">
        <v>846</v>
      </c>
      <c r="D12" s="6">
        <v>0.16</v>
      </c>
      <c r="E12" s="6">
        <v>0.53</v>
      </c>
      <c r="F12" s="279">
        <f t="shared" ref="F12:F37" si="0">E12-D12</f>
        <v>0.37</v>
      </c>
      <c r="G12" s="6">
        <v>3</v>
      </c>
      <c r="H12" s="3" t="s">
        <v>0</v>
      </c>
      <c r="I12" s="3"/>
      <c r="J12" s="22"/>
      <c r="K12" s="23"/>
      <c r="L12" s="22"/>
      <c r="M12" s="22"/>
      <c r="N12" s="22"/>
      <c r="O12" s="22"/>
      <c r="P12" s="22"/>
      <c r="Q12" s="19">
        <v>80940020015</v>
      </c>
      <c r="R12" s="19">
        <v>80940020015</v>
      </c>
      <c r="S12" s="7"/>
    </row>
    <row r="13" spans="1:27" s="1" customFormat="1" ht="11.25" x14ac:dyDescent="0.2">
      <c r="A13" s="280">
        <v>2</v>
      </c>
      <c r="B13" s="3" t="s">
        <v>296</v>
      </c>
      <c r="C13" s="27" t="s">
        <v>846</v>
      </c>
      <c r="D13" s="6">
        <v>0</v>
      </c>
      <c r="E13" s="6">
        <v>0.53</v>
      </c>
      <c r="F13" s="279">
        <f t="shared" si="0"/>
        <v>0.53</v>
      </c>
      <c r="G13" s="6">
        <v>3</v>
      </c>
      <c r="H13" s="3" t="s">
        <v>325</v>
      </c>
      <c r="I13" s="3"/>
      <c r="J13" s="22"/>
      <c r="K13" s="23"/>
      <c r="L13" s="22"/>
      <c r="M13" s="22"/>
      <c r="N13" s="22"/>
      <c r="O13" s="22"/>
      <c r="P13" s="22"/>
      <c r="Q13" s="19">
        <v>80940020271</v>
      </c>
      <c r="R13" s="19">
        <v>80940020271</v>
      </c>
    </row>
    <row r="14" spans="1:27" s="1" customFormat="1" ht="11.25" x14ac:dyDescent="0.2">
      <c r="A14" s="289">
        <v>3</v>
      </c>
      <c r="B14" s="728" t="s">
        <v>298</v>
      </c>
      <c r="C14" s="27" t="s">
        <v>846</v>
      </c>
      <c r="D14" s="6">
        <v>0</v>
      </c>
      <c r="E14" s="6">
        <v>0.18</v>
      </c>
      <c r="F14" s="279">
        <f t="shared" si="0"/>
        <v>0.18</v>
      </c>
      <c r="G14" s="6">
        <v>3</v>
      </c>
      <c r="H14" s="3" t="s">
        <v>0</v>
      </c>
      <c r="I14" s="3"/>
      <c r="J14" s="22"/>
      <c r="K14" s="23"/>
      <c r="L14" s="22"/>
      <c r="M14" s="22"/>
      <c r="N14" s="22"/>
      <c r="O14" s="22"/>
      <c r="P14" s="22"/>
      <c r="Q14" s="19">
        <v>80940010186</v>
      </c>
      <c r="R14" s="19">
        <v>80940010186</v>
      </c>
    </row>
    <row r="15" spans="1:27" s="1" customFormat="1" ht="11.25" x14ac:dyDescent="0.2">
      <c r="A15" s="289"/>
      <c r="B15" s="728"/>
      <c r="C15" s="27" t="s">
        <v>846</v>
      </c>
      <c r="D15" s="6">
        <v>0.18</v>
      </c>
      <c r="E15" s="6">
        <v>0.35</v>
      </c>
      <c r="F15" s="279">
        <f t="shared" si="0"/>
        <v>0.16999999999999998</v>
      </c>
      <c r="G15" s="6">
        <v>3</v>
      </c>
      <c r="H15" s="3" t="s">
        <v>0</v>
      </c>
      <c r="I15" s="3"/>
      <c r="J15" s="22"/>
      <c r="K15" s="23"/>
      <c r="L15" s="22"/>
      <c r="M15" s="22"/>
      <c r="N15" s="22"/>
      <c r="O15" s="22"/>
      <c r="P15" s="22"/>
      <c r="Q15" s="19">
        <v>80940010187</v>
      </c>
      <c r="R15" s="19">
        <v>80940010187</v>
      </c>
    </row>
    <row r="16" spans="1:27" s="1" customFormat="1" ht="11.25" x14ac:dyDescent="0.2">
      <c r="A16" s="289"/>
      <c r="B16" s="728"/>
      <c r="C16" s="27" t="s">
        <v>846</v>
      </c>
      <c r="D16" s="6">
        <v>0.35</v>
      </c>
      <c r="E16" s="6">
        <v>2.19</v>
      </c>
      <c r="F16" s="279">
        <f t="shared" si="0"/>
        <v>1.8399999999999999</v>
      </c>
      <c r="G16" s="6">
        <v>3</v>
      </c>
      <c r="H16" s="3" t="s">
        <v>0</v>
      </c>
      <c r="I16" s="3"/>
      <c r="J16" s="22"/>
      <c r="K16" s="23"/>
      <c r="L16" s="22"/>
      <c r="M16" s="22"/>
      <c r="N16" s="22"/>
      <c r="O16" s="22"/>
      <c r="P16" s="22"/>
      <c r="Q16" s="19">
        <v>80940010160</v>
      </c>
      <c r="R16" s="19">
        <v>80940010160</v>
      </c>
    </row>
    <row r="17" spans="1:18" s="1" customFormat="1" ht="11.25" x14ac:dyDescent="0.2">
      <c r="A17" s="280">
        <v>4</v>
      </c>
      <c r="B17" s="3" t="s">
        <v>299</v>
      </c>
      <c r="C17" s="27" t="s">
        <v>846</v>
      </c>
      <c r="D17" s="6">
        <v>0</v>
      </c>
      <c r="E17" s="6">
        <v>0.22</v>
      </c>
      <c r="F17" s="279">
        <f t="shared" si="0"/>
        <v>0.22</v>
      </c>
      <c r="G17" s="6">
        <v>3</v>
      </c>
      <c r="H17" s="3" t="s">
        <v>0</v>
      </c>
      <c r="I17" s="3"/>
      <c r="J17" s="22"/>
      <c r="K17" s="23"/>
      <c r="L17" s="22"/>
      <c r="M17" s="22"/>
      <c r="N17" s="22"/>
      <c r="O17" s="22"/>
      <c r="P17" s="22"/>
      <c r="Q17" s="19">
        <v>80940040766</v>
      </c>
      <c r="R17" s="19">
        <v>80940040766</v>
      </c>
    </row>
    <row r="18" spans="1:18" s="1" customFormat="1" ht="11.25" x14ac:dyDescent="0.2">
      <c r="A18" s="23">
        <v>5</v>
      </c>
      <c r="B18" s="3" t="s">
        <v>300</v>
      </c>
      <c r="C18" s="27" t="s">
        <v>846</v>
      </c>
      <c r="D18" s="6">
        <v>0</v>
      </c>
      <c r="E18" s="6">
        <v>0.68</v>
      </c>
      <c r="F18" s="279">
        <f t="shared" si="0"/>
        <v>0.68</v>
      </c>
      <c r="G18" s="6">
        <v>4</v>
      </c>
      <c r="H18" s="3" t="s">
        <v>0</v>
      </c>
      <c r="I18" s="3"/>
      <c r="J18" s="22"/>
      <c r="K18" s="23"/>
      <c r="L18" s="22"/>
      <c r="M18" s="22"/>
      <c r="N18" s="22"/>
      <c r="O18" s="22"/>
      <c r="P18" s="22"/>
      <c r="Q18" s="19">
        <v>80940040652</v>
      </c>
      <c r="R18" s="19">
        <v>80940040652</v>
      </c>
    </row>
    <row r="19" spans="1:18" s="1" customFormat="1" ht="11.25" x14ac:dyDescent="0.2">
      <c r="A19" s="23">
        <v>6</v>
      </c>
      <c r="B19" s="3" t="s">
        <v>301</v>
      </c>
      <c r="C19" s="27" t="s">
        <v>846</v>
      </c>
      <c r="D19" s="6">
        <v>0</v>
      </c>
      <c r="E19" s="6">
        <v>0.23</v>
      </c>
      <c r="F19" s="279">
        <f t="shared" si="0"/>
        <v>0.23</v>
      </c>
      <c r="G19" s="6">
        <v>4</v>
      </c>
      <c r="H19" s="3" t="s">
        <v>0</v>
      </c>
      <c r="I19" s="3"/>
      <c r="J19" s="22"/>
      <c r="K19" s="23"/>
      <c r="L19" s="22"/>
      <c r="M19" s="22"/>
      <c r="N19" s="22"/>
      <c r="O19" s="22"/>
      <c r="P19" s="22"/>
      <c r="Q19" s="5">
        <v>80940050004</v>
      </c>
      <c r="R19" s="5">
        <v>80940050004</v>
      </c>
    </row>
    <row r="20" spans="1:18" s="1" customFormat="1" ht="11.25" x14ac:dyDescent="0.2">
      <c r="A20" s="23">
        <v>7</v>
      </c>
      <c r="B20" s="3" t="s">
        <v>302</v>
      </c>
      <c r="C20" s="27" t="s">
        <v>846</v>
      </c>
      <c r="D20" s="6">
        <v>0</v>
      </c>
      <c r="E20" s="6">
        <v>0.39</v>
      </c>
      <c r="F20" s="279">
        <f t="shared" si="0"/>
        <v>0.39</v>
      </c>
      <c r="G20" s="6">
        <v>3</v>
      </c>
      <c r="H20" s="3" t="s">
        <v>0</v>
      </c>
      <c r="I20" s="3"/>
      <c r="J20" s="22"/>
      <c r="K20" s="23"/>
      <c r="L20" s="22"/>
      <c r="M20" s="22"/>
      <c r="N20" s="22"/>
      <c r="O20" s="22"/>
      <c r="P20" s="22"/>
      <c r="Q20" s="5">
        <v>80940050297</v>
      </c>
      <c r="R20" s="5">
        <v>80940050297</v>
      </c>
    </row>
    <row r="21" spans="1:18" s="1" customFormat="1" ht="11.25" x14ac:dyDescent="0.2">
      <c r="A21" s="23">
        <v>8</v>
      </c>
      <c r="B21" s="3" t="s">
        <v>303</v>
      </c>
      <c r="C21" s="27" t="s">
        <v>846</v>
      </c>
      <c r="D21" s="6">
        <v>0</v>
      </c>
      <c r="E21" s="6">
        <v>0.38</v>
      </c>
      <c r="F21" s="279">
        <f t="shared" si="0"/>
        <v>0.38</v>
      </c>
      <c r="G21" s="6">
        <v>4</v>
      </c>
      <c r="H21" s="3" t="s">
        <v>0</v>
      </c>
      <c r="I21" s="3"/>
      <c r="J21" s="22"/>
      <c r="K21" s="23"/>
      <c r="L21" s="22"/>
      <c r="M21" s="22"/>
      <c r="N21" s="22"/>
      <c r="O21" s="22"/>
      <c r="P21" s="22"/>
      <c r="Q21" s="5">
        <v>80940050298</v>
      </c>
      <c r="R21" s="5">
        <v>80940050298</v>
      </c>
    </row>
    <row r="22" spans="1:18" s="1" customFormat="1" ht="11.25" x14ac:dyDescent="0.2">
      <c r="A22" s="283">
        <v>9</v>
      </c>
      <c r="B22" s="726" t="s">
        <v>304</v>
      </c>
      <c r="C22" s="27" t="s">
        <v>845</v>
      </c>
      <c r="D22" s="6">
        <v>0</v>
      </c>
      <c r="E22" s="6">
        <v>0.4</v>
      </c>
      <c r="F22" s="279">
        <f t="shared" si="0"/>
        <v>0.4</v>
      </c>
      <c r="G22" s="6">
        <v>4</v>
      </c>
      <c r="H22" s="3" t="s">
        <v>4</v>
      </c>
      <c r="I22" s="3"/>
      <c r="J22" s="22"/>
      <c r="K22" s="23"/>
      <c r="L22" s="22"/>
      <c r="M22" s="22"/>
      <c r="N22" s="22"/>
      <c r="O22" s="22"/>
      <c r="P22" s="22"/>
      <c r="Q22" s="19">
        <v>80940040437</v>
      </c>
      <c r="R22" s="19">
        <v>80940040437</v>
      </c>
    </row>
    <row r="23" spans="1:18" s="1" customFormat="1" ht="11.25" x14ac:dyDescent="0.2">
      <c r="A23" s="282"/>
      <c r="B23" s="16"/>
      <c r="C23" s="27" t="s">
        <v>845</v>
      </c>
      <c r="D23" s="6">
        <v>0.4</v>
      </c>
      <c r="E23" s="6">
        <v>0.7</v>
      </c>
      <c r="F23" s="279">
        <f t="shared" si="0"/>
        <v>0.29999999999999993</v>
      </c>
      <c r="G23" s="6">
        <v>4</v>
      </c>
      <c r="H23" s="3" t="s">
        <v>0</v>
      </c>
      <c r="I23" s="3"/>
      <c r="J23" s="22"/>
      <c r="K23" s="23"/>
      <c r="L23" s="22"/>
      <c r="M23" s="22"/>
      <c r="N23" s="22"/>
      <c r="O23" s="22"/>
      <c r="P23" s="22"/>
      <c r="Q23" s="19">
        <v>80940040437</v>
      </c>
      <c r="R23" s="19">
        <v>80940040437</v>
      </c>
    </row>
    <row r="24" spans="1:18" s="1" customFormat="1" ht="11.25" x14ac:dyDescent="0.2">
      <c r="A24" s="283">
        <v>10</v>
      </c>
      <c r="B24" s="726" t="s">
        <v>305</v>
      </c>
      <c r="C24" s="27" t="s">
        <v>846</v>
      </c>
      <c r="D24" s="6">
        <v>0</v>
      </c>
      <c r="E24" s="6">
        <v>0.27</v>
      </c>
      <c r="F24" s="279">
        <f t="shared" si="0"/>
        <v>0.27</v>
      </c>
      <c r="G24" s="6">
        <v>4</v>
      </c>
      <c r="H24" s="3" t="s">
        <v>0</v>
      </c>
      <c r="I24" s="3"/>
      <c r="J24" s="22"/>
      <c r="K24" s="23"/>
      <c r="L24" s="22"/>
      <c r="M24" s="22"/>
      <c r="N24" s="22"/>
      <c r="O24" s="22"/>
      <c r="P24" s="22"/>
      <c r="Q24" s="19">
        <v>80940040437</v>
      </c>
      <c r="R24" s="19">
        <v>80940040437</v>
      </c>
    </row>
    <row r="25" spans="1:18" s="1" customFormat="1" ht="11.25" x14ac:dyDescent="0.2">
      <c r="A25" s="288"/>
      <c r="B25" s="728"/>
      <c r="C25" s="27" t="s">
        <v>846</v>
      </c>
      <c r="D25" s="6">
        <v>0.27</v>
      </c>
      <c r="E25" s="6">
        <v>0.46</v>
      </c>
      <c r="F25" s="279">
        <v>0.19</v>
      </c>
      <c r="G25" s="6">
        <v>3</v>
      </c>
      <c r="H25" s="3" t="s">
        <v>0</v>
      </c>
      <c r="I25" s="3"/>
      <c r="J25" s="22"/>
      <c r="K25" s="23"/>
      <c r="L25" s="22"/>
      <c r="M25" s="22"/>
      <c r="N25" s="22"/>
      <c r="O25" s="22"/>
      <c r="P25" s="22"/>
      <c r="Q25" s="456" t="s">
        <v>859</v>
      </c>
      <c r="R25" s="457">
        <v>80940040016</v>
      </c>
    </row>
    <row r="26" spans="1:18" s="1" customFormat="1" ht="11.25" x14ac:dyDescent="0.2">
      <c r="A26" s="288"/>
      <c r="B26" s="728"/>
      <c r="C26" s="27" t="s">
        <v>846</v>
      </c>
      <c r="D26" s="6">
        <v>0.46</v>
      </c>
      <c r="E26" s="6">
        <v>0.63</v>
      </c>
      <c r="F26" s="279">
        <f t="shared" si="0"/>
        <v>0.16999999999999998</v>
      </c>
      <c r="G26" s="6">
        <v>3</v>
      </c>
      <c r="H26" s="3" t="s">
        <v>0</v>
      </c>
      <c r="I26" s="3"/>
      <c r="J26" s="22"/>
      <c r="K26" s="23"/>
      <c r="L26" s="22"/>
      <c r="M26" s="22"/>
      <c r="N26" s="22"/>
      <c r="O26" s="22"/>
      <c r="P26" s="22"/>
      <c r="Q26" s="19">
        <v>80940040437</v>
      </c>
      <c r="R26" s="19">
        <v>80940040437</v>
      </c>
    </row>
    <row r="27" spans="1:18" s="1" customFormat="1" ht="11.25" x14ac:dyDescent="0.2">
      <c r="A27" s="288"/>
      <c r="B27" s="728"/>
      <c r="C27" s="27" t="s">
        <v>846</v>
      </c>
      <c r="D27" s="6">
        <v>0.63</v>
      </c>
      <c r="E27" s="6">
        <v>0.74</v>
      </c>
      <c r="F27" s="279">
        <f t="shared" si="0"/>
        <v>0.10999999999999999</v>
      </c>
      <c r="G27" s="6">
        <v>3</v>
      </c>
      <c r="H27" s="3" t="s">
        <v>325</v>
      </c>
      <c r="I27" s="3"/>
      <c r="J27" s="22"/>
      <c r="K27" s="23"/>
      <c r="L27" s="22"/>
      <c r="M27" s="22"/>
      <c r="N27" s="22"/>
      <c r="O27" s="22"/>
      <c r="P27" s="22"/>
      <c r="Q27" s="19">
        <v>80940040437</v>
      </c>
      <c r="R27" s="19">
        <v>80940040437</v>
      </c>
    </row>
    <row r="28" spans="1:18" s="1" customFormat="1" ht="11.25" x14ac:dyDescent="0.2">
      <c r="A28" s="288"/>
      <c r="B28" s="728"/>
      <c r="C28" s="27" t="s">
        <v>846</v>
      </c>
      <c r="D28" s="6">
        <v>0.74</v>
      </c>
      <c r="E28" s="6">
        <v>0.84</v>
      </c>
      <c r="F28" s="279">
        <f t="shared" si="0"/>
        <v>9.9999999999999978E-2</v>
      </c>
      <c r="G28" s="6">
        <v>3</v>
      </c>
      <c r="H28" s="3" t="s">
        <v>325</v>
      </c>
      <c r="I28" s="3"/>
      <c r="J28" s="22"/>
      <c r="K28" s="23"/>
      <c r="L28" s="22"/>
      <c r="M28" s="22"/>
      <c r="N28" s="22"/>
      <c r="O28" s="22"/>
      <c r="P28" s="22"/>
      <c r="Q28" s="19">
        <v>80940040497</v>
      </c>
      <c r="R28" s="19">
        <v>80940040497</v>
      </c>
    </row>
    <row r="29" spans="1:18" s="1" customFormat="1" ht="11.25" x14ac:dyDescent="0.2">
      <c r="A29" s="71">
        <v>11</v>
      </c>
      <c r="B29" s="706" t="s">
        <v>306</v>
      </c>
      <c r="C29" s="27" t="s">
        <v>846</v>
      </c>
      <c r="D29" s="6">
        <v>0</v>
      </c>
      <c r="E29" s="6">
        <v>0.69</v>
      </c>
      <c r="F29" s="279">
        <v>0.69</v>
      </c>
      <c r="G29" s="6">
        <v>3</v>
      </c>
      <c r="H29" s="3" t="s">
        <v>0</v>
      </c>
      <c r="I29" s="3"/>
      <c r="J29" s="22"/>
      <c r="K29" s="23"/>
      <c r="L29" s="22"/>
      <c r="M29" s="22"/>
      <c r="N29" s="22"/>
      <c r="O29" s="22"/>
      <c r="P29" s="22"/>
      <c r="Q29" s="456" t="s">
        <v>859</v>
      </c>
      <c r="R29" s="5">
        <v>80940040559</v>
      </c>
    </row>
    <row r="30" spans="1:18" s="1" customFormat="1" ht="11.25" x14ac:dyDescent="0.2">
      <c r="A30" s="281"/>
      <c r="B30" s="708"/>
      <c r="C30" s="27" t="s">
        <v>846</v>
      </c>
      <c r="D30" s="6">
        <v>0.69</v>
      </c>
      <c r="E30" s="6">
        <v>1</v>
      </c>
      <c r="F30" s="279">
        <f t="shared" si="0"/>
        <v>0.31000000000000005</v>
      </c>
      <c r="G30" s="6">
        <v>3</v>
      </c>
      <c r="H30" s="3" t="s">
        <v>0</v>
      </c>
      <c r="I30" s="3"/>
      <c r="J30" s="22"/>
      <c r="K30" s="23"/>
      <c r="L30" s="22"/>
      <c r="M30" s="22"/>
      <c r="N30" s="22"/>
      <c r="O30" s="22"/>
      <c r="P30" s="22"/>
      <c r="Q30" s="19">
        <v>80940040751</v>
      </c>
      <c r="R30" s="19">
        <v>80940040751</v>
      </c>
    </row>
    <row r="31" spans="1:18" s="1" customFormat="1" ht="11.25" x14ac:dyDescent="0.2">
      <c r="A31" s="277"/>
      <c r="B31" s="709"/>
      <c r="C31" s="27" t="s">
        <v>846</v>
      </c>
      <c r="D31" s="6">
        <v>1</v>
      </c>
      <c r="E31" s="6">
        <v>1.25</v>
      </c>
      <c r="F31" s="279">
        <f t="shared" si="0"/>
        <v>0.25</v>
      </c>
      <c r="G31" s="6">
        <v>3</v>
      </c>
      <c r="H31" s="3" t="s">
        <v>0</v>
      </c>
      <c r="I31" s="3"/>
      <c r="J31" s="22"/>
      <c r="K31" s="23"/>
      <c r="L31" s="22"/>
      <c r="M31" s="22"/>
      <c r="N31" s="22"/>
      <c r="O31" s="22"/>
      <c r="P31" s="22"/>
      <c r="Q31" s="19">
        <v>80940040752</v>
      </c>
      <c r="R31" s="19">
        <v>80940040752</v>
      </c>
    </row>
    <row r="32" spans="1:18" s="1" customFormat="1" ht="11.25" x14ac:dyDescent="0.2">
      <c r="A32" s="288">
        <v>12</v>
      </c>
      <c r="B32" s="728" t="s">
        <v>307</v>
      </c>
      <c r="C32" s="27" t="s">
        <v>846</v>
      </c>
      <c r="D32" s="6">
        <v>0</v>
      </c>
      <c r="E32" s="6">
        <v>0.11</v>
      </c>
      <c r="F32" s="279">
        <v>0.11</v>
      </c>
      <c r="G32" s="6">
        <v>4.5</v>
      </c>
      <c r="H32" s="3" t="s">
        <v>0</v>
      </c>
      <c r="I32" s="3"/>
      <c r="J32" s="22"/>
      <c r="K32" s="23"/>
      <c r="L32" s="22"/>
      <c r="M32" s="22"/>
      <c r="N32" s="22"/>
      <c r="O32" s="22"/>
      <c r="P32" s="22"/>
      <c r="Q32" s="456" t="s">
        <v>859</v>
      </c>
      <c r="R32" s="457">
        <v>80940040598</v>
      </c>
    </row>
    <row r="33" spans="1:32" s="1" customFormat="1" ht="11.25" x14ac:dyDescent="0.2">
      <c r="A33" s="288"/>
      <c r="B33" s="728"/>
      <c r="C33" s="27" t="s">
        <v>846</v>
      </c>
      <c r="D33" s="6">
        <v>0.11</v>
      </c>
      <c r="E33" s="6">
        <v>0.39999999999999997</v>
      </c>
      <c r="F33" s="279">
        <f t="shared" si="0"/>
        <v>0.28999999999999998</v>
      </c>
      <c r="G33" s="6">
        <v>4.5</v>
      </c>
      <c r="H33" s="3" t="s">
        <v>0</v>
      </c>
      <c r="I33" s="3"/>
      <c r="J33" s="22"/>
      <c r="K33" s="23"/>
      <c r="L33" s="22"/>
      <c r="M33" s="22"/>
      <c r="N33" s="22"/>
      <c r="O33" s="22"/>
      <c r="P33" s="22"/>
      <c r="Q33" s="19">
        <v>80940040755</v>
      </c>
      <c r="R33" s="19">
        <v>80940040755</v>
      </c>
    </row>
    <row r="34" spans="1:32" s="1" customFormat="1" ht="11.25" x14ac:dyDescent="0.2">
      <c r="A34" s="288"/>
      <c r="B34" s="728"/>
      <c r="C34" s="27" t="s">
        <v>846</v>
      </c>
      <c r="D34" s="6">
        <v>0.39999999999999997</v>
      </c>
      <c r="E34" s="6">
        <v>0.89999999999999991</v>
      </c>
      <c r="F34" s="279">
        <f t="shared" si="0"/>
        <v>0.49999999999999994</v>
      </c>
      <c r="G34" s="6">
        <v>3</v>
      </c>
      <c r="H34" s="3" t="s">
        <v>325</v>
      </c>
      <c r="I34" s="3"/>
      <c r="J34" s="22"/>
      <c r="K34" s="23"/>
      <c r="L34" s="22"/>
      <c r="M34" s="22"/>
      <c r="N34" s="22"/>
      <c r="O34" s="22"/>
      <c r="P34" s="22"/>
      <c r="Q34" s="19">
        <v>80940040755</v>
      </c>
      <c r="R34" s="19">
        <v>80940040755</v>
      </c>
    </row>
    <row r="35" spans="1:32" s="1" customFormat="1" ht="11.25" x14ac:dyDescent="0.2">
      <c r="A35" s="288"/>
      <c r="B35" s="728"/>
      <c r="C35" s="27" t="s">
        <v>846</v>
      </c>
      <c r="D35" s="6">
        <v>0.9</v>
      </c>
      <c r="E35" s="6">
        <v>1.1299999999999999</v>
      </c>
      <c r="F35" s="279">
        <v>0.23</v>
      </c>
      <c r="G35" s="6">
        <v>3</v>
      </c>
      <c r="H35" s="3" t="s">
        <v>325</v>
      </c>
      <c r="I35" s="3"/>
      <c r="J35" s="22"/>
      <c r="K35" s="23"/>
      <c r="L35" s="22"/>
      <c r="M35" s="22"/>
      <c r="N35" s="22"/>
      <c r="O35" s="22"/>
      <c r="P35" s="22"/>
      <c r="Q35" s="456" t="s">
        <v>859</v>
      </c>
      <c r="R35" s="5">
        <v>80940040354</v>
      </c>
    </row>
    <row r="36" spans="1:32" s="1" customFormat="1" ht="11.25" x14ac:dyDescent="0.2">
      <c r="A36" s="282"/>
      <c r="B36" s="16"/>
      <c r="C36" s="27" t="s">
        <v>846</v>
      </c>
      <c r="D36" s="6">
        <v>1.1299999999999999</v>
      </c>
      <c r="E36" s="6">
        <v>1.5</v>
      </c>
      <c r="F36" s="279">
        <f t="shared" si="0"/>
        <v>0.37000000000000011</v>
      </c>
      <c r="G36" s="6">
        <v>3</v>
      </c>
      <c r="H36" s="3" t="s">
        <v>325</v>
      </c>
      <c r="I36" s="3"/>
      <c r="J36" s="22"/>
      <c r="K36" s="23"/>
      <c r="L36" s="22"/>
      <c r="M36" s="22"/>
      <c r="N36" s="22"/>
      <c r="O36" s="22"/>
      <c r="P36" s="22"/>
      <c r="Q36" s="19">
        <v>80940040756</v>
      </c>
      <c r="R36" s="19">
        <v>80940040756</v>
      </c>
    </row>
    <row r="37" spans="1:32" s="1" customFormat="1" x14ac:dyDescent="0.25">
      <c r="A37" s="282">
        <v>13</v>
      </c>
      <c r="B37" s="16" t="s">
        <v>308</v>
      </c>
      <c r="C37" s="27" t="s">
        <v>846</v>
      </c>
      <c r="D37" s="6">
        <v>0</v>
      </c>
      <c r="E37" s="6">
        <v>0.15</v>
      </c>
      <c r="F37" s="279">
        <f t="shared" si="0"/>
        <v>0.15</v>
      </c>
      <c r="G37" s="6">
        <v>3</v>
      </c>
      <c r="H37" s="3" t="s">
        <v>0</v>
      </c>
      <c r="I37" s="3"/>
      <c r="J37" s="22"/>
      <c r="K37" s="23"/>
      <c r="L37" s="22"/>
      <c r="M37" s="22"/>
      <c r="N37" s="22"/>
      <c r="O37" s="22"/>
      <c r="P37" s="22"/>
      <c r="Q37" s="19">
        <v>80940030010</v>
      </c>
      <c r="R37" s="19">
        <v>80940030010</v>
      </c>
      <c r="S37"/>
      <c r="T37"/>
      <c r="U37"/>
      <c r="V37"/>
      <c r="W37"/>
      <c r="X37"/>
      <c r="Y37"/>
      <c r="Z37"/>
      <c r="AA37" t="s">
        <v>1097</v>
      </c>
      <c r="AB37"/>
      <c r="AC37"/>
      <c r="AD37"/>
      <c r="AE37"/>
      <c r="AF37"/>
    </row>
    <row r="38" spans="1:32" s="1" customFormat="1" ht="22.5" x14ac:dyDescent="0.2">
      <c r="A38" s="10"/>
      <c r="B38" s="13"/>
      <c r="C38" s="437"/>
      <c r="D38" s="73"/>
      <c r="E38" s="73"/>
      <c r="F38" s="13"/>
      <c r="G38" s="13"/>
      <c r="H38" s="13"/>
      <c r="I38" s="13"/>
      <c r="J38" s="10"/>
      <c r="K38" s="53" t="s">
        <v>268</v>
      </c>
      <c r="L38" s="54">
        <f>SUM(L33:L37)</f>
        <v>0</v>
      </c>
      <c r="M38" s="54">
        <f>SUM(M33:M37)</f>
        <v>0</v>
      </c>
      <c r="N38" s="55"/>
      <c r="O38" s="53" t="s">
        <v>269</v>
      </c>
      <c r="P38" s="54">
        <f>SUM(P33:P37)</f>
        <v>0</v>
      </c>
      <c r="Q38" s="10"/>
      <c r="R38" s="10"/>
      <c r="S38" s="102"/>
      <c r="T38" s="625" t="s">
        <v>1092</v>
      </c>
      <c r="U38" s="625" t="s">
        <v>1093</v>
      </c>
      <c r="V38" s="625" t="s">
        <v>1094</v>
      </c>
      <c r="W38" s="625" t="s">
        <v>1095</v>
      </c>
      <c r="X38" s="625" t="s">
        <v>1096</v>
      </c>
      <c r="Y38" s="627" t="s">
        <v>269</v>
      </c>
      <c r="Z38" s="102"/>
      <c r="AA38" s="625" t="s">
        <v>1092</v>
      </c>
      <c r="AB38" s="625" t="s">
        <v>1093</v>
      </c>
      <c r="AC38" s="625" t="s">
        <v>1094</v>
      </c>
      <c r="AD38" s="625" t="s">
        <v>1095</v>
      </c>
      <c r="AE38" s="625" t="s">
        <v>1096</v>
      </c>
      <c r="AF38" s="627" t="s">
        <v>269</v>
      </c>
    </row>
    <row r="39" spans="1:32" s="1" customFormat="1" ht="11.25" x14ac:dyDescent="0.2">
      <c r="A39" s="46" t="s">
        <v>309</v>
      </c>
      <c r="B39" s="47"/>
      <c r="C39" s="47"/>
      <c r="D39" s="48"/>
      <c r="E39" s="49"/>
      <c r="F39" s="50">
        <f>SUM(F11:F37)</f>
        <v>9.5900000000000016</v>
      </c>
      <c r="G39" s="688"/>
      <c r="H39" s="51"/>
      <c r="I39" s="40"/>
      <c r="J39" s="52"/>
      <c r="Q39" s="55"/>
      <c r="S39" s="628" t="s">
        <v>844</v>
      </c>
      <c r="T39" s="625" t="s">
        <v>231</v>
      </c>
      <c r="U39" s="625" t="s">
        <v>231</v>
      </c>
      <c r="V39" s="625" t="s">
        <v>231</v>
      </c>
      <c r="W39" s="625" t="s">
        <v>231</v>
      </c>
      <c r="X39" s="625" t="s">
        <v>231</v>
      </c>
      <c r="Y39" s="626" t="s">
        <v>231</v>
      </c>
      <c r="Z39" s="628"/>
      <c r="AA39" s="625" t="s">
        <v>231</v>
      </c>
      <c r="AB39" s="625" t="s">
        <v>231</v>
      </c>
      <c r="AC39" s="625" t="s">
        <v>231</v>
      </c>
      <c r="AD39" s="625" t="s">
        <v>231</v>
      </c>
      <c r="AE39" s="625" t="s">
        <v>231</v>
      </c>
      <c r="AF39" s="626" t="s">
        <v>231</v>
      </c>
    </row>
    <row r="40" spans="1:32" s="1" customFormat="1" ht="11.25" x14ac:dyDescent="0.2">
      <c r="A40" s="56" t="s">
        <v>270</v>
      </c>
      <c r="B40" s="57"/>
      <c r="C40" s="57"/>
      <c r="D40" s="58"/>
      <c r="E40" s="59"/>
      <c r="F40" s="60">
        <f>F22</f>
        <v>0.4</v>
      </c>
      <c r="G40" s="81"/>
      <c r="H40" s="61"/>
      <c r="I40" s="62"/>
      <c r="J40" s="55"/>
      <c r="K40" s="63"/>
      <c r="L40" s="64"/>
      <c r="M40" s="64"/>
      <c r="N40" s="55"/>
      <c r="O40" s="55"/>
      <c r="P40" s="55"/>
      <c r="Q40" s="55"/>
      <c r="S40" s="616" t="s">
        <v>847</v>
      </c>
      <c r="T40" s="624">
        <f>SUMIFS(F11:F37,C11:C37,"A",H11:H37,"melnais")</f>
        <v>0</v>
      </c>
      <c r="U40" s="624">
        <f>SUMIFS(F11:F37,C11:C37,"A",H11:H37,"dubultā virsma")</f>
        <v>0</v>
      </c>
      <c r="V40" s="624">
        <f>SUMIFS(F11:F37,C11:C37,"A",H11:H37,"bruģis")</f>
        <v>0</v>
      </c>
      <c r="W40" s="624">
        <f>SUMIFS(F11:F37,C11:C37,"A",H11:H37,"grants")</f>
        <v>0</v>
      </c>
      <c r="X40" s="624">
        <f>SUMIFS(F11:F37,C11:C37,"A",H11:H37,"cits segums")</f>
        <v>0</v>
      </c>
      <c r="Y40" s="624">
        <f>SUM(T40:X40)</f>
        <v>0</v>
      </c>
      <c r="Z40" s="616" t="s">
        <v>847</v>
      </c>
      <c r="AA40" s="614">
        <f>SUMIFS(F11:F37,C11:C37,"A",H11:H37,"melnais", Q11:Q37,"Nepiederošs")</f>
        <v>0</v>
      </c>
      <c r="AB40" s="614">
        <f>SUMIFS(F11:F37,C11:C37,"A",H11:H37,"dubultā virsma", Q11:Q37,"Nepiederošs")</f>
        <v>0</v>
      </c>
      <c r="AC40" s="614">
        <f>SUMIFS(F11:F37,C11:C37,"A",H11:H37,"bruģis", Q11:Q37,"Nepiederošs")</f>
        <v>0</v>
      </c>
      <c r="AD40" s="614">
        <f>SUMIFS(F11:F37,C11:C37,"A",H11:H37,"grants", Q11:Q37,"Nepiederošs")</f>
        <v>0</v>
      </c>
      <c r="AE40" s="614">
        <f>SUMIFS(F11:F37,C11:C37,"A",H11:H37,"cits segums", Q11:Q37,"Nepiederošs")</f>
        <v>0</v>
      </c>
      <c r="AF40" s="614">
        <f>SUM(AA40:AE40)</f>
        <v>0</v>
      </c>
    </row>
    <row r="41" spans="1:32" s="1" customFormat="1" ht="11.25" x14ac:dyDescent="0.2">
      <c r="A41" s="56" t="s">
        <v>271</v>
      </c>
      <c r="B41" s="57"/>
      <c r="C41" s="57"/>
      <c r="D41" s="58"/>
      <c r="E41" s="59"/>
      <c r="F41" s="60">
        <v>0</v>
      </c>
      <c r="G41" s="81"/>
      <c r="H41" s="65"/>
      <c r="I41" s="40"/>
      <c r="J41" s="66"/>
      <c r="K41" s="67"/>
      <c r="L41" s="67"/>
      <c r="M41" s="67"/>
      <c r="N41" s="68"/>
      <c r="O41" s="55"/>
      <c r="P41" s="55"/>
      <c r="Q41" s="55"/>
      <c r="S41" s="617" t="s">
        <v>848</v>
      </c>
      <c r="T41" s="624">
        <f>SUMIFS(F11:F37,C11:C37,"B",H11:H37,"melnais")</f>
        <v>0</v>
      </c>
      <c r="U41" s="624">
        <f>SUMIFS(F11:F37,C11:C37,"B",H11:H37,"dubultā virsma")</f>
        <v>0</v>
      </c>
      <c r="V41" s="624">
        <f>SUMIFS(F11:F37,C11:C37,"B",H11:H37,"bruģis")</f>
        <v>0</v>
      </c>
      <c r="W41" s="624">
        <f>SUMIFS(F11:F37,C11:C37,"B",H11:H37,"grants")</f>
        <v>0</v>
      </c>
      <c r="X41" s="624">
        <f>SUMIFS(F11:F37,C11:C37,"B",H11:H37,"cits segums")</f>
        <v>0</v>
      </c>
      <c r="Y41" s="624">
        <f t="shared" ref="Y41:Y43" si="1">SUM(T41:X41)</f>
        <v>0</v>
      </c>
      <c r="Z41" s="617" t="s">
        <v>848</v>
      </c>
      <c r="AA41" s="614">
        <f>SUMIFS(F11:F37,C11:C37,"B",H11:H37,"melnais", Q11:Q37,"Nepiederošs")</f>
        <v>0</v>
      </c>
      <c r="AB41" s="614">
        <f>SUMIFS(F11:F37,C11:C37,"B",H11:H37,"dubultā virsma", Q11:Q37,"Nepiederošs")</f>
        <v>0</v>
      </c>
      <c r="AC41" s="614">
        <f>SUMIFS(F11:F37,C11:C37,"B",H11:H37,"bruģis", Q11:Q37,"Nepiederošs")</f>
        <v>0</v>
      </c>
      <c r="AD41" s="614">
        <f>SUMIFS(F11:F37,C11:C37,"B",H11:H37,"grants", Q11:Q37,"Nepiederošs")</f>
        <v>0</v>
      </c>
      <c r="AE41" s="614">
        <f>SUMIFS(F11:F37,C11:C37,"B",H11:H37,"cits segums", Q11:Q37,"Nepiederošs")</f>
        <v>0</v>
      </c>
      <c r="AF41" s="614">
        <f t="shared" ref="AF41:AF43" si="2">SUM(AA41:AE41)</f>
        <v>0</v>
      </c>
    </row>
    <row r="42" spans="1:32" s="1" customFormat="1" ht="11.25" x14ac:dyDescent="0.2">
      <c r="A42" s="56" t="s">
        <v>272</v>
      </c>
      <c r="B42" s="57"/>
      <c r="C42" s="57"/>
      <c r="D42" s="58"/>
      <c r="E42" s="59"/>
      <c r="F42" s="60">
        <f>F39-F40-F43</f>
        <v>7.580000000000001</v>
      </c>
      <c r="G42" s="81"/>
      <c r="H42" s="65"/>
      <c r="I42" s="65"/>
      <c r="J42" s="66"/>
      <c r="K42" s="67"/>
      <c r="L42" s="67"/>
      <c r="M42" s="67"/>
      <c r="N42" s="68"/>
      <c r="O42" s="55"/>
      <c r="P42" s="55"/>
      <c r="Q42" s="55"/>
      <c r="S42" s="615" t="s">
        <v>845</v>
      </c>
      <c r="T42" s="624">
        <f>SUMIFS(F11:F37,C11:C37,"C",H11:H37,"melnais")</f>
        <v>0.4</v>
      </c>
      <c r="U42" s="624">
        <f>SUMIFS(F11:F37,C11:C37,"C",H11:H37,"dubultā virsma")</f>
        <v>0</v>
      </c>
      <c r="V42" s="624">
        <f>SUMIFS(F11:F37,C11:C37,"C",H11:H37,"bruģis")</f>
        <v>0</v>
      </c>
      <c r="W42" s="624">
        <f>SUMIFS(F11:F37,C11:C37,"C",H11:H37,"grants")</f>
        <v>0.29999999999999993</v>
      </c>
      <c r="X42" s="624">
        <f>SUMIFS(F11:F37,C11:C37,"C",H11:H37,"cits segums")</f>
        <v>0</v>
      </c>
      <c r="Y42" s="624">
        <f t="shared" si="1"/>
        <v>0.7</v>
      </c>
      <c r="Z42" s="615" t="s">
        <v>845</v>
      </c>
      <c r="AA42" s="614">
        <f>SUMIFS(F11:F37,C11:C37,"C",H11:H37,"melnais", Q11:Q37,"Nepiederošs")</f>
        <v>0</v>
      </c>
      <c r="AB42" s="614">
        <f>SUMIFS(F11:F37,C11:C37,"C",H11:H37,"dubultā virsma", Q11:Q37,"Nepiederošs")</f>
        <v>0</v>
      </c>
      <c r="AC42" s="614">
        <f>SUMIFS(F11:F37,C11:C37,"C",H11:H37,"bruģis", Q11:Q37,"Nepiederošs")</f>
        <v>0</v>
      </c>
      <c r="AD42" s="614">
        <f>SUMIFS(F11:F37,C11:C37,"C",H11:H37,"grants", Q11:Q37,"Nepiederošs")</f>
        <v>0</v>
      </c>
      <c r="AE42" s="614">
        <f>SUMIFS(F11:F37,C11:C37,"C",H11:H37,"cits segums", Q11:Q37,"Nepiederošs")</f>
        <v>0</v>
      </c>
      <c r="AF42" s="614">
        <f t="shared" si="2"/>
        <v>0</v>
      </c>
    </row>
    <row r="43" spans="1:32" s="1" customFormat="1" ht="11.25" x14ac:dyDescent="0.2">
      <c r="A43" s="56" t="s">
        <v>273</v>
      </c>
      <c r="B43" s="57"/>
      <c r="C43" s="57"/>
      <c r="D43" s="58"/>
      <c r="E43" s="59"/>
      <c r="F43" s="60">
        <f>F36+F34+F28+F27+F13</f>
        <v>1.61</v>
      </c>
      <c r="G43" s="81"/>
      <c r="H43" s="69"/>
      <c r="I43" s="65"/>
      <c r="J43" s="70"/>
      <c r="K43" s="67"/>
      <c r="L43" s="67"/>
      <c r="M43" s="67"/>
      <c r="N43" s="68"/>
      <c r="O43" s="55"/>
      <c r="P43" s="55"/>
      <c r="Q43" s="55"/>
      <c r="S43" s="616" t="s">
        <v>846</v>
      </c>
      <c r="T43" s="624">
        <f>SUMIFS(F11:F37,C11:C37,"D",H11:H37,"melnais")</f>
        <v>0</v>
      </c>
      <c r="U43" s="624">
        <f>SUMIFS(F11:F37,C11:C37,"D",H11:H37,"dubultā virsma")</f>
        <v>0</v>
      </c>
      <c r="V43" s="624">
        <f>SUMIFS(F11:F37,C11:C37,"D",H11:H37,"bruģis")</f>
        <v>0</v>
      </c>
      <c r="W43" s="624">
        <f>SUMIFS(F11:F37,C11:C37,"D",H11:H37,"grants")</f>
        <v>7.0500000000000025</v>
      </c>
      <c r="X43" s="624">
        <f>SUMIFS(F11:F37,C11:C37,"D",H11:H37,"cits segums")</f>
        <v>1.84</v>
      </c>
      <c r="Y43" s="624">
        <f t="shared" si="1"/>
        <v>8.8900000000000023</v>
      </c>
      <c r="Z43" s="616" t="s">
        <v>846</v>
      </c>
      <c r="AA43" s="614">
        <f>SUMIFS(F11:F37,C11:C37,"D",H11:H37,"melnais", Q11:Q37,"Nepiederošs")</f>
        <v>0</v>
      </c>
      <c r="AB43" s="614">
        <f>SUMIFS(F11:F37,C11:C37,"D",H11:H37,"dubultā virsma", Q11:Q37,"Nepiederošs")</f>
        <v>0</v>
      </c>
      <c r="AC43" s="614">
        <f>SUMIFS(F11:F37,C11:C37,"D",H11:H37,"bruģis", Q11:Q37,"Nepiederošs")</f>
        <v>0</v>
      </c>
      <c r="AD43" s="614">
        <f>SUMIFS(F11:F37,C11:C37,"D",H11:H37,"grants", Q11:Q37,"Nepiederošs")</f>
        <v>1.1500000000000001</v>
      </c>
      <c r="AE43" s="614">
        <f>SUMIFS(F11:F37,C11:C37,"D",H11:H37,"cits segums", Q11:Q37,"Nepiederošs")</f>
        <v>0.23</v>
      </c>
      <c r="AF43" s="614">
        <f t="shared" si="2"/>
        <v>1.3800000000000001</v>
      </c>
    </row>
    <row r="44" spans="1:32" x14ac:dyDescent="0.25">
      <c r="C44" s="438"/>
      <c r="T44" s="630">
        <f>SUM(T40:T43)</f>
        <v>0.4</v>
      </c>
      <c r="U44" s="630">
        <f t="shared" ref="U44" si="3">SUM(U40:U43)</f>
        <v>0</v>
      </c>
      <c r="V44" s="630">
        <f t="shared" ref="V44" si="4">SUM(V40:V43)</f>
        <v>0</v>
      </c>
      <c r="W44" s="630">
        <f t="shared" ref="W44" si="5">SUM(W40:W43)</f>
        <v>7.3500000000000023</v>
      </c>
      <c r="X44" s="630">
        <f t="shared" ref="X44" si="6">SUM(X40:X43)</f>
        <v>1.84</v>
      </c>
      <c r="Y44" s="630">
        <f t="shared" ref="Y44" si="7">SUM(Y40:Y43)</f>
        <v>9.5900000000000016</v>
      </c>
      <c r="AA44" s="629">
        <f>SUM(AA40:AA43)</f>
        <v>0</v>
      </c>
      <c r="AB44" s="629">
        <f t="shared" ref="AB44" si="8">SUM(AB40:AB43)</f>
        <v>0</v>
      </c>
      <c r="AC44" s="629">
        <f>SUM(AC40:AC43)</f>
        <v>0</v>
      </c>
      <c r="AD44" s="629">
        <f t="shared" ref="AD44" si="9">SUM(AD40:AD43)</f>
        <v>1.1500000000000001</v>
      </c>
      <c r="AE44" s="629">
        <f t="shared" ref="AE44" si="10">SUM(AE40:AE43)</f>
        <v>0.23</v>
      </c>
      <c r="AF44" s="629">
        <f t="shared" ref="AF44" si="11">SUM(AF40:AF43)</f>
        <v>1.3800000000000001</v>
      </c>
    </row>
    <row r="45" spans="1:32" s="32" customFormat="1" ht="15" customHeight="1" x14ac:dyDescent="0.25">
      <c r="A45" s="33"/>
      <c r="B45" s="33"/>
      <c r="C45" s="33"/>
      <c r="D45" s="781" t="s">
        <v>1057</v>
      </c>
      <c r="E45" s="781"/>
      <c r="F45" s="781"/>
      <c r="G45" s="781"/>
      <c r="H45" s="781"/>
      <c r="I45" s="781"/>
      <c r="J45" s="781"/>
      <c r="K45" s="781"/>
      <c r="L45" s="781"/>
      <c r="M45" s="781"/>
      <c r="N45" s="781"/>
      <c r="O45" s="781"/>
      <c r="P45" s="781"/>
      <c r="Q45" s="30"/>
      <c r="R45" s="37"/>
      <c r="Z45" s="631">
        <f>Y44-AF44</f>
        <v>8.2100000000000009</v>
      </c>
    </row>
    <row r="46" spans="1:32" s="32" customFormat="1" ht="11.25" x14ac:dyDescent="0.25">
      <c r="A46" s="33"/>
      <c r="B46" s="33"/>
      <c r="C46" s="33"/>
      <c r="D46" s="38"/>
      <c r="E46" s="29"/>
      <c r="F46" s="29"/>
      <c r="G46" s="29"/>
      <c r="H46" s="30"/>
      <c r="I46" s="28"/>
      <c r="J46" s="28"/>
      <c r="K46" s="28"/>
      <c r="L46" s="28"/>
      <c r="M46" s="28"/>
      <c r="N46" s="39"/>
      <c r="O46" s="39"/>
      <c r="P46" s="28"/>
      <c r="Q46" s="28"/>
      <c r="R46" s="37"/>
    </row>
    <row r="47" spans="1:32" s="40" customFormat="1" ht="5.25" customHeight="1" x14ac:dyDescent="0.2">
      <c r="A47" s="44"/>
      <c r="B47" s="732"/>
      <c r="C47" s="39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</row>
    <row r="48" spans="1:32" s="40" customFormat="1" ht="12.75" customHeight="1" x14ac:dyDescent="0.2">
      <c r="A48" s="782" t="s">
        <v>244</v>
      </c>
      <c r="B48" s="790" t="s">
        <v>245</v>
      </c>
      <c r="C48" s="413"/>
      <c r="D48" s="793" t="s">
        <v>246</v>
      </c>
      <c r="E48" s="794"/>
      <c r="F48" s="794"/>
      <c r="G48" s="794"/>
      <c r="H48" s="794"/>
      <c r="I48" s="794"/>
      <c r="J48" s="794"/>
      <c r="K48" s="794"/>
      <c r="L48" s="794"/>
      <c r="M48" s="794"/>
      <c r="N48" s="794"/>
      <c r="O48" s="794"/>
      <c r="P48" s="784"/>
      <c r="Q48" s="795" t="s">
        <v>247</v>
      </c>
      <c r="R48" s="796"/>
    </row>
    <row r="49" spans="1:32" s="40" customFormat="1" ht="12.75" customHeight="1" x14ac:dyDescent="0.2">
      <c r="A49" s="782"/>
      <c r="B49" s="791"/>
      <c r="C49" s="395"/>
      <c r="D49" s="785" t="s">
        <v>248</v>
      </c>
      <c r="E49" s="785"/>
      <c r="F49" s="785"/>
      <c r="G49" s="785"/>
      <c r="H49" s="785"/>
      <c r="I49" s="788" t="s">
        <v>249</v>
      </c>
      <c r="J49" s="788"/>
      <c r="K49" s="788"/>
      <c r="L49" s="788"/>
      <c r="M49" s="788"/>
      <c r="N49" s="788"/>
      <c r="O49" s="788"/>
      <c r="P49" s="801" t="s">
        <v>250</v>
      </c>
      <c r="Q49" s="797"/>
      <c r="R49" s="798"/>
    </row>
    <row r="50" spans="1:32" s="40" customFormat="1" ht="15.2" customHeight="1" x14ac:dyDescent="0.2">
      <c r="A50" s="782"/>
      <c r="B50" s="791"/>
      <c r="C50" s="395"/>
      <c r="D50" s="785" t="s">
        <v>251</v>
      </c>
      <c r="E50" s="785"/>
      <c r="F50" s="786" t="s">
        <v>252</v>
      </c>
      <c r="G50" s="786" t="s">
        <v>881</v>
      </c>
      <c r="H50" s="782" t="s">
        <v>253</v>
      </c>
      <c r="I50" s="789" t="s">
        <v>254</v>
      </c>
      <c r="J50" s="788" t="s">
        <v>255</v>
      </c>
      <c r="K50" s="788"/>
      <c r="L50" s="787" t="s">
        <v>256</v>
      </c>
      <c r="M50" s="787" t="s">
        <v>257</v>
      </c>
      <c r="N50" s="787" t="s">
        <v>258</v>
      </c>
      <c r="O50" s="787" t="s">
        <v>259</v>
      </c>
      <c r="P50" s="799"/>
      <c r="Q50" s="799" t="s">
        <v>260</v>
      </c>
      <c r="R50" s="791" t="s">
        <v>261</v>
      </c>
    </row>
    <row r="51" spans="1:32" s="40" customFormat="1" ht="64.5" customHeight="1" x14ac:dyDescent="0.2">
      <c r="A51" s="782"/>
      <c r="B51" s="792"/>
      <c r="C51" s="432" t="s">
        <v>844</v>
      </c>
      <c r="D51" s="74" t="s">
        <v>262</v>
      </c>
      <c r="E51" s="74" t="s">
        <v>263</v>
      </c>
      <c r="F51" s="786"/>
      <c r="G51" s="786"/>
      <c r="H51" s="782"/>
      <c r="I51" s="789"/>
      <c r="J51" s="75" t="s">
        <v>231</v>
      </c>
      <c r="K51" s="75" t="s">
        <v>264</v>
      </c>
      <c r="L51" s="787"/>
      <c r="M51" s="787"/>
      <c r="N51" s="787"/>
      <c r="O51" s="787"/>
      <c r="P51" s="800"/>
      <c r="Q51" s="800"/>
      <c r="R51" s="792"/>
    </row>
    <row r="52" spans="1:32" s="41" customFormat="1" ht="12" customHeight="1" x14ac:dyDescent="0.25">
      <c r="A52" s="42">
        <v>1</v>
      </c>
      <c r="B52" s="42">
        <v>2</v>
      </c>
      <c r="C52" s="42"/>
      <c r="D52" s="42">
        <v>3</v>
      </c>
      <c r="E52" s="42">
        <v>4</v>
      </c>
      <c r="F52" s="42">
        <v>5</v>
      </c>
      <c r="G52" s="42">
        <v>5.0999999999999996</v>
      </c>
      <c r="H52" s="42">
        <v>6</v>
      </c>
      <c r="I52" s="43">
        <v>7</v>
      </c>
      <c r="J52" s="43">
        <v>8</v>
      </c>
      <c r="K52" s="43">
        <v>9</v>
      </c>
      <c r="L52" s="43">
        <v>10</v>
      </c>
      <c r="M52" s="43">
        <v>11</v>
      </c>
      <c r="N52" s="43">
        <v>12</v>
      </c>
      <c r="O52" s="43">
        <v>13</v>
      </c>
      <c r="P52" s="43">
        <v>14</v>
      </c>
      <c r="Q52" s="43">
        <v>15</v>
      </c>
      <c r="R52" s="42">
        <v>16</v>
      </c>
    </row>
    <row r="53" spans="1:32" s="1" customFormat="1" ht="11.25" x14ac:dyDescent="0.2">
      <c r="A53" s="76">
        <v>1</v>
      </c>
      <c r="B53" s="733" t="s">
        <v>330</v>
      </c>
      <c r="C53" s="414" t="s">
        <v>846</v>
      </c>
      <c r="D53" s="6">
        <v>0</v>
      </c>
      <c r="E53" s="6">
        <v>1.5</v>
      </c>
      <c r="F53" s="6">
        <v>1.5</v>
      </c>
      <c r="G53" s="6">
        <v>4.5</v>
      </c>
      <c r="H53" s="22" t="s">
        <v>0</v>
      </c>
      <c r="I53" s="22"/>
      <c r="J53" s="22"/>
      <c r="K53" s="22"/>
      <c r="L53" s="22"/>
      <c r="M53" s="22"/>
      <c r="N53" s="22"/>
      <c r="O53" s="22"/>
      <c r="P53" s="22"/>
      <c r="Q53" s="19">
        <v>42660010117</v>
      </c>
      <c r="R53" s="19">
        <v>42660010117</v>
      </c>
    </row>
    <row r="54" spans="1:32" s="1" customFormat="1" ht="22.5" x14ac:dyDescent="0.2">
      <c r="A54" s="285">
        <v>2</v>
      </c>
      <c r="B54" s="733" t="s">
        <v>331</v>
      </c>
      <c r="C54" s="474" t="s">
        <v>846</v>
      </c>
      <c r="D54" s="6">
        <v>0</v>
      </c>
      <c r="E54" s="6">
        <v>0.39</v>
      </c>
      <c r="F54" s="6">
        <v>0.39</v>
      </c>
      <c r="G54" s="6">
        <v>3.5</v>
      </c>
      <c r="H54" s="22" t="s">
        <v>0</v>
      </c>
      <c r="I54" s="22"/>
      <c r="J54" s="22"/>
      <c r="K54" s="22"/>
      <c r="L54" s="22"/>
      <c r="M54" s="22"/>
      <c r="N54" s="22"/>
      <c r="O54" s="22"/>
      <c r="P54" s="22"/>
      <c r="Q54" s="19">
        <v>42660010119</v>
      </c>
      <c r="R54" s="19">
        <v>42660010119</v>
      </c>
    </row>
    <row r="55" spans="1:32" s="1" customFormat="1" ht="11.25" x14ac:dyDescent="0.2">
      <c r="A55" s="286"/>
      <c r="B55" s="701" t="s">
        <v>314</v>
      </c>
      <c r="C55" s="474" t="s">
        <v>846</v>
      </c>
      <c r="D55" s="6">
        <v>0.39</v>
      </c>
      <c r="E55" s="6">
        <v>0.74</v>
      </c>
      <c r="F55" s="6">
        <v>0.35</v>
      </c>
      <c r="G55" s="6">
        <v>3.5</v>
      </c>
      <c r="H55" s="22" t="s">
        <v>325</v>
      </c>
      <c r="I55" s="22"/>
      <c r="J55" s="22"/>
      <c r="K55" s="22"/>
      <c r="L55" s="22"/>
      <c r="M55" s="22"/>
      <c r="N55" s="22"/>
      <c r="O55" s="22"/>
      <c r="P55" s="22"/>
      <c r="Q55" s="19">
        <v>42660010119</v>
      </c>
      <c r="R55" s="19">
        <v>42660010119</v>
      </c>
    </row>
    <row r="56" spans="1:32" s="1" customFormat="1" ht="22.5" x14ac:dyDescent="0.2">
      <c r="A56" s="285">
        <v>3</v>
      </c>
      <c r="B56" s="733" t="s">
        <v>332</v>
      </c>
      <c r="C56" s="474" t="s">
        <v>846</v>
      </c>
      <c r="D56" s="6">
        <v>0</v>
      </c>
      <c r="E56" s="6">
        <v>0.99</v>
      </c>
      <c r="F56" s="6">
        <v>0.99</v>
      </c>
      <c r="G56" s="6">
        <v>3.5</v>
      </c>
      <c r="H56" s="3" t="s">
        <v>0</v>
      </c>
      <c r="I56" s="3"/>
      <c r="J56" s="3"/>
      <c r="K56" s="3"/>
      <c r="L56" s="3"/>
      <c r="M56" s="3"/>
      <c r="N56" s="3"/>
      <c r="O56" s="3"/>
      <c r="P56" s="3"/>
      <c r="Q56" s="19">
        <v>42660040176</v>
      </c>
      <c r="R56" s="19">
        <v>42660040176</v>
      </c>
    </row>
    <row r="57" spans="1:32" s="1" customFormat="1" ht="11.25" x14ac:dyDescent="0.2">
      <c r="A57" s="286"/>
      <c r="B57" s="701" t="s">
        <v>314</v>
      </c>
      <c r="C57" s="474" t="s">
        <v>846</v>
      </c>
      <c r="D57" s="6">
        <v>0.99</v>
      </c>
      <c r="E57" s="6">
        <v>1.1000000000000001</v>
      </c>
      <c r="F57" s="6">
        <v>0.11</v>
      </c>
      <c r="G57" s="6">
        <v>3</v>
      </c>
      <c r="H57" s="3" t="s">
        <v>325</v>
      </c>
      <c r="I57" s="3"/>
      <c r="J57" s="3"/>
      <c r="K57" s="3"/>
      <c r="L57" s="3"/>
      <c r="M57" s="3"/>
      <c r="N57" s="3"/>
      <c r="O57" s="3"/>
      <c r="P57" s="3"/>
      <c r="Q57" s="19">
        <v>42660040176</v>
      </c>
      <c r="R57" s="19">
        <v>42660040176</v>
      </c>
    </row>
    <row r="58" spans="1:32" s="1" customFormat="1" ht="11.25" x14ac:dyDescent="0.2">
      <c r="A58" s="285">
        <v>4</v>
      </c>
      <c r="B58" s="733" t="s">
        <v>333</v>
      </c>
      <c r="C58" s="474" t="s">
        <v>846</v>
      </c>
      <c r="D58" s="6">
        <v>0</v>
      </c>
      <c r="E58" s="6">
        <v>0.33</v>
      </c>
      <c r="F58" s="6">
        <v>0.33</v>
      </c>
      <c r="G58" s="6">
        <v>4</v>
      </c>
      <c r="H58" s="22" t="s">
        <v>0</v>
      </c>
      <c r="I58" s="22"/>
      <c r="J58" s="22"/>
      <c r="K58" s="22"/>
      <c r="L58" s="22"/>
      <c r="M58" s="22"/>
      <c r="N58" s="22"/>
      <c r="O58" s="22"/>
      <c r="P58" s="22"/>
      <c r="Q58" s="19">
        <v>42660040174</v>
      </c>
      <c r="R58" s="19">
        <v>42660040174</v>
      </c>
    </row>
    <row r="59" spans="1:32" s="1" customFormat="1" ht="11.25" x14ac:dyDescent="0.2">
      <c r="A59" s="286"/>
      <c r="B59" s="701" t="s">
        <v>314</v>
      </c>
      <c r="C59" s="474" t="s">
        <v>846</v>
      </c>
      <c r="D59" s="6">
        <v>0.33</v>
      </c>
      <c r="E59" s="6">
        <v>1.49</v>
      </c>
      <c r="F59" s="6">
        <v>1.1599999999999999</v>
      </c>
      <c r="G59" s="6">
        <v>4</v>
      </c>
      <c r="H59" s="22" t="s">
        <v>0</v>
      </c>
      <c r="I59" s="22"/>
      <c r="J59" s="22"/>
      <c r="K59" s="22"/>
      <c r="L59" s="22"/>
      <c r="M59" s="22"/>
      <c r="N59" s="22"/>
      <c r="O59" s="22"/>
      <c r="P59" s="22"/>
      <c r="Q59" s="19">
        <v>42660020098</v>
      </c>
      <c r="R59" s="19">
        <v>42660020098</v>
      </c>
    </row>
    <row r="60" spans="1:32" s="1" customFormat="1" ht="22.5" x14ac:dyDescent="0.25">
      <c r="A60" s="290">
        <v>5</v>
      </c>
      <c r="B60" s="740" t="s">
        <v>334</v>
      </c>
      <c r="C60" s="612" t="s">
        <v>846</v>
      </c>
      <c r="D60" s="11">
        <v>0</v>
      </c>
      <c r="E60" s="11">
        <v>1.64</v>
      </c>
      <c r="F60" s="11">
        <v>1.64</v>
      </c>
      <c r="G60" s="11">
        <v>3</v>
      </c>
      <c r="H60" s="82" t="s">
        <v>0</v>
      </c>
      <c r="I60" s="12"/>
      <c r="J60" s="19"/>
      <c r="K60" s="12"/>
      <c r="L60" s="83"/>
      <c r="M60" s="19"/>
      <c r="N60" s="19"/>
      <c r="O60" s="12"/>
      <c r="P60" s="19"/>
      <c r="Q60" s="19">
        <v>42660030107</v>
      </c>
      <c r="R60" s="19">
        <v>42660030107</v>
      </c>
      <c r="S60"/>
      <c r="T60"/>
      <c r="U60"/>
      <c r="V60"/>
      <c r="W60"/>
      <c r="X60"/>
      <c r="Y60"/>
      <c r="Z60"/>
      <c r="AA60" t="s">
        <v>1097</v>
      </c>
      <c r="AB60"/>
      <c r="AC60"/>
      <c r="AD60"/>
      <c r="AE60"/>
      <c r="AF60"/>
    </row>
    <row r="61" spans="1:32" s="1" customFormat="1" ht="22.5" x14ac:dyDescent="0.2">
      <c r="A61" s="78"/>
      <c r="B61" s="79"/>
      <c r="C61" s="79"/>
      <c r="D61" s="80"/>
      <c r="E61" s="32"/>
      <c r="F61" s="81"/>
      <c r="G61" s="81"/>
      <c r="H61" s="69"/>
      <c r="I61" s="84"/>
      <c r="J61" s="85"/>
      <c r="K61" s="53" t="s">
        <v>268</v>
      </c>
      <c r="L61" s="291">
        <f>SUM(L53:L60)</f>
        <v>0</v>
      </c>
      <c r="M61" s="291">
        <f>SUM(M53:M60)</f>
        <v>0</v>
      </c>
      <c r="N61" s="55"/>
      <c r="O61" s="53" t="s">
        <v>269</v>
      </c>
      <c r="P61" s="291">
        <f>SUM(P53:P60)</f>
        <v>0</v>
      </c>
      <c r="Q61" s="55"/>
      <c r="S61" s="102"/>
      <c r="T61" s="625" t="s">
        <v>1092</v>
      </c>
      <c r="U61" s="625" t="s">
        <v>1093</v>
      </c>
      <c r="V61" s="625" t="s">
        <v>1094</v>
      </c>
      <c r="W61" s="625" t="s">
        <v>1095</v>
      </c>
      <c r="X61" s="625" t="s">
        <v>1096</v>
      </c>
      <c r="Y61" s="627" t="s">
        <v>269</v>
      </c>
      <c r="Z61" s="102"/>
      <c r="AA61" s="625" t="s">
        <v>1092</v>
      </c>
      <c r="AB61" s="625" t="s">
        <v>1093</v>
      </c>
      <c r="AC61" s="625" t="s">
        <v>1094</v>
      </c>
      <c r="AD61" s="625" t="s">
        <v>1095</v>
      </c>
      <c r="AE61" s="625" t="s">
        <v>1096</v>
      </c>
      <c r="AF61" s="627" t="s">
        <v>269</v>
      </c>
    </row>
    <row r="62" spans="1:32" s="1" customFormat="1" ht="11.25" x14ac:dyDescent="0.2">
      <c r="A62" s="46" t="s">
        <v>335</v>
      </c>
      <c r="B62" s="47"/>
      <c r="C62" s="47"/>
      <c r="D62" s="48"/>
      <c r="E62" s="49"/>
      <c r="F62" s="50">
        <f>SUM(F53:F60)</f>
        <v>6.47</v>
      </c>
      <c r="G62" s="688"/>
      <c r="H62" s="51"/>
      <c r="I62" s="40"/>
      <c r="J62" s="52"/>
      <c r="Q62" s="55"/>
      <c r="S62" s="628" t="s">
        <v>844</v>
      </c>
      <c r="T62" s="625" t="s">
        <v>231</v>
      </c>
      <c r="U62" s="625" t="s">
        <v>231</v>
      </c>
      <c r="V62" s="625" t="s">
        <v>231</v>
      </c>
      <c r="W62" s="625" t="s">
        <v>231</v>
      </c>
      <c r="X62" s="625" t="s">
        <v>231</v>
      </c>
      <c r="Y62" s="626" t="s">
        <v>231</v>
      </c>
      <c r="Z62" s="628"/>
      <c r="AA62" s="625" t="s">
        <v>231</v>
      </c>
      <c r="AB62" s="625" t="s">
        <v>231</v>
      </c>
      <c r="AC62" s="625" t="s">
        <v>231</v>
      </c>
      <c r="AD62" s="625" t="s">
        <v>231</v>
      </c>
      <c r="AE62" s="625" t="s">
        <v>231</v>
      </c>
      <c r="AF62" s="626" t="s">
        <v>231</v>
      </c>
    </row>
    <row r="63" spans="1:32" s="1" customFormat="1" ht="11.25" x14ac:dyDescent="0.2">
      <c r="A63" s="56" t="s">
        <v>270</v>
      </c>
      <c r="B63" s="57"/>
      <c r="C63" s="57"/>
      <c r="D63" s="58"/>
      <c r="E63" s="59"/>
      <c r="F63" s="60">
        <v>0</v>
      </c>
      <c r="G63" s="81"/>
      <c r="H63" s="61"/>
      <c r="I63" s="62"/>
      <c r="J63" s="55"/>
      <c r="K63" s="63"/>
      <c r="L63" s="64"/>
      <c r="M63" s="64"/>
      <c r="N63" s="55"/>
      <c r="O63" s="55"/>
      <c r="P63" s="55"/>
      <c r="Q63" s="55"/>
      <c r="S63" s="616" t="s">
        <v>847</v>
      </c>
      <c r="T63" s="624">
        <f>SUMIFS(F53:F60,C53:C60,"A",H53:H60,"melnais")</f>
        <v>0</v>
      </c>
      <c r="U63" s="624">
        <f>SUMIFS(F53:F60,C53:C60,"A",H53:H60,"dubultā virsma")</f>
        <v>0</v>
      </c>
      <c r="V63" s="624">
        <f>SUMIFS(F53:F60,C53:C60,"A",H53:H60,"bruģis")</f>
        <v>0</v>
      </c>
      <c r="W63" s="624">
        <f>SUMIFS(F53:F60,C53:C60,"A",H53:H60,"grants")</f>
        <v>0</v>
      </c>
      <c r="X63" s="624">
        <f>SUMIFS(F53:F60,C53:C60,"A",H53:H60,"cits segums")</f>
        <v>0</v>
      </c>
      <c r="Y63" s="624">
        <f>SUM(T63:X63)</f>
        <v>0</v>
      </c>
      <c r="Z63" s="616" t="s">
        <v>847</v>
      </c>
      <c r="AA63" s="614">
        <f>SUMIFS(F53:F60,C53:C60,"A",H53:H60,"melnais", Q53:Q60,"Nepiederošs")</f>
        <v>0</v>
      </c>
      <c r="AB63" s="614">
        <f>SUMIFS(F53:F60,C53:C60,"A",H53:H60,"dubultā virsma", Q53:Q60,"Nepiederošs")</f>
        <v>0</v>
      </c>
      <c r="AC63" s="614">
        <f>SUMIFS(F53:F60,C53:C60,"A",H53:H60,"bruģis", Q53:Q60,"Nepiederošs")</f>
        <v>0</v>
      </c>
      <c r="AD63" s="614">
        <f>SUMIFS(F53:F60,C53:C60,"A",H53:H60,"grants", Q53:Q60,"Nepiederošs")</f>
        <v>0</v>
      </c>
      <c r="AE63" s="614">
        <f>SUMIFS(F53:F60,C53:C60,"A",H53:H60,"cits segums", Q53:Q60,"Nepiederošs")</f>
        <v>0</v>
      </c>
      <c r="AF63" s="614">
        <f>SUM(AA63:AE63)</f>
        <v>0</v>
      </c>
    </row>
    <row r="64" spans="1:32" s="1" customFormat="1" ht="11.25" x14ac:dyDescent="0.2">
      <c r="A64" s="56" t="s">
        <v>271</v>
      </c>
      <c r="B64" s="57"/>
      <c r="C64" s="57"/>
      <c r="D64" s="58"/>
      <c r="E64" s="59"/>
      <c r="F64" s="60">
        <v>0</v>
      </c>
      <c r="G64" s="81"/>
      <c r="H64" s="65"/>
      <c r="I64" s="40"/>
      <c r="J64" s="66"/>
      <c r="K64" s="67"/>
      <c r="L64" s="67"/>
      <c r="M64" s="67"/>
      <c r="N64" s="68"/>
      <c r="O64" s="55"/>
      <c r="P64" s="55"/>
      <c r="Q64" s="55"/>
      <c r="S64" s="617" t="s">
        <v>848</v>
      </c>
      <c r="T64" s="624">
        <f>SUMIFS(F53:F60,C53:C60,"B",H53:H60,"melnais")</f>
        <v>0</v>
      </c>
      <c r="U64" s="624">
        <f>SUMIFS(F53:F60,C53:C60,"B",H53:H60,"dubultā virsma")</f>
        <v>0</v>
      </c>
      <c r="V64" s="624">
        <f>SUMIFS(F53:F60,C53:C60,"B",H53:H60,"bruģis")</f>
        <v>0</v>
      </c>
      <c r="W64" s="624">
        <f>SUMIFS(F53:F60,C53:C60,"B",H53:H60,"grants")</f>
        <v>0</v>
      </c>
      <c r="X64" s="624">
        <f>SUMIFS(F53:F60,C53:C60,"B",H53:H60,"cits segums")</f>
        <v>0</v>
      </c>
      <c r="Y64" s="624">
        <f t="shared" ref="Y64:Y66" si="12">SUM(T64:X64)</f>
        <v>0</v>
      </c>
      <c r="Z64" s="617" t="s">
        <v>848</v>
      </c>
      <c r="AA64" s="614">
        <f>SUMIFS(F53:F60,C53:C60,"B",H53:H60,"melnais", Q53:Q60,"Nepiederošs")</f>
        <v>0</v>
      </c>
      <c r="AB64" s="614">
        <f>SUMIFS(F53:F60,C53:C60,"B",H53:H60,"dubultā virsma", Q53:Q60,"Nepiederošs")</f>
        <v>0</v>
      </c>
      <c r="AC64" s="614">
        <f>SUMIFS(F53:F60,C53:C60,"B",H53:H60,"bruģis", Q53:Q60,"Nepiederošs")</f>
        <v>0</v>
      </c>
      <c r="AD64" s="614">
        <f>SUMIFS(F53:F60,C53:C60,"B",H53:H60,"grants", Q53:Q60,"Nepiederošs")</f>
        <v>0</v>
      </c>
      <c r="AE64" s="614">
        <f>SUMIFS(F53:F60,C53:C60,"B",H53:H60,"cits segums", Q53:Q60,"Nepiederošs")</f>
        <v>0</v>
      </c>
      <c r="AF64" s="614">
        <f t="shared" ref="AF64:AF66" si="13">SUM(AA64:AE64)</f>
        <v>0</v>
      </c>
    </row>
    <row r="65" spans="1:32" s="1" customFormat="1" ht="11.25" x14ac:dyDescent="0.2">
      <c r="A65" s="56" t="s">
        <v>272</v>
      </c>
      <c r="B65" s="57"/>
      <c r="C65" s="57"/>
      <c r="D65" s="58"/>
      <c r="E65" s="59"/>
      <c r="F65" s="60">
        <f>F62-F63-F66</f>
        <v>6.01</v>
      </c>
      <c r="G65" s="81"/>
      <c r="H65" s="65"/>
      <c r="I65" s="65"/>
      <c r="J65" s="66"/>
      <c r="K65" s="67"/>
      <c r="L65" s="67"/>
      <c r="M65" s="67"/>
      <c r="N65" s="68"/>
      <c r="O65" s="55"/>
      <c r="P65" s="55"/>
      <c r="Q65" s="55"/>
      <c r="S65" s="615" t="s">
        <v>845</v>
      </c>
      <c r="T65" s="624">
        <f>SUMIFS(F53:F60,C53:C60,"C",H53:H60,"melnais")</f>
        <v>0</v>
      </c>
      <c r="U65" s="624">
        <f>SUMIFS(F53:F60,C53:C60,"C",H53:H60,"dubultā virsma")</f>
        <v>0</v>
      </c>
      <c r="V65" s="624">
        <f>SUMIFS(F53:F60,C53:C60,"C",H53:H60,"bruģis")</f>
        <v>0</v>
      </c>
      <c r="W65" s="624">
        <f>SUMIFS(F53:F60,C53:C60,"C",H53:H60,"grants")</f>
        <v>0</v>
      </c>
      <c r="X65" s="624">
        <f>SUMIFS(F53:F60,C53:C60,"C",H53:H60,"cits segums")</f>
        <v>0</v>
      </c>
      <c r="Y65" s="624">
        <f t="shared" si="12"/>
        <v>0</v>
      </c>
      <c r="Z65" s="615" t="s">
        <v>845</v>
      </c>
      <c r="AA65" s="614">
        <f>SUMIFS(F53:F60,C53:C60,"C",H53:H60,"melnais", Q53:Q60,"Nepiederošs")</f>
        <v>0</v>
      </c>
      <c r="AB65" s="614">
        <f>SUMIFS(F53:F60,C53:C60,"C",H53:H60,"dubultā virsma", Q53:Q60,"Nepiederošs")</f>
        <v>0</v>
      </c>
      <c r="AC65" s="614">
        <f>SUMIFS(F53:F60,C53:C60,"C",H53:H60,"bruģis", Q53:Q60,"Nepiederošs")</f>
        <v>0</v>
      </c>
      <c r="AD65" s="614">
        <f>SUMIFS(F53:F60,C53:C60,"C",H53:H60,"grants", Q53:Q60,"Nepiederošs")</f>
        <v>0</v>
      </c>
      <c r="AE65" s="614">
        <f>SUMIFS(F53:F60,C53:C60,"C",H53:H60,"cits segums", Q53:Q60,"Nepiederošs")</f>
        <v>0</v>
      </c>
      <c r="AF65" s="614">
        <f t="shared" si="13"/>
        <v>0</v>
      </c>
    </row>
    <row r="66" spans="1:32" s="1" customFormat="1" ht="11.25" x14ac:dyDescent="0.2">
      <c r="A66" s="56" t="s">
        <v>273</v>
      </c>
      <c r="B66" s="57"/>
      <c r="C66" s="57"/>
      <c r="D66" s="58"/>
      <c r="E66" s="59"/>
      <c r="F66" s="60">
        <f>F57+F55</f>
        <v>0.45999999999999996</v>
      </c>
      <c r="G66" s="81"/>
      <c r="H66" s="69"/>
      <c r="I66" s="65"/>
      <c r="J66" s="70"/>
      <c r="K66" s="67"/>
      <c r="L66" s="67"/>
      <c r="M66" s="67"/>
      <c r="N66" s="68"/>
      <c r="O66" s="55"/>
      <c r="P66" s="55"/>
      <c r="Q66" s="55"/>
      <c r="S66" s="616" t="s">
        <v>846</v>
      </c>
      <c r="T66" s="624">
        <f>SUMIFS(F53:F60,C53:C60,"D",H53:H60,"melnais")</f>
        <v>0</v>
      </c>
      <c r="U66" s="624">
        <f>SUMIFS(F53:F60,C53:C60,"D",H53:H60,"dubultā virsma")</f>
        <v>0</v>
      </c>
      <c r="V66" s="624">
        <f>SUMIFS(F53:F60,C53:C60,"D",H53:H60,"bruģis")</f>
        <v>0</v>
      </c>
      <c r="W66" s="624">
        <f>SUMIFS(F53:F60,C53:C60,"D",H53:H60,"grants")</f>
        <v>6.01</v>
      </c>
      <c r="X66" s="624">
        <f>SUMIFS(F53:F60,C53:C60,"D",H53:H60,"cits segums")</f>
        <v>0.45999999999999996</v>
      </c>
      <c r="Y66" s="624">
        <f t="shared" si="12"/>
        <v>6.47</v>
      </c>
      <c r="Z66" s="616" t="s">
        <v>846</v>
      </c>
      <c r="AA66" s="614">
        <f>SUMIFS(F53:F60,C53:C60,"D",H53:H60,"melnais", Q53:Q60,"Nepiederošs")</f>
        <v>0</v>
      </c>
      <c r="AB66" s="614">
        <f>SUMIFS(F53:F60,C53:C60,"D",H53:H60,"dubultā virsma", Q53:Q60,"Nepiederošs")</f>
        <v>0</v>
      </c>
      <c r="AC66" s="614">
        <f>SUMIFS(F53:F60,C53:C60,"D",H53:H60,"bruģis", Q53:Q60,"Nepiederošs")</f>
        <v>0</v>
      </c>
      <c r="AD66" s="614">
        <f>SUMIFS(F53:F60,C53:C60,"D",H53:H60,"grants", Q53:Q60,"Nepiederošs")</f>
        <v>0</v>
      </c>
      <c r="AE66" s="614">
        <f>SUMIFS(F53:F60,C53:C60,"D",H53:H60,"cits segums", Q53:Q60,"Nepiederošs")</f>
        <v>0</v>
      </c>
      <c r="AF66" s="614">
        <f t="shared" si="13"/>
        <v>0</v>
      </c>
    </row>
    <row r="67" spans="1:32" x14ac:dyDescent="0.25">
      <c r="C67" s="438"/>
      <c r="T67" s="630">
        <f>SUM(T63:T66)</f>
        <v>0</v>
      </c>
      <c r="U67" s="630">
        <f t="shared" ref="U67:Y67" si="14">SUM(U63:U66)</f>
        <v>0</v>
      </c>
      <c r="V67" s="630">
        <f t="shared" si="14"/>
        <v>0</v>
      </c>
      <c r="W67" s="630">
        <f t="shared" si="14"/>
        <v>6.01</v>
      </c>
      <c r="X67" s="630">
        <f t="shared" si="14"/>
        <v>0.45999999999999996</v>
      </c>
      <c r="Y67" s="630">
        <f t="shared" si="14"/>
        <v>6.47</v>
      </c>
      <c r="AA67" s="629">
        <f>SUM(AA63:AA66)</f>
        <v>0</v>
      </c>
      <c r="AB67" s="629">
        <f t="shared" ref="AB67" si="15">SUM(AB63:AB66)</f>
        <v>0</v>
      </c>
      <c r="AC67" s="629">
        <f>SUM(AC63:AC66)</f>
        <v>0</v>
      </c>
      <c r="AD67" s="629">
        <f t="shared" ref="AD67:AF67" si="16">SUM(AD63:AD66)</f>
        <v>0</v>
      </c>
      <c r="AE67" s="629">
        <f t="shared" si="16"/>
        <v>0</v>
      </c>
      <c r="AF67" s="629">
        <f t="shared" si="16"/>
        <v>0</v>
      </c>
    </row>
    <row r="68" spans="1:32" s="32" customFormat="1" ht="15" customHeight="1" x14ac:dyDescent="0.25">
      <c r="A68" s="33"/>
      <c r="B68" s="33"/>
      <c r="C68" s="33"/>
      <c r="D68" s="781" t="s">
        <v>1058</v>
      </c>
      <c r="E68" s="781"/>
      <c r="F68" s="781"/>
      <c r="G68" s="781"/>
      <c r="H68" s="781"/>
      <c r="I68" s="781"/>
      <c r="J68" s="781"/>
      <c r="K68" s="781"/>
      <c r="L68" s="781"/>
      <c r="M68" s="781"/>
      <c r="N68" s="781"/>
      <c r="O68" s="781"/>
      <c r="P68" s="781"/>
      <c r="Q68" s="30"/>
      <c r="R68" s="37"/>
    </row>
    <row r="69" spans="1:32" s="32" customFormat="1" ht="11.25" x14ac:dyDescent="0.25">
      <c r="A69" s="33"/>
      <c r="B69" s="33"/>
      <c r="C69" s="33"/>
      <c r="D69" s="38"/>
      <c r="E69" s="29"/>
      <c r="F69" s="29"/>
      <c r="G69" s="29"/>
      <c r="H69" s="30"/>
      <c r="I69" s="28"/>
      <c r="J69" s="28"/>
      <c r="K69" s="28"/>
      <c r="L69" s="28"/>
      <c r="M69" s="28"/>
      <c r="N69" s="39"/>
      <c r="O69" s="39"/>
      <c r="P69" s="28"/>
      <c r="Q69" s="28"/>
      <c r="R69" s="37"/>
    </row>
    <row r="70" spans="1:32" s="40" customFormat="1" ht="5.25" customHeight="1" x14ac:dyDescent="0.2">
      <c r="A70" s="44"/>
      <c r="B70" s="732"/>
      <c r="C70" s="39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 spans="1:32" s="40" customFormat="1" ht="12.75" customHeight="1" x14ac:dyDescent="0.2">
      <c r="A71" s="782" t="s">
        <v>244</v>
      </c>
      <c r="B71" s="790" t="s">
        <v>245</v>
      </c>
      <c r="C71" s="413"/>
      <c r="D71" s="793" t="s">
        <v>246</v>
      </c>
      <c r="E71" s="794"/>
      <c r="F71" s="794"/>
      <c r="G71" s="794"/>
      <c r="H71" s="794"/>
      <c r="I71" s="794"/>
      <c r="J71" s="794"/>
      <c r="K71" s="794"/>
      <c r="L71" s="794"/>
      <c r="M71" s="794"/>
      <c r="N71" s="794"/>
      <c r="O71" s="794"/>
      <c r="P71" s="784"/>
      <c r="Q71" s="795" t="s">
        <v>247</v>
      </c>
      <c r="R71" s="796"/>
    </row>
    <row r="72" spans="1:32" s="40" customFormat="1" ht="12.75" customHeight="1" x14ac:dyDescent="0.2">
      <c r="A72" s="782"/>
      <c r="B72" s="791"/>
      <c r="C72" s="395"/>
      <c r="D72" s="785" t="s">
        <v>248</v>
      </c>
      <c r="E72" s="785"/>
      <c r="F72" s="785"/>
      <c r="G72" s="785"/>
      <c r="H72" s="785"/>
      <c r="I72" s="788" t="s">
        <v>249</v>
      </c>
      <c r="J72" s="788"/>
      <c r="K72" s="788"/>
      <c r="L72" s="788"/>
      <c r="M72" s="788"/>
      <c r="N72" s="788"/>
      <c r="O72" s="788"/>
      <c r="P72" s="801" t="s">
        <v>250</v>
      </c>
      <c r="Q72" s="797"/>
      <c r="R72" s="798"/>
    </row>
    <row r="73" spans="1:32" s="40" customFormat="1" ht="15.2" customHeight="1" x14ac:dyDescent="0.2">
      <c r="A73" s="782"/>
      <c r="B73" s="791"/>
      <c r="C73" s="395"/>
      <c r="D73" s="785" t="s">
        <v>251</v>
      </c>
      <c r="E73" s="785"/>
      <c r="F73" s="786" t="s">
        <v>252</v>
      </c>
      <c r="G73" s="786" t="s">
        <v>881</v>
      </c>
      <c r="H73" s="782" t="s">
        <v>253</v>
      </c>
      <c r="I73" s="789" t="s">
        <v>254</v>
      </c>
      <c r="J73" s="788" t="s">
        <v>255</v>
      </c>
      <c r="K73" s="788"/>
      <c r="L73" s="787" t="s">
        <v>256</v>
      </c>
      <c r="M73" s="787" t="s">
        <v>257</v>
      </c>
      <c r="N73" s="787" t="s">
        <v>258</v>
      </c>
      <c r="O73" s="787" t="s">
        <v>259</v>
      </c>
      <c r="P73" s="799"/>
      <c r="Q73" s="799" t="s">
        <v>260</v>
      </c>
      <c r="R73" s="791" t="s">
        <v>261</v>
      </c>
    </row>
    <row r="74" spans="1:32" s="40" customFormat="1" ht="58.5" customHeight="1" x14ac:dyDescent="0.2">
      <c r="A74" s="782"/>
      <c r="B74" s="792"/>
      <c r="C74" s="432" t="s">
        <v>844</v>
      </c>
      <c r="D74" s="74" t="s">
        <v>262</v>
      </c>
      <c r="E74" s="74" t="s">
        <v>263</v>
      </c>
      <c r="F74" s="786"/>
      <c r="G74" s="786"/>
      <c r="H74" s="782"/>
      <c r="I74" s="789"/>
      <c r="J74" s="75" t="s">
        <v>231</v>
      </c>
      <c r="K74" s="75" t="s">
        <v>264</v>
      </c>
      <c r="L74" s="787"/>
      <c r="M74" s="787"/>
      <c r="N74" s="787"/>
      <c r="O74" s="787"/>
      <c r="P74" s="800"/>
      <c r="Q74" s="800"/>
      <c r="R74" s="792"/>
    </row>
    <row r="75" spans="1:32" s="41" customFormat="1" ht="12" customHeight="1" x14ac:dyDescent="0.25">
      <c r="A75" s="42">
        <v>1</v>
      </c>
      <c r="B75" s="42">
        <v>2</v>
      </c>
      <c r="C75" s="42"/>
      <c r="D75" s="42">
        <v>3</v>
      </c>
      <c r="E75" s="42">
        <v>4</v>
      </c>
      <c r="F75" s="42">
        <v>5</v>
      </c>
      <c r="G75" s="42">
        <v>5.0999999999999996</v>
      </c>
      <c r="H75" s="42">
        <v>6</v>
      </c>
      <c r="I75" s="43">
        <v>7</v>
      </c>
      <c r="J75" s="43">
        <v>8</v>
      </c>
      <c r="K75" s="43">
        <v>9</v>
      </c>
      <c r="L75" s="43">
        <v>10</v>
      </c>
      <c r="M75" s="43">
        <v>11</v>
      </c>
      <c r="N75" s="43">
        <v>12</v>
      </c>
      <c r="O75" s="43">
        <v>13</v>
      </c>
      <c r="P75" s="43">
        <v>14</v>
      </c>
      <c r="Q75" s="43">
        <v>15</v>
      </c>
      <c r="R75" s="42">
        <v>16</v>
      </c>
    </row>
    <row r="76" spans="1:32" s="1" customFormat="1" ht="22.5" x14ac:dyDescent="0.2">
      <c r="A76" s="76">
        <v>1</v>
      </c>
      <c r="B76" s="733" t="s">
        <v>373</v>
      </c>
      <c r="C76" s="414" t="s">
        <v>846</v>
      </c>
      <c r="D76" s="90">
        <v>0</v>
      </c>
      <c r="E76" s="90">
        <v>0.27</v>
      </c>
      <c r="F76" s="90">
        <v>0.27</v>
      </c>
      <c r="G76" s="90">
        <v>3.5</v>
      </c>
      <c r="H76" s="91" t="s">
        <v>0</v>
      </c>
      <c r="I76" s="27"/>
      <c r="J76" s="27"/>
      <c r="K76" s="27"/>
      <c r="L76" s="27"/>
      <c r="M76" s="27"/>
      <c r="N76" s="27"/>
      <c r="O76" s="27"/>
      <c r="P76" s="27"/>
      <c r="Q76" s="27">
        <v>80420030073</v>
      </c>
      <c r="R76" s="27">
        <v>80420030073</v>
      </c>
    </row>
    <row r="77" spans="1:32" s="1" customFormat="1" ht="22.5" x14ac:dyDescent="0.2">
      <c r="A77" s="76">
        <v>2</v>
      </c>
      <c r="B77" s="733" t="s">
        <v>374</v>
      </c>
      <c r="C77" s="474" t="s">
        <v>846</v>
      </c>
      <c r="D77" s="90">
        <v>0</v>
      </c>
      <c r="E77" s="90">
        <v>0.31</v>
      </c>
      <c r="F77" s="90">
        <v>0.31</v>
      </c>
      <c r="G77" s="90">
        <v>3</v>
      </c>
      <c r="H77" s="15" t="s">
        <v>325</v>
      </c>
      <c r="I77" s="27"/>
      <c r="J77" s="27"/>
      <c r="K77" s="27"/>
      <c r="L77" s="27"/>
      <c r="M77" s="27"/>
      <c r="N77" s="27"/>
      <c r="O77" s="27"/>
      <c r="P77" s="27"/>
      <c r="Q77" s="27">
        <v>80420020163</v>
      </c>
      <c r="R77" s="27">
        <v>80420020182</v>
      </c>
    </row>
    <row r="78" spans="1:32" s="1" customFormat="1" ht="11.25" x14ac:dyDescent="0.2">
      <c r="A78" s="76">
        <v>3</v>
      </c>
      <c r="B78" s="698" t="s">
        <v>375</v>
      </c>
      <c r="C78" s="474" t="s">
        <v>846</v>
      </c>
      <c r="D78" s="90">
        <v>0</v>
      </c>
      <c r="E78" s="90">
        <v>0.35</v>
      </c>
      <c r="F78" s="90">
        <v>0.35</v>
      </c>
      <c r="G78" s="90">
        <v>3</v>
      </c>
      <c r="H78" s="15" t="s">
        <v>325</v>
      </c>
      <c r="I78" s="27"/>
      <c r="J78" s="27"/>
      <c r="K78" s="27"/>
      <c r="L78" s="27"/>
      <c r="M78" s="27"/>
      <c r="N78" s="27"/>
      <c r="O78" s="27"/>
      <c r="P78" s="27"/>
      <c r="Q78" s="27">
        <v>80420020192</v>
      </c>
      <c r="R78" s="27">
        <v>80420020192</v>
      </c>
    </row>
    <row r="79" spans="1:32" s="1" customFormat="1" ht="11.25" x14ac:dyDescent="0.2">
      <c r="A79" s="278"/>
      <c r="B79" s="700"/>
      <c r="C79" s="474" t="s">
        <v>846</v>
      </c>
      <c r="D79" s="90">
        <f>E78</f>
        <v>0.35</v>
      </c>
      <c r="E79" s="90">
        <f>D79+F79</f>
        <v>0.55000000000000004</v>
      </c>
      <c r="F79" s="90">
        <v>0.2</v>
      </c>
      <c r="G79" s="90">
        <v>3</v>
      </c>
      <c r="H79" s="15" t="s">
        <v>325</v>
      </c>
      <c r="I79" s="22"/>
      <c r="J79" s="22"/>
      <c r="K79" s="22"/>
      <c r="L79" s="22"/>
      <c r="M79" s="22"/>
      <c r="N79" s="22"/>
      <c r="O79" s="22"/>
      <c r="P79" s="22"/>
      <c r="Q79" s="453" t="s">
        <v>859</v>
      </c>
      <c r="R79" s="19">
        <v>80420020059</v>
      </c>
    </row>
    <row r="80" spans="1:32" s="1" customFormat="1" ht="22.5" x14ac:dyDescent="0.2">
      <c r="A80" s="287">
        <v>4</v>
      </c>
      <c r="B80" s="710" t="s">
        <v>376</v>
      </c>
      <c r="C80" s="474" t="s">
        <v>846</v>
      </c>
      <c r="D80" s="11">
        <v>0</v>
      </c>
      <c r="E80" s="90">
        <v>0.28000000000000003</v>
      </c>
      <c r="F80" s="90">
        <v>0.28000000000000003</v>
      </c>
      <c r="G80" s="90">
        <v>3</v>
      </c>
      <c r="H80" s="91" t="s">
        <v>0</v>
      </c>
      <c r="I80" s="27"/>
      <c r="J80" s="27"/>
      <c r="K80" s="27"/>
      <c r="L80" s="27"/>
      <c r="M80" s="27"/>
      <c r="N80" s="27"/>
      <c r="O80" s="27"/>
      <c r="P80" s="27"/>
      <c r="Q80" s="27">
        <v>80420020164</v>
      </c>
      <c r="R80" s="27">
        <v>80420020164</v>
      </c>
    </row>
    <row r="81" spans="1:18" s="1" customFormat="1" ht="22.5" x14ac:dyDescent="0.2">
      <c r="A81" s="287"/>
      <c r="B81" s="710"/>
      <c r="C81" s="474" t="s">
        <v>846</v>
      </c>
      <c r="D81" s="11">
        <f>E80</f>
        <v>0.28000000000000003</v>
      </c>
      <c r="E81" s="90">
        <v>0.48</v>
      </c>
      <c r="F81" s="90">
        <v>0.2</v>
      </c>
      <c r="G81" s="90">
        <v>3</v>
      </c>
      <c r="H81" s="91" t="s">
        <v>325</v>
      </c>
      <c r="I81" s="27"/>
      <c r="J81" s="27"/>
      <c r="K81" s="27"/>
      <c r="L81" s="27"/>
      <c r="M81" s="27"/>
      <c r="N81" s="27"/>
      <c r="O81" s="27"/>
      <c r="P81" s="27"/>
      <c r="Q81" s="453" t="s">
        <v>859</v>
      </c>
      <c r="R81" s="12" t="s">
        <v>868</v>
      </c>
    </row>
    <row r="82" spans="1:18" s="1" customFormat="1" ht="11.25" x14ac:dyDescent="0.2">
      <c r="A82" s="286"/>
      <c r="B82" s="701" t="s">
        <v>314</v>
      </c>
      <c r="C82" s="474" t="s">
        <v>846</v>
      </c>
      <c r="D82" s="11">
        <v>0.48</v>
      </c>
      <c r="E82" s="90">
        <v>0.75</v>
      </c>
      <c r="F82" s="90">
        <v>0.27</v>
      </c>
      <c r="G82" s="90">
        <v>3</v>
      </c>
      <c r="H82" s="91" t="s">
        <v>325</v>
      </c>
      <c r="I82" s="27"/>
      <c r="J82" s="27"/>
      <c r="K82" s="27"/>
      <c r="L82" s="27"/>
      <c r="M82" s="27"/>
      <c r="N82" s="27"/>
      <c r="O82" s="27"/>
      <c r="P82" s="27"/>
      <c r="Q82" s="27">
        <v>80420020164</v>
      </c>
      <c r="R82" s="27">
        <v>80420020220</v>
      </c>
    </row>
    <row r="83" spans="1:18" s="1" customFormat="1" ht="11.25" x14ac:dyDescent="0.2">
      <c r="A83" s="287">
        <v>5</v>
      </c>
      <c r="B83" s="710" t="s">
        <v>377</v>
      </c>
      <c r="C83" s="474" t="s">
        <v>846</v>
      </c>
      <c r="D83" s="11">
        <v>0</v>
      </c>
      <c r="E83" s="90">
        <v>1.06</v>
      </c>
      <c r="F83" s="90">
        <v>1.06</v>
      </c>
      <c r="G83" s="90">
        <v>4</v>
      </c>
      <c r="H83" s="91" t="s">
        <v>0</v>
      </c>
      <c r="I83" s="27"/>
      <c r="J83" s="27"/>
      <c r="K83" s="27"/>
      <c r="L83" s="27"/>
      <c r="M83" s="27"/>
      <c r="N83" s="27"/>
      <c r="O83" s="27"/>
      <c r="P83" s="27"/>
      <c r="Q83" s="27">
        <v>80420040258</v>
      </c>
      <c r="R83" s="27">
        <v>80420040258</v>
      </c>
    </row>
    <row r="84" spans="1:18" s="1" customFormat="1" ht="11.25" x14ac:dyDescent="0.2">
      <c r="A84" s="76">
        <v>6</v>
      </c>
      <c r="B84" s="698" t="s">
        <v>378</v>
      </c>
      <c r="C84" s="474" t="s">
        <v>846</v>
      </c>
      <c r="D84" s="11">
        <v>0</v>
      </c>
      <c r="E84" s="90">
        <v>0.35</v>
      </c>
      <c r="F84" s="90">
        <v>0.35</v>
      </c>
      <c r="G84" s="90">
        <v>4</v>
      </c>
      <c r="H84" s="91" t="s">
        <v>0</v>
      </c>
      <c r="I84" s="27"/>
      <c r="J84" s="27"/>
      <c r="K84" s="27"/>
      <c r="L84" s="27"/>
      <c r="M84" s="27"/>
      <c r="N84" s="27"/>
      <c r="O84" s="27"/>
      <c r="P84" s="27"/>
      <c r="Q84" s="453" t="s">
        <v>859</v>
      </c>
      <c r="R84" s="19">
        <v>80420040032</v>
      </c>
    </row>
    <row r="85" spans="1:18" s="1" customFormat="1" ht="11.25" x14ac:dyDescent="0.2">
      <c r="A85" s="89"/>
      <c r="B85" s="704"/>
      <c r="C85" s="474" t="s">
        <v>846</v>
      </c>
      <c r="D85" s="11">
        <v>0.35</v>
      </c>
      <c r="E85" s="90">
        <v>0.52</v>
      </c>
      <c r="F85" s="90">
        <v>0.17</v>
      </c>
      <c r="G85" s="90">
        <v>3</v>
      </c>
      <c r="H85" s="91" t="s">
        <v>0</v>
      </c>
      <c r="I85" s="27"/>
      <c r="J85" s="27"/>
      <c r="K85" s="27"/>
      <c r="L85" s="27"/>
      <c r="M85" s="27"/>
      <c r="N85" s="27"/>
      <c r="O85" s="27"/>
      <c r="P85" s="27"/>
      <c r="Q85" s="27">
        <v>80420040260</v>
      </c>
      <c r="R85" s="27">
        <v>80420040400</v>
      </c>
    </row>
    <row r="86" spans="1:18" s="1" customFormat="1" ht="11.25" x14ac:dyDescent="0.2">
      <c r="A86" s="89"/>
      <c r="B86" s="704"/>
      <c r="C86" s="474" t="s">
        <v>846</v>
      </c>
      <c r="D86" s="11">
        <v>0.52</v>
      </c>
      <c r="E86" s="90">
        <v>1.1100000000000001</v>
      </c>
      <c r="F86" s="90">
        <v>0.59</v>
      </c>
      <c r="G86" s="90">
        <v>3</v>
      </c>
      <c r="H86" s="91" t="s">
        <v>0</v>
      </c>
      <c r="I86" s="27"/>
      <c r="J86" s="27"/>
      <c r="K86" s="27"/>
      <c r="L86" s="27"/>
      <c r="M86" s="27"/>
      <c r="N86" s="27"/>
      <c r="O86" s="27"/>
      <c r="P86" s="27"/>
      <c r="Q86" s="453" t="s">
        <v>859</v>
      </c>
      <c r="R86" s="19">
        <v>80420040025</v>
      </c>
    </row>
    <row r="87" spans="1:18" s="1" customFormat="1" ht="11.25" x14ac:dyDescent="0.2">
      <c r="A87" s="89"/>
      <c r="B87" s="704" t="s">
        <v>314</v>
      </c>
      <c r="C87" s="474" t="s">
        <v>846</v>
      </c>
      <c r="D87" s="11">
        <v>1.1100000000000001</v>
      </c>
      <c r="E87" s="90">
        <v>1.4000000000000001</v>
      </c>
      <c r="F87" s="90">
        <v>0.28999999999999998</v>
      </c>
      <c r="G87" s="90">
        <v>3</v>
      </c>
      <c r="H87" s="91" t="s">
        <v>0</v>
      </c>
      <c r="I87" s="27"/>
      <c r="J87" s="27"/>
      <c r="K87" s="27"/>
      <c r="L87" s="27"/>
      <c r="M87" s="27"/>
      <c r="N87" s="27"/>
      <c r="O87" s="27"/>
      <c r="P87" s="27"/>
      <c r="Q87" s="27">
        <v>80420040260</v>
      </c>
      <c r="R87" s="27">
        <v>80420040260</v>
      </c>
    </row>
    <row r="88" spans="1:18" s="1" customFormat="1" ht="11.25" x14ac:dyDescent="0.2">
      <c r="A88" s="278"/>
      <c r="B88" s="700"/>
      <c r="C88" s="474" t="s">
        <v>846</v>
      </c>
      <c r="D88" s="11">
        <v>1.4</v>
      </c>
      <c r="E88" s="90">
        <f>D88+F88</f>
        <v>2.29</v>
      </c>
      <c r="F88" s="90">
        <v>0.89</v>
      </c>
      <c r="G88" s="90">
        <v>3</v>
      </c>
      <c r="H88" s="91" t="s">
        <v>0</v>
      </c>
      <c r="I88" s="27"/>
      <c r="J88" s="27"/>
      <c r="K88" s="27"/>
      <c r="L88" s="27"/>
      <c r="M88" s="27"/>
      <c r="N88" s="27"/>
      <c r="O88" s="27"/>
      <c r="P88" s="27"/>
      <c r="Q88" s="453" t="s">
        <v>859</v>
      </c>
      <c r="R88" s="12">
        <v>80420040049</v>
      </c>
    </row>
    <row r="89" spans="1:18" s="1" customFormat="1" ht="22.5" x14ac:dyDescent="0.2">
      <c r="A89" s="278">
        <v>7</v>
      </c>
      <c r="B89" s="701" t="s">
        <v>379</v>
      </c>
      <c r="C89" s="474" t="s">
        <v>846</v>
      </c>
      <c r="D89" s="11">
        <v>0</v>
      </c>
      <c r="E89" s="90">
        <v>0.6</v>
      </c>
      <c r="F89" s="90">
        <v>0.6</v>
      </c>
      <c r="G89" s="90">
        <v>5</v>
      </c>
      <c r="H89" s="91" t="s">
        <v>0</v>
      </c>
      <c r="I89" s="27"/>
      <c r="J89" s="27"/>
      <c r="K89" s="27"/>
      <c r="L89" s="27"/>
      <c r="M89" s="27"/>
      <c r="N89" s="27"/>
      <c r="O89" s="27"/>
      <c r="P89" s="27"/>
      <c r="Q89" s="27">
        <v>80420040262</v>
      </c>
      <c r="R89" s="27">
        <v>80420040262</v>
      </c>
    </row>
    <row r="90" spans="1:18" s="1" customFormat="1" ht="11.25" x14ac:dyDescent="0.2">
      <c r="A90" s="275">
        <v>8</v>
      </c>
      <c r="B90" s="702" t="s">
        <v>380</v>
      </c>
      <c r="C90" s="474" t="s">
        <v>846</v>
      </c>
      <c r="D90" s="11">
        <v>0</v>
      </c>
      <c r="E90" s="90">
        <v>1.28</v>
      </c>
      <c r="F90" s="90">
        <v>1.28</v>
      </c>
      <c r="G90" s="90">
        <v>3</v>
      </c>
      <c r="H90" s="91" t="s">
        <v>0</v>
      </c>
      <c r="I90" s="27"/>
      <c r="J90" s="27"/>
      <c r="K90" s="27"/>
      <c r="L90" s="27"/>
      <c r="M90" s="27"/>
      <c r="N90" s="27"/>
      <c r="O90" s="27"/>
      <c r="P90" s="27"/>
      <c r="Q90" s="27">
        <v>80420080124</v>
      </c>
      <c r="R90" s="27">
        <v>80420080124</v>
      </c>
    </row>
    <row r="91" spans="1:18" s="1" customFormat="1" ht="11.25" x14ac:dyDescent="0.2">
      <c r="A91" s="287">
        <v>9</v>
      </c>
      <c r="B91" s="710" t="s">
        <v>381</v>
      </c>
      <c r="C91" s="474" t="s">
        <v>846</v>
      </c>
      <c r="D91" s="11">
        <v>0</v>
      </c>
      <c r="E91" s="90">
        <v>0.45</v>
      </c>
      <c r="F91" s="90">
        <v>0.45</v>
      </c>
      <c r="G91" s="90">
        <v>3.5</v>
      </c>
      <c r="H91" s="91" t="s">
        <v>0</v>
      </c>
      <c r="I91" s="27"/>
      <c r="J91" s="27"/>
      <c r="K91" s="27"/>
      <c r="L91" s="27"/>
      <c r="M91" s="27"/>
      <c r="N91" s="27"/>
      <c r="O91" s="27"/>
      <c r="P91" s="27"/>
      <c r="Q91" s="27">
        <v>80420070169</v>
      </c>
      <c r="R91" s="27">
        <v>80420070169</v>
      </c>
    </row>
    <row r="92" spans="1:18" s="1" customFormat="1" ht="11.25" x14ac:dyDescent="0.2">
      <c r="A92" s="287"/>
      <c r="B92" s="710"/>
      <c r="C92" s="474" t="s">
        <v>846</v>
      </c>
      <c r="D92" s="72">
        <f>E91</f>
        <v>0.45</v>
      </c>
      <c r="E92" s="72">
        <f>F92+D92</f>
        <v>1.08</v>
      </c>
      <c r="F92" s="23">
        <v>0.63</v>
      </c>
      <c r="G92" s="72">
        <v>3.5</v>
      </c>
      <c r="H92" s="4" t="s">
        <v>0</v>
      </c>
      <c r="I92" s="22"/>
      <c r="J92" s="22"/>
      <c r="K92" s="22"/>
      <c r="L92" s="22"/>
      <c r="M92" s="22"/>
      <c r="N92" s="22"/>
      <c r="O92" s="22"/>
      <c r="P92" s="22"/>
      <c r="Q92" s="453" t="s">
        <v>859</v>
      </c>
      <c r="R92" s="12">
        <v>80420070124</v>
      </c>
    </row>
    <row r="93" spans="1:18" s="1" customFormat="1" ht="11.25" x14ac:dyDescent="0.2">
      <c r="A93" s="287"/>
      <c r="B93" s="710"/>
      <c r="C93" s="474" t="s">
        <v>846</v>
      </c>
      <c r="D93" s="72">
        <v>1.08</v>
      </c>
      <c r="E93" s="72">
        <v>1.34</v>
      </c>
      <c r="F93" s="23">
        <v>0.26</v>
      </c>
      <c r="G93" s="72">
        <v>3.5</v>
      </c>
      <c r="H93" s="91" t="s">
        <v>325</v>
      </c>
      <c r="I93" s="22"/>
      <c r="J93" s="22"/>
      <c r="K93" s="22"/>
      <c r="L93" s="22"/>
      <c r="M93" s="22"/>
      <c r="N93" s="22"/>
      <c r="O93" s="22"/>
      <c r="P93" s="22"/>
      <c r="Q93" s="5">
        <v>80420070140</v>
      </c>
      <c r="R93" s="5">
        <v>80420070140</v>
      </c>
    </row>
    <row r="94" spans="1:18" s="1" customFormat="1" ht="11.25" x14ac:dyDescent="0.2">
      <c r="A94" s="287"/>
      <c r="B94" s="739" t="s">
        <v>162</v>
      </c>
      <c r="C94" s="474" t="s">
        <v>846</v>
      </c>
      <c r="D94" s="72">
        <v>0</v>
      </c>
      <c r="E94" s="23">
        <v>0.12</v>
      </c>
      <c r="F94" s="23">
        <v>0.12</v>
      </c>
      <c r="G94" s="72">
        <v>3.5</v>
      </c>
      <c r="H94" s="4" t="s">
        <v>0</v>
      </c>
      <c r="I94" s="22"/>
      <c r="J94" s="22"/>
      <c r="K94" s="22"/>
      <c r="L94" s="22"/>
      <c r="M94" s="22"/>
      <c r="N94" s="22"/>
      <c r="O94" s="22"/>
      <c r="P94" s="22"/>
      <c r="Q94" s="5">
        <v>80420070169</v>
      </c>
      <c r="R94" s="5">
        <v>80420070169</v>
      </c>
    </row>
    <row r="95" spans="1:18" s="1" customFormat="1" ht="11.25" x14ac:dyDescent="0.2">
      <c r="A95" s="275">
        <v>10</v>
      </c>
      <c r="B95" s="702" t="s">
        <v>382</v>
      </c>
      <c r="C95" s="474" t="s">
        <v>846</v>
      </c>
      <c r="D95" s="11">
        <v>0</v>
      </c>
      <c r="E95" s="90">
        <v>1.25</v>
      </c>
      <c r="F95" s="90">
        <v>1.25</v>
      </c>
      <c r="G95" s="90">
        <v>4</v>
      </c>
      <c r="H95" s="91" t="s">
        <v>0</v>
      </c>
      <c r="I95" s="27"/>
      <c r="J95" s="27"/>
      <c r="K95" s="27"/>
      <c r="L95" s="27"/>
      <c r="M95" s="27"/>
      <c r="N95" s="27"/>
      <c r="O95" s="27"/>
      <c r="P95" s="27"/>
      <c r="Q95" s="27">
        <v>80420070164</v>
      </c>
      <c r="R95" s="27">
        <v>80420070164</v>
      </c>
    </row>
    <row r="96" spans="1:18" s="1" customFormat="1" ht="11.25" x14ac:dyDescent="0.2">
      <c r="A96" s="287">
        <v>11</v>
      </c>
      <c r="B96" s="710" t="s">
        <v>383</v>
      </c>
      <c r="C96" s="474" t="s">
        <v>846</v>
      </c>
      <c r="D96" s="11">
        <v>0</v>
      </c>
      <c r="E96" s="90">
        <v>0.24</v>
      </c>
      <c r="F96" s="90">
        <v>0.24</v>
      </c>
      <c r="G96" s="90">
        <v>4.5</v>
      </c>
      <c r="H96" s="91" t="s">
        <v>0</v>
      </c>
      <c r="I96" s="27"/>
      <c r="J96" s="27"/>
      <c r="K96" s="27"/>
      <c r="L96" s="27"/>
      <c r="M96" s="27"/>
      <c r="N96" s="27"/>
      <c r="O96" s="27"/>
      <c r="P96" s="27"/>
      <c r="Q96" s="27">
        <v>80420070003</v>
      </c>
      <c r="R96" s="27">
        <v>80420070153</v>
      </c>
    </row>
    <row r="97" spans="1:32" s="1" customFormat="1" ht="22.5" x14ac:dyDescent="0.2">
      <c r="A97" s="285">
        <v>12</v>
      </c>
      <c r="B97" s="733" t="s">
        <v>384</v>
      </c>
      <c r="C97" s="474" t="s">
        <v>846</v>
      </c>
      <c r="D97" s="11">
        <v>0</v>
      </c>
      <c r="E97" s="90">
        <v>0.06</v>
      </c>
      <c r="F97" s="90">
        <v>0.06</v>
      </c>
      <c r="G97" s="90">
        <v>3</v>
      </c>
      <c r="H97" s="91" t="s">
        <v>325</v>
      </c>
      <c r="I97" s="27"/>
      <c r="J97" s="27"/>
      <c r="K97" s="27"/>
      <c r="L97" s="27"/>
      <c r="M97" s="27"/>
      <c r="N97" s="27"/>
      <c r="O97" s="27"/>
      <c r="P97" s="27"/>
      <c r="Q97" s="27">
        <v>80420070165</v>
      </c>
      <c r="R97" s="27">
        <v>80420070165</v>
      </c>
    </row>
    <row r="98" spans="1:32" s="1" customFormat="1" ht="11.25" x14ac:dyDescent="0.2">
      <c r="A98" s="286"/>
      <c r="B98" s="701" t="s">
        <v>314</v>
      </c>
      <c r="C98" s="474" t="s">
        <v>846</v>
      </c>
      <c r="D98" s="11">
        <v>0.06</v>
      </c>
      <c r="E98" s="90">
        <v>0.14000000000000001</v>
      </c>
      <c r="F98" s="90">
        <v>0.08</v>
      </c>
      <c r="G98" s="90">
        <v>3</v>
      </c>
      <c r="H98" s="91" t="s">
        <v>325</v>
      </c>
      <c r="I98" s="27"/>
      <c r="J98" s="27"/>
      <c r="K98" s="27"/>
      <c r="L98" s="27"/>
      <c r="M98" s="27"/>
      <c r="N98" s="27"/>
      <c r="O98" s="27"/>
      <c r="P98" s="27"/>
      <c r="Q98" s="27">
        <v>80420070147</v>
      </c>
      <c r="R98" s="27">
        <v>80420070147</v>
      </c>
    </row>
    <row r="99" spans="1:32" s="1" customFormat="1" ht="11.25" x14ac:dyDescent="0.2">
      <c r="A99" s="287">
        <v>13</v>
      </c>
      <c r="B99" s="710" t="s">
        <v>385</v>
      </c>
      <c r="C99" s="474" t="s">
        <v>846</v>
      </c>
      <c r="D99" s="11">
        <v>0</v>
      </c>
      <c r="E99" s="90">
        <v>0.08</v>
      </c>
      <c r="F99" s="90">
        <v>0.08</v>
      </c>
      <c r="G99" s="90">
        <v>3</v>
      </c>
      <c r="H99" s="91" t="s">
        <v>325</v>
      </c>
      <c r="I99" s="27"/>
      <c r="J99" s="27"/>
      <c r="K99" s="27"/>
      <c r="L99" s="27"/>
      <c r="M99" s="27"/>
      <c r="N99" s="27"/>
      <c r="O99" s="27"/>
      <c r="P99" s="27"/>
      <c r="Q99" s="27">
        <v>80420070003</v>
      </c>
      <c r="R99" s="27">
        <v>80420070179</v>
      </c>
    </row>
    <row r="100" spans="1:32" s="1" customFormat="1" ht="11.25" x14ac:dyDescent="0.2">
      <c r="A100" s="76">
        <v>14</v>
      </c>
      <c r="B100" s="698" t="s">
        <v>858</v>
      </c>
      <c r="C100" s="474" t="s">
        <v>846</v>
      </c>
      <c r="D100" s="452">
        <v>0</v>
      </c>
      <c r="E100" s="90">
        <v>2.42</v>
      </c>
      <c r="F100" s="90">
        <v>2.42</v>
      </c>
      <c r="G100" s="90">
        <v>4.5</v>
      </c>
      <c r="H100" s="91" t="s">
        <v>0</v>
      </c>
      <c r="I100" s="27"/>
      <c r="J100" s="27"/>
      <c r="K100" s="27"/>
      <c r="L100" s="27"/>
      <c r="M100" s="27"/>
      <c r="N100" s="27"/>
      <c r="O100" s="27"/>
      <c r="P100" s="27"/>
      <c r="Q100" s="453" t="s">
        <v>859</v>
      </c>
      <c r="R100" s="27">
        <v>80420030074</v>
      </c>
    </row>
    <row r="101" spans="1:32" s="1" customFormat="1" ht="11.25" x14ac:dyDescent="0.2">
      <c r="A101" s="278"/>
      <c r="B101" s="700"/>
      <c r="C101" s="474" t="s">
        <v>846</v>
      </c>
      <c r="D101" s="452">
        <v>2.42</v>
      </c>
      <c r="E101" s="90">
        <v>4.09</v>
      </c>
      <c r="F101" s="90">
        <v>1.67</v>
      </c>
      <c r="G101" s="90">
        <v>4.5</v>
      </c>
      <c r="H101" s="91" t="s">
        <v>0</v>
      </c>
      <c r="I101" s="27"/>
      <c r="J101" s="27"/>
      <c r="K101" s="27"/>
      <c r="L101" s="27"/>
      <c r="M101" s="27"/>
      <c r="N101" s="27"/>
      <c r="O101" s="27"/>
      <c r="P101" s="27"/>
      <c r="Q101" s="453" t="s">
        <v>859</v>
      </c>
      <c r="R101" s="405">
        <v>80420060038</v>
      </c>
    </row>
    <row r="102" spans="1:32" s="1" customFormat="1" ht="11.25" x14ac:dyDescent="0.2">
      <c r="A102" s="275">
        <v>15</v>
      </c>
      <c r="B102" s="702" t="s">
        <v>386</v>
      </c>
      <c r="C102" s="474" t="s">
        <v>846</v>
      </c>
      <c r="D102" s="11">
        <v>0</v>
      </c>
      <c r="E102" s="90">
        <v>0.4</v>
      </c>
      <c r="F102" s="90">
        <v>0.4</v>
      </c>
      <c r="G102" s="90">
        <v>5.5</v>
      </c>
      <c r="H102" s="91" t="s">
        <v>0</v>
      </c>
      <c r="I102" s="27"/>
      <c r="J102" s="27"/>
      <c r="K102" s="27"/>
      <c r="L102" s="27"/>
      <c r="M102" s="27"/>
      <c r="N102" s="27"/>
      <c r="O102" s="27"/>
      <c r="P102" s="27"/>
      <c r="Q102" s="27">
        <v>80420070003</v>
      </c>
      <c r="R102" s="27">
        <v>80420060050</v>
      </c>
    </row>
    <row r="103" spans="1:32" s="1" customFormat="1" ht="23.25" x14ac:dyDescent="0.25">
      <c r="A103" s="286">
        <v>16</v>
      </c>
      <c r="B103" s="701" t="s">
        <v>387</v>
      </c>
      <c r="C103" s="476" t="s">
        <v>846</v>
      </c>
      <c r="D103" s="11">
        <v>0</v>
      </c>
      <c r="E103" s="90">
        <v>0.22</v>
      </c>
      <c r="F103" s="90">
        <v>0.22</v>
      </c>
      <c r="G103" s="90">
        <v>5.5</v>
      </c>
      <c r="H103" s="91" t="s">
        <v>4</v>
      </c>
      <c r="I103" s="27"/>
      <c r="J103" s="27"/>
      <c r="K103" s="27"/>
      <c r="L103" s="27"/>
      <c r="M103" s="27"/>
      <c r="N103" s="27"/>
      <c r="O103" s="27"/>
      <c r="P103" s="27"/>
      <c r="Q103" s="27">
        <v>80420060057</v>
      </c>
      <c r="R103" s="27">
        <v>80420060055</v>
      </c>
      <c r="S103"/>
      <c r="T103"/>
      <c r="U103"/>
      <c r="V103"/>
      <c r="W103"/>
      <c r="X103"/>
      <c r="Y103"/>
      <c r="Z103"/>
      <c r="AA103" t="s">
        <v>1097</v>
      </c>
      <c r="AB103"/>
      <c r="AC103"/>
      <c r="AD103"/>
      <c r="AE103"/>
      <c r="AF103"/>
    </row>
    <row r="104" spans="1:32" s="1" customFormat="1" ht="22.5" x14ac:dyDescent="0.2">
      <c r="B104" s="7"/>
      <c r="C104" s="439"/>
      <c r="H104" s="2"/>
      <c r="I104" s="10"/>
      <c r="J104" s="10"/>
      <c r="K104" s="53" t="s">
        <v>268</v>
      </c>
      <c r="L104" s="50">
        <f>SUM(L76:L103)</f>
        <v>0</v>
      </c>
      <c r="M104" s="50">
        <f>SUM(M76:M103)</f>
        <v>0</v>
      </c>
      <c r="N104" s="55"/>
      <c r="O104" s="53" t="s">
        <v>269</v>
      </c>
      <c r="P104" s="50">
        <f>SUM(P76:P103)</f>
        <v>0</v>
      </c>
      <c r="S104" s="102"/>
      <c r="T104" s="625" t="s">
        <v>1092</v>
      </c>
      <c r="U104" s="625" t="s">
        <v>1093</v>
      </c>
      <c r="V104" s="625" t="s">
        <v>1094</v>
      </c>
      <c r="W104" s="625" t="s">
        <v>1095</v>
      </c>
      <c r="X104" s="625" t="s">
        <v>1096</v>
      </c>
      <c r="Y104" s="627" t="s">
        <v>269</v>
      </c>
      <c r="Z104" s="102"/>
      <c r="AA104" s="625" t="s">
        <v>1092</v>
      </c>
      <c r="AB104" s="625" t="s">
        <v>1093</v>
      </c>
      <c r="AC104" s="625" t="s">
        <v>1094</v>
      </c>
      <c r="AD104" s="625" t="s">
        <v>1095</v>
      </c>
      <c r="AE104" s="625" t="s">
        <v>1096</v>
      </c>
      <c r="AF104" s="627" t="s">
        <v>269</v>
      </c>
    </row>
    <row r="105" spans="1:32" s="1" customFormat="1" ht="11.25" x14ac:dyDescent="0.2">
      <c r="A105" s="46" t="s">
        <v>462</v>
      </c>
      <c r="B105" s="47"/>
      <c r="C105" s="47"/>
      <c r="D105" s="48"/>
      <c r="E105" s="49"/>
      <c r="F105" s="50">
        <f>SUM(F76:F103)</f>
        <v>14.990000000000002</v>
      </c>
      <c r="G105" s="688"/>
      <c r="H105" s="51"/>
      <c r="I105" s="40"/>
      <c r="J105" s="52"/>
      <c r="Q105" s="55"/>
      <c r="S105" s="628" t="s">
        <v>844</v>
      </c>
      <c r="T105" s="625" t="s">
        <v>231</v>
      </c>
      <c r="U105" s="625" t="s">
        <v>231</v>
      </c>
      <c r="V105" s="625" t="s">
        <v>231</v>
      </c>
      <c r="W105" s="625" t="s">
        <v>231</v>
      </c>
      <c r="X105" s="625" t="s">
        <v>231</v>
      </c>
      <c r="Y105" s="626" t="s">
        <v>231</v>
      </c>
      <c r="Z105" s="628"/>
      <c r="AA105" s="625" t="s">
        <v>231</v>
      </c>
      <c r="AB105" s="625" t="s">
        <v>231</v>
      </c>
      <c r="AC105" s="625" t="s">
        <v>231</v>
      </c>
      <c r="AD105" s="625" t="s">
        <v>231</v>
      </c>
      <c r="AE105" s="625" t="s">
        <v>231</v>
      </c>
      <c r="AF105" s="626" t="s">
        <v>231</v>
      </c>
    </row>
    <row r="106" spans="1:32" s="1" customFormat="1" ht="11.25" x14ac:dyDescent="0.2">
      <c r="A106" s="56" t="s">
        <v>270</v>
      </c>
      <c r="B106" s="57"/>
      <c r="C106" s="57"/>
      <c r="D106" s="58"/>
      <c r="E106" s="59"/>
      <c r="F106" s="60">
        <f>F103</f>
        <v>0.22</v>
      </c>
      <c r="G106" s="81"/>
      <c r="H106" s="61"/>
      <c r="I106" s="62"/>
      <c r="J106" s="55"/>
      <c r="K106" s="63"/>
      <c r="L106" s="64"/>
      <c r="M106" s="64"/>
      <c r="N106" s="55"/>
      <c r="O106" s="55"/>
      <c r="P106" s="55"/>
      <c r="Q106" s="55"/>
      <c r="S106" s="616" t="s">
        <v>847</v>
      </c>
      <c r="T106" s="624">
        <f>SUMIFS(F66:F103,C66:C103,"A",H66:H103,"melnais")</f>
        <v>0</v>
      </c>
      <c r="U106" s="624">
        <f>SUMIFS(F66:F103,C66:C103,"A",H66:H103,"dubultā virsma")</f>
        <v>0</v>
      </c>
      <c r="V106" s="624">
        <f>SUMIFS(F66:F103,C66:C103,"A",H66:H103,"bruģis")</f>
        <v>0</v>
      </c>
      <c r="W106" s="624">
        <f>SUMIFS(F66:F103,C66:C103,"A",H66:H103,"grants")</f>
        <v>0</v>
      </c>
      <c r="X106" s="624">
        <f>SUMIFS(F66:F103,C66:C103,"A",H66:H103,"cits segums")</f>
        <v>0</v>
      </c>
      <c r="Y106" s="624">
        <f>SUM(T106:X106)</f>
        <v>0</v>
      </c>
      <c r="Z106" s="616" t="s">
        <v>847</v>
      </c>
      <c r="AA106" s="614">
        <f>SUMIFS(F66:F103,C66:C103,"A",H66:H103,"melnais", Q66:Q103,"Nepiederošs")</f>
        <v>0</v>
      </c>
      <c r="AB106" s="614">
        <f>SUMIFS(F66:F103,C66:C103,"A",H66:H103,"dubultā virsma", Q66:Q103,"Nepiederošs")</f>
        <v>0</v>
      </c>
      <c r="AC106" s="614">
        <f>SUMIFS(F66:F103,C66:C103,"A",H66:H103,"bruģis", Q66:Q103,"Nepiederošs")</f>
        <v>0</v>
      </c>
      <c r="AD106" s="614">
        <f>SUMIFS(F66:F103,C66:C103,"A",H66:H103,"grants", Q66:Q103,"Nepiederošs")</f>
        <v>0</v>
      </c>
      <c r="AE106" s="614">
        <f>SUMIFS(F66:F103,C66:C103,"A",H66:H103,"cits segums", Q66:Q103,"Nepiederošs")</f>
        <v>0</v>
      </c>
      <c r="AF106" s="614">
        <f>SUM(AA106:AE106)</f>
        <v>0</v>
      </c>
    </row>
    <row r="107" spans="1:32" s="1" customFormat="1" ht="11.25" x14ac:dyDescent="0.2">
      <c r="A107" s="56" t="s">
        <v>271</v>
      </c>
      <c r="B107" s="57"/>
      <c r="C107" s="57"/>
      <c r="D107" s="58"/>
      <c r="E107" s="59"/>
      <c r="F107" s="60">
        <v>0</v>
      </c>
      <c r="G107" s="81"/>
      <c r="H107" s="65"/>
      <c r="I107" s="40"/>
      <c r="J107" s="66"/>
      <c r="K107" s="67"/>
      <c r="L107" s="67"/>
      <c r="M107" s="67"/>
      <c r="N107" s="68"/>
      <c r="O107" s="55"/>
      <c r="P107" s="55"/>
      <c r="Q107" s="55"/>
      <c r="S107" s="617" t="s">
        <v>848</v>
      </c>
      <c r="T107" s="624">
        <f>SUMIFS(F66:F103,C66:C103,"B",H66:H103,"melnais")</f>
        <v>0</v>
      </c>
      <c r="U107" s="624">
        <f>SUMIFS(F66:F103,C66:C103,"B",H66:H103,"dubultā virsma")</f>
        <v>0</v>
      </c>
      <c r="V107" s="624">
        <f>SUMIFS(F66:F103,C66:C103,"B",H66:H103,"bruģis")</f>
        <v>0</v>
      </c>
      <c r="W107" s="624">
        <f>SUMIFS(F66:F103,C66:C103,"B",H66:H103,"grants")</f>
        <v>0</v>
      </c>
      <c r="X107" s="624">
        <f>SUMIFS(F66:F103,C66:C103,"B",H66:H103,"cits segums")</f>
        <v>0</v>
      </c>
      <c r="Y107" s="624">
        <f t="shared" ref="Y107:Y109" si="17">SUM(T107:X107)</f>
        <v>0</v>
      </c>
      <c r="Z107" s="617" t="s">
        <v>848</v>
      </c>
      <c r="AA107" s="614">
        <f>SUMIFS(F66:F103,C66:C103,"B",H66:H103,"melnais", Q66:Q103,"Nepiederošs")</f>
        <v>0</v>
      </c>
      <c r="AB107" s="614">
        <f>SUMIFS(F66:F103,C66:C103,"B",H66:H103,"dubultā virsma", Q66:Q103,"Nepiederošs")</f>
        <v>0</v>
      </c>
      <c r="AC107" s="614">
        <f>SUMIFS(F66:F103,C66:C103,"B",H66:H103,"bruģis", Q66:Q103,"Nepiederošs")</f>
        <v>0</v>
      </c>
      <c r="AD107" s="614">
        <f>SUMIFS(F66:F103,C66:C103,"B",H66:H103,"grants", Q66:Q103,"Nepiederošs")</f>
        <v>0</v>
      </c>
      <c r="AE107" s="614">
        <f>SUMIFS(F66:F103,C66:C103,"B",H66:H103,"cits segums", Q66:Q103,"Nepiederošs")</f>
        <v>0</v>
      </c>
      <c r="AF107" s="614">
        <f t="shared" ref="AF107:AF109" si="18">SUM(AA107:AE107)</f>
        <v>0</v>
      </c>
    </row>
    <row r="108" spans="1:32" s="1" customFormat="1" ht="11.25" x14ac:dyDescent="0.2">
      <c r="A108" s="56" t="s">
        <v>272</v>
      </c>
      <c r="B108" s="57"/>
      <c r="C108" s="57"/>
      <c r="D108" s="58"/>
      <c r="E108" s="59"/>
      <c r="F108" s="60">
        <f>F105-F106-F109-F107</f>
        <v>13.160000000000002</v>
      </c>
      <c r="G108" s="81"/>
      <c r="H108" s="65"/>
      <c r="I108" s="65"/>
      <c r="J108" s="66"/>
      <c r="K108" s="67"/>
      <c r="L108" s="67"/>
      <c r="M108" s="67"/>
      <c r="N108" s="68"/>
      <c r="O108" s="55"/>
      <c r="P108" s="55"/>
      <c r="Q108" s="55"/>
      <c r="S108" s="615" t="s">
        <v>845</v>
      </c>
      <c r="T108" s="624">
        <f>SUMIFS(F66:F103,C66:C103,"C",H66:H103,"melnais")</f>
        <v>0</v>
      </c>
      <c r="U108" s="624">
        <f>SUMIFS(F66:F103,C66:C103,"C",H66:H103,"dubultā virsma")</f>
        <v>0</v>
      </c>
      <c r="V108" s="624">
        <f>SUMIFS(F66:F103,C66:C103,"C",H66:H103,"bruģis")</f>
        <v>0</v>
      </c>
      <c r="W108" s="624">
        <f>SUMIFS(F66:F103,C66:C103,"C",H66:H103,"grants")</f>
        <v>0</v>
      </c>
      <c r="X108" s="624">
        <f>SUMIFS(F66:F103,C66:C103,"C",H66:H103,"cits segums")</f>
        <v>0</v>
      </c>
      <c r="Y108" s="624">
        <f t="shared" si="17"/>
        <v>0</v>
      </c>
      <c r="Z108" s="615" t="s">
        <v>845</v>
      </c>
      <c r="AA108" s="614">
        <f>SUMIFS(F66:F103,C66:C103,"C",H66:H103,"melnais", Q66:Q103,"Nepiederošs")</f>
        <v>0</v>
      </c>
      <c r="AB108" s="614">
        <f>SUMIFS(F66:F103,C66:C103,"C",H66:H103,"dubultā virsma", Q66:Q103,"Nepiederošs")</f>
        <v>0</v>
      </c>
      <c r="AC108" s="614">
        <f>SUMIFS(F66:F103,C66:C103,"C",H66:H103,"bruģis", Q66:Q103,"Nepiederošs")</f>
        <v>0</v>
      </c>
      <c r="AD108" s="614">
        <f>SUMIFS(F66:F103,C66:C103,"C",H66:H103,"grants", Q66:Q103,"Nepiederošs")</f>
        <v>0</v>
      </c>
      <c r="AE108" s="614">
        <f>SUMIFS(F66:F103,C66:C103,"C",H66:H103,"cits segums", Q66:Q103,"Nepiederošs")</f>
        <v>0</v>
      </c>
      <c r="AF108" s="614">
        <f t="shared" si="18"/>
        <v>0</v>
      </c>
    </row>
    <row r="109" spans="1:32" s="1" customFormat="1" ht="11.25" x14ac:dyDescent="0.2">
      <c r="A109" s="56" t="s">
        <v>273</v>
      </c>
      <c r="B109" s="57"/>
      <c r="C109" s="57"/>
      <c r="D109" s="58"/>
      <c r="E109" s="59"/>
      <c r="F109" s="60">
        <f>F99+F98+F97+F93+F82+F78+F77+F79</f>
        <v>1.61</v>
      </c>
      <c r="G109" s="81"/>
      <c r="H109" s="69"/>
      <c r="I109" s="65"/>
      <c r="J109" s="70"/>
      <c r="K109" s="67"/>
      <c r="L109" s="67"/>
      <c r="M109" s="67"/>
      <c r="N109" s="68"/>
      <c r="O109" s="55"/>
      <c r="P109" s="55"/>
      <c r="Q109" s="55"/>
      <c r="S109" s="616" t="s">
        <v>846</v>
      </c>
      <c r="T109" s="624">
        <f>SUMIFS(F66:F103,C66:C103,"D",H66:H103,"melnais")</f>
        <v>0.22</v>
      </c>
      <c r="U109" s="624">
        <f>SUMIFS(F66:F103,C66:C103,"D",H66:H103,"dubultā virsma")</f>
        <v>0</v>
      </c>
      <c r="V109" s="624">
        <f>SUMIFS(F66:F103,C66:C103,"D",H66:H103,"bruģis")</f>
        <v>0</v>
      </c>
      <c r="W109" s="624">
        <f>SUMIFS(F66:F103,C66:C103,"D",H66:H103,"grants")</f>
        <v>12.96</v>
      </c>
      <c r="X109" s="624">
        <f>SUMIFS(F66:F103,C66:C103,"D",H66:H103,"cits segums")</f>
        <v>1.81</v>
      </c>
      <c r="Y109" s="624">
        <f t="shared" si="17"/>
        <v>14.990000000000002</v>
      </c>
      <c r="Z109" s="616" t="s">
        <v>846</v>
      </c>
      <c r="AA109" s="614">
        <f>SUMIFS(F66:F103,C66:C103,"D",H66:H103,"melnais", Q66:Q103,"Nepiederošs")</f>
        <v>0</v>
      </c>
      <c r="AB109" s="614">
        <f>SUMIFS(F66:F103,C66:C103,"D",H66:H103,"dubultā virsma", Q66:Q103,"Nepiederošs")</f>
        <v>0</v>
      </c>
      <c r="AC109" s="614">
        <f>SUMIFS(F66:F103,C66:C103,"D",H66:H103,"bruģis", Q66:Q103,"Nepiederošs")</f>
        <v>0</v>
      </c>
      <c r="AD109" s="614">
        <f>SUMIFS(F66:F103,C66:C103,"D",H66:H103,"grants", Q66:Q103,"Nepiederošs")</f>
        <v>6.55</v>
      </c>
      <c r="AE109" s="614">
        <f>SUMIFS(F66:F103,C66:C103,"D",H66:H103,"cits segums", Q66:Q103,"Nepiederošs")</f>
        <v>0.4</v>
      </c>
      <c r="AF109" s="614">
        <f t="shared" si="18"/>
        <v>6.95</v>
      </c>
    </row>
    <row r="110" spans="1:32" x14ac:dyDescent="0.25">
      <c r="C110" s="438"/>
      <c r="T110" s="630">
        <f>SUM(T106:T109)</f>
        <v>0.22</v>
      </c>
      <c r="U110" s="630">
        <f t="shared" ref="U110:Y110" si="19">SUM(U106:U109)</f>
        <v>0</v>
      </c>
      <c r="V110" s="630">
        <f t="shared" si="19"/>
        <v>0</v>
      </c>
      <c r="W110" s="630">
        <f t="shared" si="19"/>
        <v>12.96</v>
      </c>
      <c r="X110" s="630">
        <f t="shared" si="19"/>
        <v>1.81</v>
      </c>
      <c r="Y110" s="630">
        <f t="shared" si="19"/>
        <v>14.990000000000002</v>
      </c>
      <c r="AA110" s="629">
        <f>SUM(AA106:AA109)</f>
        <v>0</v>
      </c>
      <c r="AB110" s="629">
        <f t="shared" ref="AB110" si="20">SUM(AB106:AB109)</f>
        <v>0</v>
      </c>
      <c r="AC110" s="629">
        <f>SUM(AC106:AC109)</f>
        <v>0</v>
      </c>
      <c r="AD110" s="629">
        <f t="shared" ref="AD110:AF110" si="21">SUM(AD106:AD109)</f>
        <v>6.55</v>
      </c>
      <c r="AE110" s="629">
        <f t="shared" si="21"/>
        <v>0.4</v>
      </c>
      <c r="AF110" s="629">
        <f t="shared" si="21"/>
        <v>6.95</v>
      </c>
    </row>
    <row r="111" spans="1:32" s="32" customFormat="1" ht="15" customHeight="1" x14ac:dyDescent="0.25">
      <c r="A111" s="33"/>
      <c r="B111" s="33"/>
      <c r="C111" s="33"/>
      <c r="D111" s="781" t="s">
        <v>1059</v>
      </c>
      <c r="E111" s="781"/>
      <c r="F111" s="781"/>
      <c r="G111" s="781"/>
      <c r="H111" s="781"/>
      <c r="I111" s="781"/>
      <c r="J111" s="781"/>
      <c r="K111" s="781"/>
      <c r="L111" s="781"/>
      <c r="M111" s="781"/>
      <c r="N111" s="781"/>
      <c r="O111" s="781"/>
      <c r="P111" s="781"/>
      <c r="Q111" s="30"/>
      <c r="R111" s="37"/>
      <c r="Z111" s="631">
        <f>Y110-AF110</f>
        <v>8.0400000000000027</v>
      </c>
    </row>
    <row r="112" spans="1:32" s="32" customFormat="1" ht="11.25" x14ac:dyDescent="0.25">
      <c r="A112" s="33"/>
      <c r="B112" s="33"/>
      <c r="C112" s="33"/>
      <c r="D112" s="38"/>
      <c r="E112" s="29"/>
      <c r="F112" s="29"/>
      <c r="G112" s="29"/>
      <c r="H112" s="30"/>
      <c r="I112" s="28"/>
      <c r="J112" s="28"/>
      <c r="K112" s="28"/>
      <c r="L112" s="28"/>
      <c r="M112" s="28"/>
      <c r="N112" s="39"/>
      <c r="O112" s="39"/>
      <c r="P112" s="28"/>
      <c r="Q112" s="28"/>
      <c r="R112" s="37"/>
    </row>
    <row r="113" spans="1:18" s="40" customFormat="1" ht="5.25" customHeight="1" x14ac:dyDescent="0.2">
      <c r="A113" s="44"/>
      <c r="B113" s="732"/>
      <c r="C113" s="39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</row>
    <row r="114" spans="1:18" s="40" customFormat="1" ht="12.75" customHeight="1" x14ac:dyDescent="0.2">
      <c r="A114" s="782" t="s">
        <v>244</v>
      </c>
      <c r="B114" s="790" t="s">
        <v>245</v>
      </c>
      <c r="C114" s="413"/>
      <c r="D114" s="793" t="s">
        <v>246</v>
      </c>
      <c r="E114" s="794"/>
      <c r="F114" s="794"/>
      <c r="G114" s="794"/>
      <c r="H114" s="794"/>
      <c r="I114" s="794"/>
      <c r="J114" s="794"/>
      <c r="K114" s="794"/>
      <c r="L114" s="794"/>
      <c r="M114" s="794"/>
      <c r="N114" s="794"/>
      <c r="O114" s="794"/>
      <c r="P114" s="784"/>
      <c r="Q114" s="795" t="s">
        <v>247</v>
      </c>
      <c r="R114" s="796"/>
    </row>
    <row r="115" spans="1:18" s="40" customFormat="1" ht="12.75" customHeight="1" x14ac:dyDescent="0.2">
      <c r="A115" s="782"/>
      <c r="B115" s="791"/>
      <c r="C115" s="395"/>
      <c r="D115" s="785" t="s">
        <v>248</v>
      </c>
      <c r="E115" s="785"/>
      <c r="F115" s="785"/>
      <c r="G115" s="785"/>
      <c r="H115" s="785"/>
      <c r="I115" s="788" t="s">
        <v>249</v>
      </c>
      <c r="J115" s="788"/>
      <c r="K115" s="788"/>
      <c r="L115" s="788"/>
      <c r="M115" s="788"/>
      <c r="N115" s="788"/>
      <c r="O115" s="788"/>
      <c r="P115" s="801" t="s">
        <v>250</v>
      </c>
      <c r="Q115" s="797"/>
      <c r="R115" s="798"/>
    </row>
    <row r="116" spans="1:18" s="40" customFormat="1" ht="15.2" customHeight="1" x14ac:dyDescent="0.2">
      <c r="A116" s="782"/>
      <c r="B116" s="791"/>
      <c r="C116" s="395"/>
      <c r="D116" s="785" t="s">
        <v>251</v>
      </c>
      <c r="E116" s="785"/>
      <c r="F116" s="786" t="s">
        <v>252</v>
      </c>
      <c r="G116" s="786" t="s">
        <v>881</v>
      </c>
      <c r="H116" s="782" t="s">
        <v>253</v>
      </c>
      <c r="I116" s="789" t="s">
        <v>254</v>
      </c>
      <c r="J116" s="788" t="s">
        <v>255</v>
      </c>
      <c r="K116" s="788"/>
      <c r="L116" s="787" t="s">
        <v>256</v>
      </c>
      <c r="M116" s="787" t="s">
        <v>257</v>
      </c>
      <c r="N116" s="787" t="s">
        <v>258</v>
      </c>
      <c r="O116" s="787" t="s">
        <v>259</v>
      </c>
      <c r="P116" s="799"/>
      <c r="Q116" s="799" t="s">
        <v>260</v>
      </c>
      <c r="R116" s="791" t="s">
        <v>261</v>
      </c>
    </row>
    <row r="117" spans="1:18" s="40" customFormat="1" ht="58.5" customHeight="1" x14ac:dyDescent="0.2">
      <c r="A117" s="782"/>
      <c r="B117" s="792"/>
      <c r="C117" s="432" t="s">
        <v>844</v>
      </c>
      <c r="D117" s="74" t="s">
        <v>262</v>
      </c>
      <c r="E117" s="74" t="s">
        <v>263</v>
      </c>
      <c r="F117" s="786"/>
      <c r="G117" s="786"/>
      <c r="H117" s="782"/>
      <c r="I117" s="789"/>
      <c r="J117" s="75" t="s">
        <v>231</v>
      </c>
      <c r="K117" s="75" t="s">
        <v>264</v>
      </c>
      <c r="L117" s="787"/>
      <c r="M117" s="787"/>
      <c r="N117" s="787"/>
      <c r="O117" s="787"/>
      <c r="P117" s="800"/>
      <c r="Q117" s="800"/>
      <c r="R117" s="792"/>
    </row>
    <row r="118" spans="1:18" s="41" customFormat="1" ht="12" customHeight="1" x14ac:dyDescent="0.25">
      <c r="A118" s="42">
        <v>1</v>
      </c>
      <c r="B118" s="42">
        <v>2</v>
      </c>
      <c r="C118" s="42"/>
      <c r="D118" s="42">
        <v>3</v>
      </c>
      <c r="E118" s="42">
        <v>4</v>
      </c>
      <c r="F118" s="42">
        <v>5</v>
      </c>
      <c r="G118" s="42">
        <v>5.0999999999999996</v>
      </c>
      <c r="H118" s="42">
        <v>6</v>
      </c>
      <c r="I118" s="43">
        <v>7</v>
      </c>
      <c r="J118" s="43">
        <v>8</v>
      </c>
      <c r="K118" s="43">
        <v>9</v>
      </c>
      <c r="L118" s="43">
        <v>10</v>
      </c>
      <c r="M118" s="43">
        <v>11</v>
      </c>
      <c r="N118" s="43">
        <v>12</v>
      </c>
      <c r="O118" s="43">
        <v>13</v>
      </c>
      <c r="P118" s="43">
        <v>14</v>
      </c>
      <c r="Q118" s="43">
        <v>15</v>
      </c>
      <c r="R118" s="42">
        <v>16</v>
      </c>
    </row>
    <row r="119" spans="1:18" x14ac:dyDescent="0.25">
      <c r="A119" s="27">
        <v>1</v>
      </c>
      <c r="B119" s="702" t="s">
        <v>500</v>
      </c>
      <c r="C119" s="405" t="s">
        <v>846</v>
      </c>
      <c r="D119" s="72">
        <v>0</v>
      </c>
      <c r="E119" s="72">
        <v>1.76</v>
      </c>
      <c r="F119" s="72">
        <v>1.76</v>
      </c>
      <c r="G119" s="72">
        <v>4</v>
      </c>
      <c r="H119" s="24" t="s">
        <v>0</v>
      </c>
      <c r="I119" s="22"/>
      <c r="J119" s="22"/>
      <c r="K119" s="22"/>
      <c r="L119" s="22"/>
      <c r="M119" s="22"/>
      <c r="N119" s="22"/>
      <c r="O119" s="22"/>
      <c r="P119" s="22"/>
      <c r="Q119" s="294">
        <v>80740030794</v>
      </c>
      <c r="R119" s="294">
        <v>80740030794</v>
      </c>
    </row>
    <row r="120" spans="1:18" x14ac:dyDescent="0.25">
      <c r="A120" s="27">
        <v>2</v>
      </c>
      <c r="B120" s="702" t="s">
        <v>501</v>
      </c>
      <c r="C120" s="405" t="s">
        <v>846</v>
      </c>
      <c r="D120" s="72">
        <v>0</v>
      </c>
      <c r="E120" s="72">
        <v>1.92</v>
      </c>
      <c r="F120" s="72">
        <v>1.92</v>
      </c>
      <c r="G120" s="72">
        <v>4</v>
      </c>
      <c r="H120" s="24" t="s">
        <v>0</v>
      </c>
      <c r="I120" s="22"/>
      <c r="J120" s="22"/>
      <c r="K120" s="22"/>
      <c r="L120" s="22"/>
      <c r="M120" s="22"/>
      <c r="N120" s="22"/>
      <c r="O120" s="22"/>
      <c r="P120" s="22"/>
      <c r="Q120" s="294">
        <v>80740060255</v>
      </c>
      <c r="R120" s="294">
        <v>80740060255</v>
      </c>
    </row>
    <row r="121" spans="1:18" x14ac:dyDescent="0.25">
      <c r="A121" s="27">
        <v>3</v>
      </c>
      <c r="B121" s="702" t="s">
        <v>502</v>
      </c>
      <c r="C121" s="405" t="s">
        <v>846</v>
      </c>
      <c r="D121" s="72">
        <v>0</v>
      </c>
      <c r="E121" s="72">
        <v>1.54</v>
      </c>
      <c r="F121" s="72">
        <v>1.54</v>
      </c>
      <c r="G121" s="72">
        <v>4</v>
      </c>
      <c r="H121" s="24" t="s">
        <v>0</v>
      </c>
      <c r="I121" s="22"/>
      <c r="J121" s="22"/>
      <c r="K121" s="22"/>
      <c r="L121" s="22"/>
      <c r="M121" s="22"/>
      <c r="N121" s="22"/>
      <c r="O121" s="22"/>
      <c r="P121" s="22"/>
      <c r="Q121" s="294">
        <v>80740040258</v>
      </c>
      <c r="R121" s="294">
        <v>80740040258</v>
      </c>
    </row>
    <row r="122" spans="1:18" x14ac:dyDescent="0.25">
      <c r="A122" s="27">
        <v>4</v>
      </c>
      <c r="B122" s="702" t="s">
        <v>503</v>
      </c>
      <c r="C122" s="405" t="s">
        <v>846</v>
      </c>
      <c r="D122" s="72">
        <v>0</v>
      </c>
      <c r="E122" s="72">
        <v>0.44</v>
      </c>
      <c r="F122" s="72">
        <v>0.44</v>
      </c>
      <c r="G122" s="72">
        <v>4</v>
      </c>
      <c r="H122" s="24" t="s">
        <v>0</v>
      </c>
      <c r="I122" s="22"/>
      <c r="J122" s="22"/>
      <c r="K122" s="22"/>
      <c r="L122" s="22"/>
      <c r="M122" s="22"/>
      <c r="N122" s="22"/>
      <c r="O122" s="22"/>
      <c r="P122" s="22"/>
      <c r="Q122" s="294">
        <v>80740030793</v>
      </c>
      <c r="R122" s="294">
        <v>80740030793</v>
      </c>
    </row>
    <row r="123" spans="1:18" ht="23.25" x14ac:dyDescent="0.25">
      <c r="A123" s="27">
        <v>5</v>
      </c>
      <c r="B123" s="702" t="s">
        <v>504</v>
      </c>
      <c r="C123" s="405" t="s">
        <v>846</v>
      </c>
      <c r="D123" s="72">
        <v>0</v>
      </c>
      <c r="E123" s="72">
        <v>0.71</v>
      </c>
      <c r="F123" s="72">
        <v>0.71</v>
      </c>
      <c r="G123" s="72">
        <v>3</v>
      </c>
      <c r="H123" s="24" t="s">
        <v>0</v>
      </c>
      <c r="I123" s="22"/>
      <c r="J123" s="22"/>
      <c r="K123" s="22"/>
      <c r="L123" s="22"/>
      <c r="M123" s="22"/>
      <c r="N123" s="22"/>
      <c r="O123" s="22"/>
      <c r="P123" s="22"/>
      <c r="Q123" s="294">
        <v>80740040254</v>
      </c>
      <c r="R123" s="294">
        <v>80740040254</v>
      </c>
    </row>
    <row r="124" spans="1:18" x14ac:dyDescent="0.25">
      <c r="A124" s="27">
        <v>6</v>
      </c>
      <c r="B124" s="702" t="s">
        <v>505</v>
      </c>
      <c r="C124" s="405" t="s">
        <v>846</v>
      </c>
      <c r="D124" s="72">
        <v>0</v>
      </c>
      <c r="E124" s="72">
        <v>0.52</v>
      </c>
      <c r="F124" s="72">
        <v>0.52</v>
      </c>
      <c r="G124" s="72">
        <v>3.8</v>
      </c>
      <c r="H124" s="24" t="s">
        <v>0</v>
      </c>
      <c r="I124" s="22"/>
      <c r="J124" s="22"/>
      <c r="K124" s="22"/>
      <c r="L124" s="22"/>
      <c r="M124" s="22"/>
      <c r="N124" s="22"/>
      <c r="O124" s="22"/>
      <c r="P124" s="22"/>
      <c r="Q124" s="294">
        <v>80740040259</v>
      </c>
      <c r="R124" s="294">
        <v>80740040259</v>
      </c>
    </row>
    <row r="125" spans="1:18" x14ac:dyDescent="0.25">
      <c r="A125" s="27">
        <v>7</v>
      </c>
      <c r="B125" s="702" t="s">
        <v>506</v>
      </c>
      <c r="C125" s="405" t="s">
        <v>846</v>
      </c>
      <c r="D125" s="72">
        <v>0</v>
      </c>
      <c r="E125" s="72">
        <v>1.1200000000000001</v>
      </c>
      <c r="F125" s="72">
        <v>1.1200000000000001</v>
      </c>
      <c r="G125" s="72">
        <v>3.2</v>
      </c>
      <c r="H125" s="24" t="s">
        <v>0</v>
      </c>
      <c r="I125" s="22"/>
      <c r="J125" s="22"/>
      <c r="K125" s="22"/>
      <c r="L125" s="22"/>
      <c r="M125" s="22"/>
      <c r="N125" s="22"/>
      <c r="O125" s="22"/>
      <c r="P125" s="22"/>
      <c r="Q125" s="294">
        <v>80740010202</v>
      </c>
      <c r="R125" s="294">
        <v>80740010202</v>
      </c>
    </row>
    <row r="126" spans="1:18" x14ac:dyDescent="0.25">
      <c r="A126" s="27">
        <v>8</v>
      </c>
      <c r="B126" s="702" t="s">
        <v>507</v>
      </c>
      <c r="C126" s="405" t="s">
        <v>846</v>
      </c>
      <c r="D126" s="72">
        <v>0</v>
      </c>
      <c r="E126" s="72">
        <v>1.8</v>
      </c>
      <c r="F126" s="72">
        <v>1.8</v>
      </c>
      <c r="G126" s="72">
        <v>3.5</v>
      </c>
      <c r="H126" s="24" t="s">
        <v>0</v>
      </c>
      <c r="I126" s="22"/>
      <c r="J126" s="22"/>
      <c r="K126" s="22"/>
      <c r="L126" s="22"/>
      <c r="M126" s="22"/>
      <c r="N126" s="22"/>
      <c r="O126" s="22"/>
      <c r="P126" s="22"/>
      <c r="Q126" s="294">
        <v>80740010211</v>
      </c>
      <c r="R126" s="294">
        <v>80740010211</v>
      </c>
    </row>
    <row r="127" spans="1:18" x14ac:dyDescent="0.25">
      <c r="A127" s="27">
        <v>9</v>
      </c>
      <c r="B127" s="702" t="s">
        <v>508</v>
      </c>
      <c r="C127" s="405" t="s">
        <v>846</v>
      </c>
      <c r="D127" s="72">
        <v>0</v>
      </c>
      <c r="E127" s="72">
        <v>0.31</v>
      </c>
      <c r="F127" s="72">
        <v>0.31</v>
      </c>
      <c r="G127" s="72">
        <v>3</v>
      </c>
      <c r="H127" s="24" t="s">
        <v>0</v>
      </c>
      <c r="I127" s="22"/>
      <c r="J127" s="22"/>
      <c r="K127" s="22"/>
      <c r="L127" s="22"/>
      <c r="M127" s="22"/>
      <c r="N127" s="22"/>
      <c r="O127" s="22"/>
      <c r="P127" s="22"/>
      <c r="Q127" s="294">
        <v>80740010407</v>
      </c>
      <c r="R127" s="294">
        <v>80740010407</v>
      </c>
    </row>
    <row r="128" spans="1:18" x14ac:dyDescent="0.25">
      <c r="A128" s="27">
        <v>10</v>
      </c>
      <c r="B128" s="702" t="s">
        <v>509</v>
      </c>
      <c r="C128" s="405" t="s">
        <v>846</v>
      </c>
      <c r="D128" s="72">
        <v>0</v>
      </c>
      <c r="E128" s="72">
        <v>0.87</v>
      </c>
      <c r="F128" s="72">
        <v>0.87</v>
      </c>
      <c r="G128" s="72">
        <v>5</v>
      </c>
      <c r="H128" s="24" t="s">
        <v>0</v>
      </c>
      <c r="I128" s="22"/>
      <c r="J128" s="22"/>
      <c r="K128" s="22"/>
      <c r="L128" s="22"/>
      <c r="M128" s="22"/>
      <c r="N128" s="22"/>
      <c r="O128" s="22"/>
      <c r="P128" s="22"/>
      <c r="Q128" s="294">
        <v>80740010214</v>
      </c>
      <c r="R128" s="294">
        <v>80740010214</v>
      </c>
    </row>
    <row r="129" spans="1:32" ht="23.25" x14ac:dyDescent="0.25">
      <c r="A129" s="27">
        <v>11</v>
      </c>
      <c r="B129" s="702" t="s">
        <v>510</v>
      </c>
      <c r="C129" s="405" t="s">
        <v>846</v>
      </c>
      <c r="D129" s="72">
        <v>0</v>
      </c>
      <c r="E129" s="72">
        <v>0.68</v>
      </c>
      <c r="F129" s="72">
        <v>0.68</v>
      </c>
      <c r="G129" s="72">
        <v>3.5</v>
      </c>
      <c r="H129" s="24" t="s">
        <v>0</v>
      </c>
      <c r="I129" s="22"/>
      <c r="J129" s="22"/>
      <c r="K129" s="22"/>
      <c r="L129" s="22"/>
      <c r="M129" s="22"/>
      <c r="N129" s="22"/>
      <c r="O129" s="22"/>
      <c r="P129" s="22"/>
      <c r="Q129" s="294">
        <v>80740040265</v>
      </c>
      <c r="R129" s="294">
        <v>80740040265</v>
      </c>
    </row>
    <row r="130" spans="1:32" x14ac:dyDescent="0.25">
      <c r="A130" s="27">
        <v>12</v>
      </c>
      <c r="B130" s="702" t="s">
        <v>511</v>
      </c>
      <c r="C130" s="405" t="s">
        <v>846</v>
      </c>
      <c r="D130" s="72">
        <v>0</v>
      </c>
      <c r="E130" s="72">
        <v>1.07</v>
      </c>
      <c r="F130" s="72">
        <v>1.07</v>
      </c>
      <c r="G130" s="72">
        <v>3</v>
      </c>
      <c r="H130" s="24" t="s">
        <v>0</v>
      </c>
      <c r="I130" s="22"/>
      <c r="J130" s="22"/>
      <c r="K130" s="22"/>
      <c r="L130" s="22"/>
      <c r="M130" s="22"/>
      <c r="N130" s="22"/>
      <c r="O130" s="22"/>
      <c r="P130" s="22"/>
      <c r="Q130" s="294">
        <v>80740060250</v>
      </c>
      <c r="R130" s="294">
        <v>80740060250</v>
      </c>
    </row>
    <row r="131" spans="1:32" x14ac:dyDescent="0.25">
      <c r="A131" s="27">
        <v>13</v>
      </c>
      <c r="B131" s="702" t="s">
        <v>512</v>
      </c>
      <c r="C131" s="405" t="s">
        <v>846</v>
      </c>
      <c r="D131" s="72">
        <v>0</v>
      </c>
      <c r="E131" s="72">
        <v>1.46</v>
      </c>
      <c r="F131" s="72">
        <v>1.46</v>
      </c>
      <c r="G131" s="72">
        <v>3.5</v>
      </c>
      <c r="H131" s="24" t="s">
        <v>0</v>
      </c>
      <c r="I131" s="22"/>
      <c r="J131" s="22"/>
      <c r="K131" s="22"/>
      <c r="L131" s="22"/>
      <c r="M131" s="22"/>
      <c r="N131" s="22"/>
      <c r="O131" s="22"/>
      <c r="P131" s="22"/>
      <c r="Q131" s="294">
        <v>80740020077</v>
      </c>
      <c r="R131" s="294">
        <v>80740020077</v>
      </c>
    </row>
    <row r="132" spans="1:32" x14ac:dyDescent="0.25">
      <c r="A132" s="27">
        <v>14</v>
      </c>
      <c r="B132" s="702" t="s">
        <v>513</v>
      </c>
      <c r="C132" s="405" t="s">
        <v>846</v>
      </c>
      <c r="D132" s="72">
        <v>0</v>
      </c>
      <c r="E132" s="72">
        <v>0.26</v>
      </c>
      <c r="F132" s="72">
        <v>0.26</v>
      </c>
      <c r="G132" s="72">
        <v>5.5</v>
      </c>
      <c r="H132" s="24" t="s">
        <v>0</v>
      </c>
      <c r="I132" s="22"/>
      <c r="J132" s="22"/>
      <c r="K132" s="22"/>
      <c r="L132" s="22"/>
      <c r="M132" s="22"/>
      <c r="N132" s="22"/>
      <c r="O132" s="22"/>
      <c r="P132" s="22"/>
      <c r="Q132" s="294">
        <v>80740030795</v>
      </c>
      <c r="R132" s="294">
        <v>80740030795</v>
      </c>
    </row>
    <row r="133" spans="1:32" ht="23.25" x14ac:dyDescent="0.25">
      <c r="A133" s="27">
        <v>15</v>
      </c>
      <c r="B133" s="702" t="s">
        <v>514</v>
      </c>
      <c r="C133" s="405" t="s">
        <v>846</v>
      </c>
      <c r="D133" s="72">
        <v>0</v>
      </c>
      <c r="E133" s="72">
        <v>0.96</v>
      </c>
      <c r="F133" s="72">
        <v>0.96</v>
      </c>
      <c r="G133" s="72">
        <v>3</v>
      </c>
      <c r="H133" s="24" t="s">
        <v>0</v>
      </c>
      <c r="I133" s="22"/>
      <c r="J133" s="22"/>
      <c r="K133" s="22"/>
      <c r="L133" s="22"/>
      <c r="M133" s="22"/>
      <c r="N133" s="22"/>
      <c r="O133" s="22"/>
      <c r="P133" s="22"/>
      <c r="Q133" s="294"/>
      <c r="R133" s="294">
        <v>80740030450007</v>
      </c>
    </row>
    <row r="134" spans="1:32" ht="23.25" x14ac:dyDescent="0.25">
      <c r="A134" s="27">
        <v>16</v>
      </c>
      <c r="B134" s="702" t="s">
        <v>515</v>
      </c>
      <c r="C134" s="405" t="s">
        <v>846</v>
      </c>
      <c r="D134" s="72">
        <v>0</v>
      </c>
      <c r="E134" s="72">
        <v>0.46</v>
      </c>
      <c r="F134" s="72">
        <v>0.46</v>
      </c>
      <c r="G134" s="72">
        <v>3.5</v>
      </c>
      <c r="H134" s="24" t="s">
        <v>0</v>
      </c>
      <c r="I134" s="22"/>
      <c r="J134" s="22"/>
      <c r="K134" s="22"/>
      <c r="L134" s="22"/>
      <c r="M134" s="22"/>
      <c r="N134" s="22"/>
      <c r="O134" s="22"/>
      <c r="P134" s="22"/>
      <c r="Q134" s="294">
        <v>80740030944</v>
      </c>
      <c r="R134" s="294">
        <v>80740030943</v>
      </c>
    </row>
    <row r="135" spans="1:32" ht="23.25" x14ac:dyDescent="0.25">
      <c r="A135" s="27">
        <v>17</v>
      </c>
      <c r="B135" s="702" t="s">
        <v>516</v>
      </c>
      <c r="C135" s="405" t="s">
        <v>846</v>
      </c>
      <c r="D135" s="72">
        <v>0</v>
      </c>
      <c r="E135" s="72">
        <v>0.24</v>
      </c>
      <c r="F135" s="72">
        <v>0.24</v>
      </c>
      <c r="G135" s="72">
        <v>3.5</v>
      </c>
      <c r="H135" s="24" t="s">
        <v>0</v>
      </c>
      <c r="I135" s="22"/>
      <c r="J135" s="22"/>
      <c r="K135" s="22"/>
      <c r="L135" s="22"/>
      <c r="M135" s="22"/>
      <c r="N135" s="22"/>
      <c r="O135" s="22"/>
      <c r="P135" s="22"/>
      <c r="Q135" s="294">
        <v>80740010501</v>
      </c>
      <c r="R135" s="294">
        <v>80740010501</v>
      </c>
      <c r="AA135" t="s">
        <v>1097</v>
      </c>
    </row>
    <row r="136" spans="1:32" ht="23.25" x14ac:dyDescent="0.25">
      <c r="C136" s="438"/>
      <c r="K136" s="53" t="s">
        <v>268</v>
      </c>
      <c r="L136" s="50">
        <f>SUM(L119:L135)</f>
        <v>0</v>
      </c>
      <c r="M136" s="50">
        <f>SUM(M119:M135)</f>
        <v>0</v>
      </c>
      <c r="N136" s="55"/>
      <c r="O136" s="53" t="s">
        <v>269</v>
      </c>
      <c r="P136" s="50">
        <f>SUM(P119:P135)</f>
        <v>0</v>
      </c>
      <c r="S136" s="102"/>
      <c r="T136" s="625" t="s">
        <v>1092</v>
      </c>
      <c r="U136" s="625" t="s">
        <v>1093</v>
      </c>
      <c r="V136" s="625" t="s">
        <v>1094</v>
      </c>
      <c r="W136" s="625" t="s">
        <v>1095</v>
      </c>
      <c r="X136" s="625" t="s">
        <v>1096</v>
      </c>
      <c r="Y136" s="627" t="s">
        <v>269</v>
      </c>
      <c r="Z136" s="102"/>
      <c r="AA136" s="625" t="s">
        <v>1092</v>
      </c>
      <c r="AB136" s="625" t="s">
        <v>1093</v>
      </c>
      <c r="AC136" s="625" t="s">
        <v>1094</v>
      </c>
      <c r="AD136" s="625" t="s">
        <v>1095</v>
      </c>
      <c r="AE136" s="625" t="s">
        <v>1096</v>
      </c>
      <c r="AF136" s="627" t="s">
        <v>269</v>
      </c>
    </row>
    <row r="137" spans="1:32" s="1" customFormat="1" ht="11.25" x14ac:dyDescent="0.2">
      <c r="A137" s="46" t="s">
        <v>463</v>
      </c>
      <c r="B137" s="47"/>
      <c r="C137" s="47"/>
      <c r="D137" s="48"/>
      <c r="E137" s="49"/>
      <c r="F137" s="50">
        <f>SUM(F119:F135)</f>
        <v>16.12</v>
      </c>
      <c r="G137" s="688"/>
      <c r="H137" s="51"/>
      <c r="I137" s="40"/>
      <c r="J137" s="52"/>
      <c r="Q137" s="55"/>
      <c r="S137" s="628" t="s">
        <v>844</v>
      </c>
      <c r="T137" s="625" t="s">
        <v>231</v>
      </c>
      <c r="U137" s="625" t="s">
        <v>231</v>
      </c>
      <c r="V137" s="625" t="s">
        <v>231</v>
      </c>
      <c r="W137" s="625" t="s">
        <v>231</v>
      </c>
      <c r="X137" s="625" t="s">
        <v>231</v>
      </c>
      <c r="Y137" s="626" t="s">
        <v>231</v>
      </c>
      <c r="Z137" s="628"/>
      <c r="AA137" s="625" t="s">
        <v>231</v>
      </c>
      <c r="AB137" s="625" t="s">
        <v>231</v>
      </c>
      <c r="AC137" s="625" t="s">
        <v>231</v>
      </c>
      <c r="AD137" s="625" t="s">
        <v>231</v>
      </c>
      <c r="AE137" s="625" t="s">
        <v>231</v>
      </c>
      <c r="AF137" s="626" t="s">
        <v>231</v>
      </c>
    </row>
    <row r="138" spans="1:32" s="1" customFormat="1" ht="11.25" x14ac:dyDescent="0.2">
      <c r="A138" s="56" t="s">
        <v>270</v>
      </c>
      <c r="B138" s="57"/>
      <c r="C138" s="57"/>
      <c r="D138" s="58"/>
      <c r="E138" s="59"/>
      <c r="F138" s="60">
        <v>0</v>
      </c>
      <c r="G138" s="81"/>
      <c r="H138" s="61"/>
      <c r="I138" s="62"/>
      <c r="J138" s="55"/>
      <c r="K138" s="63"/>
      <c r="L138" s="64"/>
      <c r="M138" s="64"/>
      <c r="N138" s="55"/>
      <c r="O138" s="55"/>
      <c r="P138" s="55"/>
      <c r="Q138" s="55"/>
      <c r="S138" s="616" t="s">
        <v>847</v>
      </c>
      <c r="T138" s="624">
        <f>SUMIFS(F109:F135,C109:C135,"A",H109:H135,"melnais")</f>
        <v>0</v>
      </c>
      <c r="U138" s="624">
        <f>SUMIFS(F109:F135,C109:C135,"A",H109:H135,"dubultā virsma")</f>
        <v>0</v>
      </c>
      <c r="V138" s="624">
        <f>SUMIFS(F109:F135,C109:C135,"A",H109:H135,"bruģis")</f>
        <v>0</v>
      </c>
      <c r="W138" s="624">
        <f>SUMIFS(F109:F135,C109:C135,"A",H109:H135,"grants")</f>
        <v>0</v>
      </c>
      <c r="X138" s="624">
        <f>SUMIFS(F109:F135,C109:C135,"A",H109:H135,"cits segums")</f>
        <v>0</v>
      </c>
      <c r="Y138" s="624">
        <f>SUM(T138:X138)</f>
        <v>0</v>
      </c>
      <c r="Z138" s="616" t="s">
        <v>847</v>
      </c>
      <c r="AA138" s="614">
        <f>SUMIFS(F109:F135,C109:C135,"A",H109:H135,"melnais", Q109:Q135,"Nepiederošs")</f>
        <v>0</v>
      </c>
      <c r="AB138" s="614">
        <f>SUMIFS(F109:F135,C109:C135,"A",H109:H135,"dubultā virsma", Q109:Q135,"Nepiederošs")</f>
        <v>0</v>
      </c>
      <c r="AC138" s="614">
        <f>SUMIFS(F109:F135,C109:C135,"A",H109:H135,"bruģis", Q109:Q135,"Nepiederošs")</f>
        <v>0</v>
      </c>
      <c r="AD138" s="614">
        <f>SUMIFS(F109:F135,C109:C135,"A",H109:H135,"grants", Q109:Q135,"Nepiederošs")</f>
        <v>0</v>
      </c>
      <c r="AE138" s="614">
        <f>SUMIFS(F109:F135,C109:C135,"A",H109:H135,"cits segums", Q109:Q135,"Nepiederošs")</f>
        <v>0</v>
      </c>
      <c r="AF138" s="614">
        <f>SUM(AA138:AE138)</f>
        <v>0</v>
      </c>
    </row>
    <row r="139" spans="1:32" s="1" customFormat="1" ht="11.25" x14ac:dyDescent="0.2">
      <c r="A139" s="56" t="s">
        <v>271</v>
      </c>
      <c r="B139" s="57"/>
      <c r="C139" s="57"/>
      <c r="D139" s="58"/>
      <c r="E139" s="59"/>
      <c r="F139" s="60">
        <v>0</v>
      </c>
      <c r="G139" s="81"/>
      <c r="H139" s="65"/>
      <c r="I139" s="40"/>
      <c r="J139" s="66"/>
      <c r="K139" s="67"/>
      <c r="L139" s="67"/>
      <c r="M139" s="67"/>
      <c r="N139" s="68"/>
      <c r="O139" s="55"/>
      <c r="P139" s="55"/>
      <c r="Q139" s="55"/>
      <c r="S139" s="617" t="s">
        <v>848</v>
      </c>
      <c r="T139" s="624">
        <f>SUMIFS(F109:F135,C109:C135,"B",H109:H135,"melnais")</f>
        <v>0</v>
      </c>
      <c r="U139" s="624">
        <f>SUMIFS(F109:F135,C109:C135,"B",H109:H135,"dubultā virsma")</f>
        <v>0</v>
      </c>
      <c r="V139" s="624">
        <f>SUMIFS(F109:F135,C109:C135,"B",H109:H135,"bruģis")</f>
        <v>0</v>
      </c>
      <c r="W139" s="624">
        <f>SUMIFS(F109:F135,C109:C135,"B",H109:H135,"grants")</f>
        <v>0</v>
      </c>
      <c r="X139" s="624">
        <f>SUMIFS(F109:F135,C109:C135,"B",H109:H135,"cits segums")</f>
        <v>0</v>
      </c>
      <c r="Y139" s="624">
        <f t="shared" ref="Y139:Y141" si="22">SUM(T139:X139)</f>
        <v>0</v>
      </c>
      <c r="Z139" s="617" t="s">
        <v>848</v>
      </c>
      <c r="AA139" s="614">
        <f>SUMIFS(F109:F135,C109:C135,"B",H109:H135,"melnais", Q109:Q135,"Nepiederošs")</f>
        <v>0</v>
      </c>
      <c r="AB139" s="614">
        <f>SUMIFS(F109:F135,C109:C135,"B",H109:H135,"dubultā virsma", Q109:Q135,"Nepiederošs")</f>
        <v>0</v>
      </c>
      <c r="AC139" s="614">
        <f>SUMIFS(F109:F135,C109:C135,"B",H109:H135,"bruģis", Q109:Q135,"Nepiederošs")</f>
        <v>0</v>
      </c>
      <c r="AD139" s="614">
        <f>SUMIFS(F109:F135,C109:C135,"B",H109:H135,"grants", Q109:Q135,"Nepiederošs")</f>
        <v>0</v>
      </c>
      <c r="AE139" s="614">
        <f>SUMIFS(F109:F135,C109:C135,"B",H109:H135,"cits segums", Q109:Q135,"Nepiederošs")</f>
        <v>0</v>
      </c>
      <c r="AF139" s="614">
        <f t="shared" ref="AF139:AF141" si="23">SUM(AA139:AE139)</f>
        <v>0</v>
      </c>
    </row>
    <row r="140" spans="1:32" s="1" customFormat="1" ht="11.25" x14ac:dyDescent="0.2">
      <c r="A140" s="56" t="s">
        <v>272</v>
      </c>
      <c r="B140" s="57"/>
      <c r="C140" s="57"/>
      <c r="D140" s="58"/>
      <c r="E140" s="59"/>
      <c r="F140" s="60">
        <f>F137-F138-F141-F139</f>
        <v>16.12</v>
      </c>
      <c r="G140" s="81"/>
      <c r="H140" s="65"/>
      <c r="I140" s="65"/>
      <c r="J140" s="66"/>
      <c r="K140" s="67"/>
      <c r="L140" s="67"/>
      <c r="M140" s="67"/>
      <c r="N140" s="68"/>
      <c r="O140" s="55"/>
      <c r="P140" s="55"/>
      <c r="Q140" s="55"/>
      <c r="S140" s="615" t="s">
        <v>845</v>
      </c>
      <c r="T140" s="624">
        <f>SUMIFS(F109:F135,C109:C135,"C",H109:H135,"melnais")</f>
        <v>0</v>
      </c>
      <c r="U140" s="624">
        <f>SUMIFS(F109:F135,C109:C135,"C",H109:H135,"dubultā virsma")</f>
        <v>0</v>
      </c>
      <c r="V140" s="624">
        <f>SUMIFS(F109:F135,C109:C135,"C",H109:H135,"bruģis")</f>
        <v>0</v>
      </c>
      <c r="W140" s="624">
        <f>SUMIFS(F109:F135,C109:C135,"C",H109:H135,"grants")</f>
        <v>0</v>
      </c>
      <c r="X140" s="624">
        <f>SUMIFS(F109:F135,C109:C135,"C",H109:H135,"cits segums")</f>
        <v>0</v>
      </c>
      <c r="Y140" s="624">
        <f t="shared" si="22"/>
        <v>0</v>
      </c>
      <c r="Z140" s="615" t="s">
        <v>845</v>
      </c>
      <c r="AA140" s="614">
        <f>SUMIFS(F109:F135,C109:C135,"C",H109:H135,"melnais", Q109:Q135,"Nepiederošs")</f>
        <v>0</v>
      </c>
      <c r="AB140" s="614">
        <f>SUMIFS(F109:F135,C109:C135,"C",H109:H135,"dubultā virsma", Q109:Q135,"Nepiederošs")</f>
        <v>0</v>
      </c>
      <c r="AC140" s="614">
        <f>SUMIFS(F109:F135,C109:C135,"C",H109:H135,"bruģis", Q109:Q135,"Nepiederošs")</f>
        <v>0</v>
      </c>
      <c r="AD140" s="614">
        <f>SUMIFS(F109:F135,C109:C135,"C",H109:H135,"grants", Q109:Q135,"Nepiederošs")</f>
        <v>0</v>
      </c>
      <c r="AE140" s="614">
        <f>SUMIFS(F109:F135,C109:C135,"C",H109:H135,"cits segums", Q109:Q135,"Nepiederošs")</f>
        <v>0</v>
      </c>
      <c r="AF140" s="614">
        <f t="shared" si="23"/>
        <v>0</v>
      </c>
    </row>
    <row r="141" spans="1:32" s="1" customFormat="1" ht="11.25" x14ac:dyDescent="0.2">
      <c r="A141" s="56" t="s">
        <v>273</v>
      </c>
      <c r="B141" s="57"/>
      <c r="C141" s="57"/>
      <c r="D141" s="58"/>
      <c r="E141" s="59"/>
      <c r="F141" s="60">
        <v>0</v>
      </c>
      <c r="G141" s="81"/>
      <c r="H141" s="69"/>
      <c r="I141" s="65"/>
      <c r="J141" s="70"/>
      <c r="K141" s="67"/>
      <c r="L141" s="67"/>
      <c r="M141" s="67"/>
      <c r="N141" s="68"/>
      <c r="O141" s="55"/>
      <c r="P141" s="55"/>
      <c r="Q141" s="55"/>
      <c r="S141" s="616" t="s">
        <v>846</v>
      </c>
      <c r="T141" s="624">
        <f>SUMIFS(F109:F135,C109:C135,"D",H109:H135,"melnais")</f>
        <v>0</v>
      </c>
      <c r="U141" s="624">
        <f>SUMIFS(F109:F135,C109:C135,"D",H109:H135,"dubultā virsma")</f>
        <v>0</v>
      </c>
      <c r="V141" s="624">
        <f>SUMIFS(F109:F135,C109:C135,"D",H109:H135,"bruģis")</f>
        <v>0</v>
      </c>
      <c r="W141" s="624">
        <f>SUMIFS(F109:F135,C109:C135,"D",H109:H135,"grants")</f>
        <v>16.12</v>
      </c>
      <c r="X141" s="624">
        <f>SUMIFS(F109:F135,C109:C135,"D",H109:H135,"cits segums")</f>
        <v>0</v>
      </c>
      <c r="Y141" s="624">
        <f t="shared" si="22"/>
        <v>16.12</v>
      </c>
      <c r="Z141" s="616" t="s">
        <v>846</v>
      </c>
      <c r="AA141" s="614">
        <f>SUMIFS(F109:F135,C109:C135,"D",H109:H135,"melnais", Q109:Q135,"Nepiederošs")</f>
        <v>0</v>
      </c>
      <c r="AB141" s="614">
        <f>SUMIFS(F109:F135,C109:C135,"D",H109:H135,"dubultā virsma", Q109:Q135,"Nepiederošs")</f>
        <v>0</v>
      </c>
      <c r="AC141" s="614">
        <f>SUMIFS(F109:F135,C109:C135,"D",H109:H135,"bruģis", Q109:Q135,"Nepiederošs")</f>
        <v>0</v>
      </c>
      <c r="AD141" s="614">
        <f>SUMIFS(F109:F135,C109:C135,"D",H109:H135,"grants", Q109:Q135,"Nepiederošs")</f>
        <v>0</v>
      </c>
      <c r="AE141" s="614">
        <f>SUMIFS(F109:F135,C109:C135,"D",H109:H135,"cits segums", Q109:Q135,"Nepiederošs")</f>
        <v>0</v>
      </c>
      <c r="AF141" s="614">
        <f t="shared" si="23"/>
        <v>0</v>
      </c>
    </row>
    <row r="142" spans="1:32" x14ac:dyDescent="0.25">
      <c r="C142" s="438"/>
      <c r="T142" s="630">
        <f>SUM(T138:T141)</f>
        <v>0</v>
      </c>
      <c r="U142" s="630">
        <f t="shared" ref="U142" si="24">SUM(U138:U141)</f>
        <v>0</v>
      </c>
      <c r="V142" s="630">
        <f t="shared" ref="V142" si="25">SUM(V138:V141)</f>
        <v>0</v>
      </c>
      <c r="W142" s="630">
        <f t="shared" ref="W142" si="26">SUM(W138:W141)</f>
        <v>16.12</v>
      </c>
      <c r="X142" s="630">
        <f t="shared" ref="X142" si="27">SUM(X138:X141)</f>
        <v>0</v>
      </c>
      <c r="Y142" s="630">
        <f t="shared" ref="Y142" si="28">SUM(Y138:Y141)</f>
        <v>16.12</v>
      </c>
      <c r="AA142" s="629">
        <f>SUM(AA138:AA141)</f>
        <v>0</v>
      </c>
      <c r="AB142" s="629">
        <f t="shared" ref="AB142" si="29">SUM(AB138:AB141)</f>
        <v>0</v>
      </c>
      <c r="AC142" s="629">
        <f>SUM(AC138:AC141)</f>
        <v>0</v>
      </c>
      <c r="AD142" s="629">
        <f t="shared" ref="AD142" si="30">SUM(AD138:AD141)</f>
        <v>0</v>
      </c>
      <c r="AE142" s="629">
        <f t="shared" ref="AE142" si="31">SUM(AE138:AE141)</f>
        <v>0</v>
      </c>
      <c r="AF142" s="629">
        <f t="shared" ref="AF142" si="32">SUM(AF138:AF141)</f>
        <v>0</v>
      </c>
    </row>
    <row r="143" spans="1:32" s="32" customFormat="1" ht="15" customHeight="1" x14ac:dyDescent="0.25">
      <c r="A143" s="33"/>
      <c r="B143" s="33"/>
      <c r="C143" s="33"/>
      <c r="D143" s="781" t="s">
        <v>1060</v>
      </c>
      <c r="E143" s="781"/>
      <c r="F143" s="781"/>
      <c r="G143" s="781"/>
      <c r="H143" s="781"/>
      <c r="I143" s="781"/>
      <c r="J143" s="781"/>
      <c r="K143" s="781"/>
      <c r="L143" s="781"/>
      <c r="M143" s="781"/>
      <c r="N143" s="781"/>
      <c r="O143" s="781"/>
      <c r="P143" s="781"/>
      <c r="Q143" s="30"/>
      <c r="R143" s="37"/>
    </row>
    <row r="144" spans="1:32" s="32" customFormat="1" ht="11.25" x14ac:dyDescent="0.25">
      <c r="A144" s="33"/>
      <c r="B144" s="33"/>
      <c r="C144" s="33"/>
      <c r="D144" s="38"/>
      <c r="E144" s="29"/>
      <c r="F144" s="29"/>
      <c r="G144" s="29"/>
      <c r="H144" s="30"/>
      <c r="I144" s="28"/>
      <c r="J144" s="28"/>
      <c r="K144" s="28"/>
      <c r="L144" s="28"/>
      <c r="M144" s="28"/>
      <c r="N144" s="39"/>
      <c r="O144" s="39"/>
      <c r="P144" s="28"/>
      <c r="Q144" s="28"/>
      <c r="R144" s="37"/>
    </row>
    <row r="145" spans="1:18" s="40" customFormat="1" ht="5.25" customHeight="1" x14ac:dyDescent="0.2">
      <c r="A145" s="44"/>
      <c r="B145" s="732"/>
      <c r="C145" s="39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</row>
    <row r="146" spans="1:18" s="40" customFormat="1" ht="12.75" customHeight="1" x14ac:dyDescent="0.2">
      <c r="A146" s="782" t="s">
        <v>244</v>
      </c>
      <c r="B146" s="790" t="s">
        <v>245</v>
      </c>
      <c r="C146" s="413"/>
      <c r="D146" s="793" t="s">
        <v>246</v>
      </c>
      <c r="E146" s="794"/>
      <c r="F146" s="794"/>
      <c r="G146" s="794"/>
      <c r="H146" s="794"/>
      <c r="I146" s="794"/>
      <c r="J146" s="794"/>
      <c r="K146" s="794"/>
      <c r="L146" s="794"/>
      <c r="M146" s="794"/>
      <c r="N146" s="794"/>
      <c r="O146" s="794"/>
      <c r="P146" s="784"/>
      <c r="Q146" s="795" t="s">
        <v>247</v>
      </c>
      <c r="R146" s="796"/>
    </row>
    <row r="147" spans="1:18" s="40" customFormat="1" ht="12.75" customHeight="1" x14ac:dyDescent="0.2">
      <c r="A147" s="782"/>
      <c r="B147" s="791"/>
      <c r="C147" s="395"/>
      <c r="D147" s="785" t="s">
        <v>248</v>
      </c>
      <c r="E147" s="785"/>
      <c r="F147" s="785"/>
      <c r="G147" s="785"/>
      <c r="H147" s="785"/>
      <c r="I147" s="788" t="s">
        <v>249</v>
      </c>
      <c r="J147" s="788"/>
      <c r="K147" s="788"/>
      <c r="L147" s="788"/>
      <c r="M147" s="788"/>
      <c r="N147" s="788"/>
      <c r="O147" s="788"/>
      <c r="P147" s="801" t="s">
        <v>250</v>
      </c>
      <c r="Q147" s="797"/>
      <c r="R147" s="798"/>
    </row>
    <row r="148" spans="1:18" s="40" customFormat="1" ht="15.2" customHeight="1" x14ac:dyDescent="0.2">
      <c r="A148" s="782"/>
      <c r="B148" s="791"/>
      <c r="C148" s="395"/>
      <c r="D148" s="785" t="s">
        <v>251</v>
      </c>
      <c r="E148" s="785"/>
      <c r="F148" s="786" t="s">
        <v>252</v>
      </c>
      <c r="G148" s="786" t="s">
        <v>881</v>
      </c>
      <c r="H148" s="782" t="s">
        <v>253</v>
      </c>
      <c r="I148" s="789" t="s">
        <v>254</v>
      </c>
      <c r="J148" s="788" t="s">
        <v>255</v>
      </c>
      <c r="K148" s="788"/>
      <c r="L148" s="787" t="s">
        <v>256</v>
      </c>
      <c r="M148" s="787" t="s">
        <v>257</v>
      </c>
      <c r="N148" s="787" t="s">
        <v>258</v>
      </c>
      <c r="O148" s="787" t="s">
        <v>259</v>
      </c>
      <c r="P148" s="799"/>
      <c r="Q148" s="799" t="s">
        <v>260</v>
      </c>
      <c r="R148" s="791" t="s">
        <v>261</v>
      </c>
    </row>
    <row r="149" spans="1:18" s="40" customFormat="1" ht="58.5" customHeight="1" x14ac:dyDescent="0.2">
      <c r="A149" s="782"/>
      <c r="B149" s="792"/>
      <c r="C149" s="432" t="s">
        <v>844</v>
      </c>
      <c r="D149" s="92" t="s">
        <v>262</v>
      </c>
      <c r="E149" s="92" t="s">
        <v>263</v>
      </c>
      <c r="F149" s="786"/>
      <c r="G149" s="786"/>
      <c r="H149" s="782"/>
      <c r="I149" s="789"/>
      <c r="J149" s="93" t="s">
        <v>231</v>
      </c>
      <c r="K149" s="93" t="s">
        <v>264</v>
      </c>
      <c r="L149" s="787"/>
      <c r="M149" s="787"/>
      <c r="N149" s="787"/>
      <c r="O149" s="787"/>
      <c r="P149" s="800"/>
      <c r="Q149" s="800"/>
      <c r="R149" s="792"/>
    </row>
    <row r="150" spans="1:18" s="41" customFormat="1" ht="12" customHeight="1" x14ac:dyDescent="0.25">
      <c r="A150" s="276">
        <v>1</v>
      </c>
      <c r="B150" s="276">
        <v>2</v>
      </c>
      <c r="C150" s="42"/>
      <c r="D150" s="42">
        <v>3</v>
      </c>
      <c r="E150" s="42">
        <v>4</v>
      </c>
      <c r="F150" s="42">
        <v>5</v>
      </c>
      <c r="G150" s="42">
        <v>5.0999999999999996</v>
      </c>
      <c r="H150" s="42">
        <v>6</v>
      </c>
      <c r="I150" s="43">
        <v>7</v>
      </c>
      <c r="J150" s="43">
        <v>8</v>
      </c>
      <c r="K150" s="43">
        <v>9</v>
      </c>
      <c r="L150" s="43">
        <v>10</v>
      </c>
      <c r="M150" s="43">
        <v>11</v>
      </c>
      <c r="N150" s="43">
        <v>12</v>
      </c>
      <c r="O150" s="43">
        <v>13</v>
      </c>
      <c r="P150" s="43">
        <v>14</v>
      </c>
      <c r="Q150" s="43">
        <v>15</v>
      </c>
      <c r="R150" s="42">
        <v>16</v>
      </c>
    </row>
    <row r="151" spans="1:18" x14ac:dyDescent="0.25">
      <c r="A151" s="446">
        <v>1</v>
      </c>
      <c r="B151" s="698" t="s">
        <v>736</v>
      </c>
      <c r="C151" s="480" t="s">
        <v>845</v>
      </c>
      <c r="D151" s="72">
        <v>0</v>
      </c>
      <c r="E151" s="72">
        <v>0.04</v>
      </c>
      <c r="F151" s="72">
        <v>0.04</v>
      </c>
      <c r="G151" s="72">
        <v>5</v>
      </c>
      <c r="H151" s="22" t="s">
        <v>4</v>
      </c>
      <c r="I151" s="18"/>
      <c r="J151" s="18"/>
      <c r="K151" s="18"/>
      <c r="L151" s="18"/>
      <c r="M151" s="18"/>
      <c r="N151" s="18"/>
      <c r="O151" s="18"/>
      <c r="P151" s="18"/>
      <c r="Q151" s="326">
        <v>80680070507</v>
      </c>
      <c r="R151" s="327">
        <v>80680070507</v>
      </c>
    </row>
    <row r="152" spans="1:18" x14ac:dyDescent="0.25">
      <c r="A152" s="448"/>
      <c r="B152" s="700"/>
      <c r="C152" s="480" t="s">
        <v>846</v>
      </c>
      <c r="D152" s="72">
        <v>0.04</v>
      </c>
      <c r="E152" s="72">
        <v>0.96000000000000008</v>
      </c>
      <c r="F152" s="72">
        <v>0.92</v>
      </c>
      <c r="G152" s="72">
        <v>3.5</v>
      </c>
      <c r="H152" s="22" t="s">
        <v>154</v>
      </c>
      <c r="I152" s="18"/>
      <c r="J152" s="18"/>
      <c r="K152" s="18"/>
      <c r="L152" s="18"/>
      <c r="M152" s="18"/>
      <c r="N152" s="18"/>
      <c r="O152" s="18"/>
      <c r="P152" s="18"/>
      <c r="Q152" s="319">
        <v>80680070507</v>
      </c>
      <c r="R152" s="320">
        <v>80680070507</v>
      </c>
    </row>
    <row r="153" spans="1:18" x14ac:dyDescent="0.25">
      <c r="A153" s="448">
        <v>2</v>
      </c>
      <c r="B153" s="701" t="s">
        <v>737</v>
      </c>
      <c r="C153" s="405" t="s">
        <v>846</v>
      </c>
      <c r="D153" s="72">
        <v>0</v>
      </c>
      <c r="E153" s="72">
        <v>0.04</v>
      </c>
      <c r="F153" s="72">
        <v>0.04</v>
      </c>
      <c r="G153" s="72">
        <v>4</v>
      </c>
      <c r="H153" s="22" t="s">
        <v>0</v>
      </c>
      <c r="I153" s="18"/>
      <c r="J153" s="18"/>
      <c r="K153" s="18"/>
      <c r="L153" s="18"/>
      <c r="M153" s="18"/>
      <c r="N153" s="18"/>
      <c r="O153" s="18"/>
      <c r="P153" s="18"/>
      <c r="Q153" s="335">
        <v>80680070313</v>
      </c>
      <c r="R153" s="324">
        <v>80680070313</v>
      </c>
    </row>
    <row r="154" spans="1:18" x14ac:dyDescent="0.25">
      <c r="A154" s="446">
        <v>3</v>
      </c>
      <c r="B154" s="733" t="s">
        <v>738</v>
      </c>
      <c r="C154" s="405" t="s">
        <v>846</v>
      </c>
      <c r="D154" s="72">
        <v>0</v>
      </c>
      <c r="E154" s="72">
        <v>0.37</v>
      </c>
      <c r="F154" s="72">
        <v>0.37</v>
      </c>
      <c r="G154" s="72">
        <v>3.5</v>
      </c>
      <c r="H154" s="22" t="s">
        <v>0</v>
      </c>
      <c r="I154" s="18"/>
      <c r="J154" s="18"/>
      <c r="K154" s="18"/>
      <c r="L154" s="18"/>
      <c r="M154" s="18"/>
      <c r="N154" s="18"/>
      <c r="O154" s="18"/>
      <c r="P154" s="18"/>
      <c r="Q154" s="323"/>
      <c r="R154" s="329" t="s">
        <v>727</v>
      </c>
    </row>
    <row r="155" spans="1:18" x14ac:dyDescent="0.25">
      <c r="A155" s="446">
        <v>4</v>
      </c>
      <c r="B155" s="698" t="s">
        <v>739</v>
      </c>
      <c r="C155" s="476" t="s">
        <v>846</v>
      </c>
      <c r="D155" s="72">
        <v>0</v>
      </c>
      <c r="E155" s="72">
        <v>0.45</v>
      </c>
      <c r="F155" s="72">
        <v>0.45</v>
      </c>
      <c r="G155" s="72">
        <v>3.5</v>
      </c>
      <c r="H155" s="22" t="s">
        <v>0</v>
      </c>
      <c r="I155" s="18"/>
      <c r="J155" s="18"/>
      <c r="K155" s="18"/>
      <c r="L155" s="18"/>
      <c r="M155" s="18"/>
      <c r="N155" s="18"/>
      <c r="O155" s="18"/>
      <c r="P155" s="18"/>
      <c r="Q155" s="317">
        <v>80680030117</v>
      </c>
      <c r="R155" s="318">
        <v>80680030117</v>
      </c>
    </row>
    <row r="156" spans="1:18" x14ac:dyDescent="0.25">
      <c r="A156" s="448"/>
      <c r="B156" s="700"/>
      <c r="C156" s="476" t="s">
        <v>846</v>
      </c>
      <c r="D156" s="72">
        <v>0.45</v>
      </c>
      <c r="E156" s="72">
        <v>0.68</v>
      </c>
      <c r="F156" s="72">
        <v>0.23</v>
      </c>
      <c r="G156" s="72">
        <v>3.5</v>
      </c>
      <c r="H156" s="22" t="s">
        <v>0</v>
      </c>
      <c r="I156" s="18"/>
      <c r="J156" s="18"/>
      <c r="K156" s="18"/>
      <c r="L156" s="18"/>
      <c r="M156" s="18"/>
      <c r="N156" s="18"/>
      <c r="O156" s="18"/>
      <c r="P156" s="18"/>
      <c r="Q156" s="319"/>
      <c r="R156" s="337" t="s">
        <v>728</v>
      </c>
    </row>
    <row r="157" spans="1:18" ht="23.25" x14ac:dyDescent="0.25">
      <c r="A157" s="447">
        <v>5</v>
      </c>
      <c r="B157" s="710" t="s">
        <v>740</v>
      </c>
      <c r="C157" s="476" t="s">
        <v>846</v>
      </c>
      <c r="D157" s="72">
        <v>0</v>
      </c>
      <c r="E157" s="72">
        <v>0.24</v>
      </c>
      <c r="F157" s="72">
        <v>0.24</v>
      </c>
      <c r="G157" s="72">
        <v>3.7</v>
      </c>
      <c r="H157" s="22" t="s">
        <v>0</v>
      </c>
      <c r="I157" s="18"/>
      <c r="J157" s="18"/>
      <c r="K157" s="18"/>
      <c r="L157" s="18"/>
      <c r="M157" s="18"/>
      <c r="N157" s="18"/>
      <c r="O157" s="18"/>
      <c r="P157" s="18"/>
      <c r="Q157" s="323">
        <v>80680030116</v>
      </c>
      <c r="R157" s="324">
        <v>80680030116</v>
      </c>
    </row>
    <row r="158" spans="1:18" x14ac:dyDescent="0.25">
      <c r="A158" s="446">
        <v>6</v>
      </c>
      <c r="B158" s="698" t="s">
        <v>741</v>
      </c>
      <c r="C158" s="476" t="s">
        <v>846</v>
      </c>
      <c r="D158" s="72">
        <v>0</v>
      </c>
      <c r="E158" s="72">
        <v>0.32</v>
      </c>
      <c r="F158" s="72">
        <v>0.32</v>
      </c>
      <c r="G158" s="72">
        <v>5</v>
      </c>
      <c r="H158" s="22" t="s">
        <v>0</v>
      </c>
      <c r="I158" s="18"/>
      <c r="J158" s="18"/>
      <c r="K158" s="18"/>
      <c r="L158" s="18"/>
      <c r="M158" s="18"/>
      <c r="N158" s="18"/>
      <c r="O158" s="18"/>
      <c r="P158" s="18"/>
      <c r="Q158" s="318">
        <v>80680030115</v>
      </c>
      <c r="R158" s="347">
        <v>80680030115</v>
      </c>
    </row>
    <row r="159" spans="1:18" x14ac:dyDescent="0.25">
      <c r="A159" s="447"/>
      <c r="B159" s="704"/>
      <c r="C159" s="476" t="s">
        <v>846</v>
      </c>
      <c r="D159" s="72">
        <v>0.32</v>
      </c>
      <c r="E159" s="72">
        <v>0.36</v>
      </c>
      <c r="F159" s="72">
        <v>0.04</v>
      </c>
      <c r="G159" s="72">
        <v>5</v>
      </c>
      <c r="H159" s="22" t="s">
        <v>0</v>
      </c>
      <c r="I159" s="18"/>
      <c r="J159" s="18"/>
      <c r="K159" s="18"/>
      <c r="L159" s="18"/>
      <c r="M159" s="18"/>
      <c r="N159" s="18"/>
      <c r="O159" s="18"/>
      <c r="P159" s="18"/>
      <c r="Q159" s="321"/>
      <c r="R159" s="339" t="s">
        <v>729</v>
      </c>
    </row>
    <row r="160" spans="1:18" x14ac:dyDescent="0.25">
      <c r="A160" s="448"/>
      <c r="B160" s="700"/>
      <c r="C160" s="476" t="s">
        <v>846</v>
      </c>
      <c r="D160" s="72">
        <v>0.36</v>
      </c>
      <c r="E160" s="72">
        <v>1.46</v>
      </c>
      <c r="F160" s="72">
        <v>1.1000000000000001</v>
      </c>
      <c r="G160" s="72">
        <v>4</v>
      </c>
      <c r="H160" s="22" t="s">
        <v>0</v>
      </c>
      <c r="I160" s="18"/>
      <c r="J160" s="18"/>
      <c r="K160" s="18"/>
      <c r="L160" s="18"/>
      <c r="M160" s="18"/>
      <c r="N160" s="18"/>
      <c r="O160" s="18"/>
      <c r="P160" s="18"/>
      <c r="Q160" s="319">
        <v>80680030115</v>
      </c>
      <c r="R160" s="320">
        <v>80680040067</v>
      </c>
    </row>
    <row r="161" spans="1:18" ht="23.25" x14ac:dyDescent="0.25">
      <c r="A161" s="447">
        <v>7</v>
      </c>
      <c r="B161" s="710" t="s">
        <v>742</v>
      </c>
      <c r="C161" s="476" t="s">
        <v>846</v>
      </c>
      <c r="D161" s="72">
        <v>0</v>
      </c>
      <c r="E161" s="72">
        <v>1.01</v>
      </c>
      <c r="F161" s="72">
        <v>1.01</v>
      </c>
      <c r="G161" s="72">
        <v>3</v>
      </c>
      <c r="H161" s="22" t="s">
        <v>325</v>
      </c>
      <c r="I161" s="18"/>
      <c r="J161" s="18"/>
      <c r="K161" s="18"/>
      <c r="L161" s="18"/>
      <c r="M161" s="18"/>
      <c r="N161" s="18"/>
      <c r="O161" s="18"/>
      <c r="P161" s="18"/>
      <c r="Q161" s="323">
        <v>80680040076</v>
      </c>
      <c r="R161" s="324">
        <v>80680040076</v>
      </c>
    </row>
    <row r="162" spans="1:18" ht="23.25" x14ac:dyDescent="0.25">
      <c r="A162" s="446">
        <v>8</v>
      </c>
      <c r="B162" s="698" t="s">
        <v>743</v>
      </c>
      <c r="C162" s="476" t="s">
        <v>846</v>
      </c>
      <c r="D162" s="72">
        <v>0</v>
      </c>
      <c r="E162" s="72">
        <v>7.0000000000000007E-2</v>
      </c>
      <c r="F162" s="72">
        <v>7.0000000000000007E-2</v>
      </c>
      <c r="G162" s="72">
        <v>3</v>
      </c>
      <c r="H162" s="22" t="s">
        <v>325</v>
      </c>
      <c r="I162" s="18"/>
      <c r="J162" s="18"/>
      <c r="K162" s="18"/>
      <c r="L162" s="18"/>
      <c r="M162" s="18"/>
      <c r="N162" s="18"/>
      <c r="O162" s="18"/>
      <c r="P162" s="18"/>
      <c r="Q162" s="317"/>
      <c r="R162" s="339" t="s">
        <v>730</v>
      </c>
    </row>
    <row r="163" spans="1:18" x14ac:dyDescent="0.25">
      <c r="A163" s="448"/>
      <c r="B163" s="700"/>
      <c r="C163" s="476" t="s">
        <v>846</v>
      </c>
      <c r="D163" s="72">
        <v>7.0000000000000007E-2</v>
      </c>
      <c r="E163" s="72">
        <v>0.36</v>
      </c>
      <c r="F163" s="72">
        <v>0.28999999999999998</v>
      </c>
      <c r="G163" s="72">
        <v>3</v>
      </c>
      <c r="H163" s="22" t="s">
        <v>325</v>
      </c>
      <c r="I163" s="18"/>
      <c r="J163" s="18"/>
      <c r="K163" s="18"/>
      <c r="L163" s="18"/>
      <c r="M163" s="18"/>
      <c r="N163" s="18"/>
      <c r="O163" s="18"/>
      <c r="P163" s="18"/>
      <c r="Q163" s="319">
        <v>80680010150</v>
      </c>
      <c r="R163" s="348">
        <v>80680010150</v>
      </c>
    </row>
    <row r="164" spans="1:18" ht="23.25" x14ac:dyDescent="0.25">
      <c r="A164" s="448">
        <v>9</v>
      </c>
      <c r="B164" s="701" t="s">
        <v>744</v>
      </c>
      <c r="C164" s="405" t="s">
        <v>846</v>
      </c>
      <c r="D164" s="72">
        <v>0</v>
      </c>
      <c r="E164" s="72">
        <v>0.43</v>
      </c>
      <c r="F164" s="72">
        <v>0.43</v>
      </c>
      <c r="G164" s="72">
        <v>3</v>
      </c>
      <c r="H164" s="22" t="s">
        <v>325</v>
      </c>
      <c r="I164" s="18"/>
      <c r="J164" s="18"/>
      <c r="K164" s="18"/>
      <c r="L164" s="18"/>
      <c r="M164" s="18"/>
      <c r="N164" s="18"/>
      <c r="O164" s="18"/>
      <c r="P164" s="18"/>
      <c r="Q164" s="323">
        <v>80680010153</v>
      </c>
      <c r="R164" s="324">
        <v>80680010153</v>
      </c>
    </row>
    <row r="165" spans="1:18" ht="23.25" x14ac:dyDescent="0.25">
      <c r="A165" s="27">
        <v>10</v>
      </c>
      <c r="B165" s="702" t="s">
        <v>745</v>
      </c>
      <c r="C165" s="405" t="s">
        <v>846</v>
      </c>
      <c r="D165" s="72">
        <v>0</v>
      </c>
      <c r="E165" s="72">
        <v>0.18</v>
      </c>
      <c r="F165" s="72">
        <v>0.18</v>
      </c>
      <c r="G165" s="72">
        <v>3.1</v>
      </c>
      <c r="H165" s="22" t="s">
        <v>4</v>
      </c>
      <c r="I165" s="18"/>
      <c r="J165" s="18"/>
      <c r="K165" s="18"/>
      <c r="L165" s="18"/>
      <c r="M165" s="18"/>
      <c r="N165" s="18"/>
      <c r="O165" s="18"/>
      <c r="P165" s="18"/>
      <c r="Q165" s="323">
        <v>80680010148</v>
      </c>
      <c r="R165" s="324">
        <v>80680010148</v>
      </c>
    </row>
    <row r="166" spans="1:18" ht="23.25" x14ac:dyDescent="0.25">
      <c r="A166" s="27">
        <v>11</v>
      </c>
      <c r="B166" s="702" t="s">
        <v>746</v>
      </c>
      <c r="C166" s="405" t="s">
        <v>846</v>
      </c>
      <c r="D166" s="72">
        <v>0</v>
      </c>
      <c r="E166" s="72">
        <v>0.34</v>
      </c>
      <c r="F166" s="72">
        <v>0.34</v>
      </c>
      <c r="G166" s="72">
        <v>3.5</v>
      </c>
      <c r="H166" s="22" t="s">
        <v>0</v>
      </c>
      <c r="I166" s="18"/>
      <c r="J166" s="18"/>
      <c r="K166" s="18"/>
      <c r="L166" s="18"/>
      <c r="M166" s="18"/>
      <c r="N166" s="18"/>
      <c r="O166" s="18"/>
      <c r="P166" s="18"/>
      <c r="Q166" s="317">
        <v>80680010154</v>
      </c>
      <c r="R166" s="318">
        <v>80680010154</v>
      </c>
    </row>
    <row r="167" spans="1:18" x14ac:dyDescent="0.25">
      <c r="A167" s="27">
        <v>12</v>
      </c>
      <c r="B167" s="702" t="s">
        <v>747</v>
      </c>
      <c r="C167" s="405" t="s">
        <v>846</v>
      </c>
      <c r="D167" s="72">
        <v>0</v>
      </c>
      <c r="E167" s="72">
        <v>0.32</v>
      </c>
      <c r="F167" s="72">
        <v>0.32</v>
      </c>
      <c r="G167" s="72">
        <v>4</v>
      </c>
      <c r="H167" s="22" t="s">
        <v>4</v>
      </c>
      <c r="I167" s="18"/>
      <c r="J167" s="18"/>
      <c r="K167" s="18"/>
      <c r="L167" s="18"/>
      <c r="M167" s="18"/>
      <c r="N167" s="18"/>
      <c r="O167" s="18"/>
      <c r="P167" s="18"/>
      <c r="Q167" s="323"/>
      <c r="R167" s="331" t="s">
        <v>731</v>
      </c>
    </row>
    <row r="168" spans="1:18" ht="23.25" x14ac:dyDescent="0.25">
      <c r="A168" s="27">
        <v>13</v>
      </c>
      <c r="B168" s="702" t="s">
        <v>748</v>
      </c>
      <c r="C168" s="405" t="s">
        <v>846</v>
      </c>
      <c r="D168" s="72">
        <v>0</v>
      </c>
      <c r="E168" s="72">
        <v>0.74</v>
      </c>
      <c r="F168" s="72">
        <v>0.74</v>
      </c>
      <c r="G168" s="72">
        <v>4.5</v>
      </c>
      <c r="H168" s="22" t="s">
        <v>0</v>
      </c>
      <c r="I168" s="18"/>
      <c r="J168" s="18"/>
      <c r="K168" s="18"/>
      <c r="L168" s="18"/>
      <c r="M168" s="18"/>
      <c r="N168" s="18"/>
      <c r="O168" s="18"/>
      <c r="P168" s="18"/>
      <c r="Q168" s="317">
        <v>80680030112</v>
      </c>
      <c r="R168" s="318">
        <v>80680030112</v>
      </c>
    </row>
    <row r="169" spans="1:18" ht="23.25" x14ac:dyDescent="0.25">
      <c r="A169" s="27">
        <v>14</v>
      </c>
      <c r="B169" s="702" t="s">
        <v>749</v>
      </c>
      <c r="C169" s="405" t="s">
        <v>846</v>
      </c>
      <c r="D169" s="72">
        <v>0</v>
      </c>
      <c r="E169" s="72">
        <v>0.44</v>
      </c>
      <c r="F169" s="72">
        <v>0.44</v>
      </c>
      <c r="G169" s="72">
        <v>3.5</v>
      </c>
      <c r="H169" s="22" t="s">
        <v>0</v>
      </c>
      <c r="I169" s="18"/>
      <c r="J169" s="18"/>
      <c r="K169" s="18"/>
      <c r="L169" s="18"/>
      <c r="M169" s="18"/>
      <c r="N169" s="18"/>
      <c r="O169" s="18"/>
      <c r="P169" s="18"/>
      <c r="Q169" s="323">
        <v>80680030110</v>
      </c>
      <c r="R169" s="324">
        <v>80680030110</v>
      </c>
    </row>
    <row r="170" spans="1:18" ht="23.25" x14ac:dyDescent="0.25">
      <c r="A170" s="27">
        <v>15</v>
      </c>
      <c r="B170" s="702" t="s">
        <v>750</v>
      </c>
      <c r="C170" s="405" t="s">
        <v>846</v>
      </c>
      <c r="D170" s="72">
        <v>0</v>
      </c>
      <c r="E170" s="72">
        <v>1.18</v>
      </c>
      <c r="F170" s="72">
        <v>1.18</v>
      </c>
      <c r="G170" s="72">
        <v>3</v>
      </c>
      <c r="H170" s="22" t="s">
        <v>0</v>
      </c>
      <c r="I170" s="18"/>
      <c r="J170" s="18"/>
      <c r="K170" s="18"/>
      <c r="L170" s="18"/>
      <c r="M170" s="18"/>
      <c r="N170" s="18"/>
      <c r="O170" s="18"/>
      <c r="P170" s="18"/>
      <c r="Q170" s="332"/>
      <c r="R170" s="338" t="s">
        <v>732</v>
      </c>
    </row>
    <row r="171" spans="1:18" ht="23.25" x14ac:dyDescent="0.25">
      <c r="A171" s="446">
        <v>16</v>
      </c>
      <c r="B171" s="733" t="s">
        <v>751</v>
      </c>
      <c r="C171" s="405" t="s">
        <v>846</v>
      </c>
      <c r="D171" s="72">
        <v>0</v>
      </c>
      <c r="E171" s="72">
        <v>0.37</v>
      </c>
      <c r="F171" s="72">
        <v>0.37</v>
      </c>
      <c r="G171" s="72">
        <v>3</v>
      </c>
      <c r="H171" s="22" t="s">
        <v>325</v>
      </c>
      <c r="I171" s="18"/>
      <c r="J171" s="18"/>
      <c r="K171" s="18"/>
      <c r="L171" s="18"/>
      <c r="M171" s="18"/>
      <c r="N171" s="18"/>
      <c r="O171" s="18"/>
      <c r="P171" s="18"/>
      <c r="Q171" s="332">
        <v>80680090370</v>
      </c>
      <c r="R171" s="333">
        <v>80680090370</v>
      </c>
    </row>
    <row r="172" spans="1:18" x14ac:dyDescent="0.25">
      <c r="A172" s="446">
        <v>17</v>
      </c>
      <c r="B172" s="698" t="s">
        <v>752</v>
      </c>
      <c r="C172" s="476" t="s">
        <v>846</v>
      </c>
      <c r="D172" s="72">
        <v>0</v>
      </c>
      <c r="E172" s="72">
        <v>0.7</v>
      </c>
      <c r="F172" s="72">
        <v>0.7</v>
      </c>
      <c r="G172" s="72">
        <v>3.5</v>
      </c>
      <c r="H172" s="22" t="s">
        <v>0</v>
      </c>
      <c r="I172" s="18"/>
      <c r="J172" s="18"/>
      <c r="K172" s="18"/>
      <c r="L172" s="18"/>
      <c r="M172" s="18"/>
      <c r="N172" s="18"/>
      <c r="O172" s="18"/>
      <c r="P172" s="18"/>
      <c r="Q172" s="317">
        <v>80680080211</v>
      </c>
      <c r="R172" s="318">
        <v>80680080211</v>
      </c>
    </row>
    <row r="173" spans="1:18" x14ac:dyDescent="0.25">
      <c r="A173" s="448"/>
      <c r="B173" s="700"/>
      <c r="C173" s="476" t="s">
        <v>846</v>
      </c>
      <c r="D173" s="72">
        <v>0.7</v>
      </c>
      <c r="E173" s="72">
        <v>1.06</v>
      </c>
      <c r="F173" s="72">
        <v>0.36</v>
      </c>
      <c r="G173" s="72">
        <v>3</v>
      </c>
      <c r="H173" s="22" t="s">
        <v>325</v>
      </c>
      <c r="I173" s="18"/>
      <c r="J173" s="18"/>
      <c r="K173" s="18"/>
      <c r="L173" s="18"/>
      <c r="M173" s="18"/>
      <c r="N173" s="18"/>
      <c r="O173" s="18"/>
      <c r="P173" s="18"/>
      <c r="Q173" s="319">
        <v>80680080211</v>
      </c>
      <c r="R173" s="320">
        <v>80680080211</v>
      </c>
    </row>
    <row r="174" spans="1:18" ht="23.25" x14ac:dyDescent="0.25">
      <c r="A174" s="448">
        <v>18</v>
      </c>
      <c r="B174" s="701" t="s">
        <v>753</v>
      </c>
      <c r="C174" s="405" t="s">
        <v>846</v>
      </c>
      <c r="D174" s="72">
        <v>0</v>
      </c>
      <c r="E174" s="72">
        <v>0.32</v>
      </c>
      <c r="F174" s="72">
        <v>0.32</v>
      </c>
      <c r="G174" s="72">
        <v>3</v>
      </c>
      <c r="H174" s="22" t="s">
        <v>325</v>
      </c>
      <c r="I174" s="18"/>
      <c r="J174" s="18"/>
      <c r="K174" s="18"/>
      <c r="L174" s="18"/>
      <c r="M174" s="18"/>
      <c r="N174" s="18"/>
      <c r="O174" s="18"/>
      <c r="P174" s="18"/>
      <c r="Q174" s="323">
        <v>80680080212</v>
      </c>
      <c r="R174" s="324">
        <v>80680080212</v>
      </c>
    </row>
    <row r="175" spans="1:18" ht="23.25" x14ac:dyDescent="0.25">
      <c r="A175" s="446">
        <v>19</v>
      </c>
      <c r="B175" s="733" t="s">
        <v>754</v>
      </c>
      <c r="C175" s="405" t="s">
        <v>846</v>
      </c>
      <c r="D175" s="72">
        <v>0</v>
      </c>
      <c r="E175" s="72">
        <v>0.37</v>
      </c>
      <c r="F175" s="72">
        <v>0.37</v>
      </c>
      <c r="G175" s="72">
        <v>3</v>
      </c>
      <c r="H175" s="22" t="s">
        <v>0</v>
      </c>
      <c r="I175" s="18"/>
      <c r="J175" s="18"/>
      <c r="K175" s="18"/>
      <c r="L175" s="18"/>
      <c r="M175" s="18"/>
      <c r="N175" s="18"/>
      <c r="O175" s="18"/>
      <c r="P175" s="18"/>
      <c r="Q175" s="323">
        <v>80680080210</v>
      </c>
      <c r="R175" s="324">
        <v>80680080210</v>
      </c>
    </row>
    <row r="176" spans="1:18" x14ac:dyDescent="0.25">
      <c r="A176" s="446">
        <v>20</v>
      </c>
      <c r="B176" s="698" t="s">
        <v>755</v>
      </c>
      <c r="C176" s="476" t="s">
        <v>846</v>
      </c>
      <c r="D176" s="72">
        <v>0</v>
      </c>
      <c r="E176" s="72">
        <v>0.22</v>
      </c>
      <c r="F176" s="72">
        <v>0.22</v>
      </c>
      <c r="G176" s="72">
        <v>3</v>
      </c>
      <c r="H176" s="22" t="s">
        <v>0</v>
      </c>
      <c r="I176" s="18"/>
      <c r="J176" s="18"/>
      <c r="K176" s="18"/>
      <c r="L176" s="18"/>
      <c r="M176" s="18"/>
      <c r="N176" s="18"/>
      <c r="O176" s="18"/>
      <c r="P176" s="18"/>
      <c r="Q176" s="317">
        <v>80680080208</v>
      </c>
      <c r="R176" s="318">
        <v>80680080208</v>
      </c>
    </row>
    <row r="177" spans="1:32" x14ac:dyDescent="0.25">
      <c r="A177" s="447"/>
      <c r="B177" s="704"/>
      <c r="C177" s="476" t="s">
        <v>846</v>
      </c>
      <c r="D177" s="72">
        <v>0.22</v>
      </c>
      <c r="E177" s="72">
        <v>0.88</v>
      </c>
      <c r="F177" s="72">
        <v>0.66</v>
      </c>
      <c r="G177" s="72">
        <v>3</v>
      </c>
      <c r="H177" s="22" t="s">
        <v>0</v>
      </c>
      <c r="I177" s="18"/>
      <c r="J177" s="18"/>
      <c r="K177" s="18"/>
      <c r="L177" s="18"/>
      <c r="M177" s="18"/>
      <c r="N177" s="18"/>
      <c r="O177" s="18"/>
      <c r="P177" s="18"/>
      <c r="Q177" s="321"/>
      <c r="R177" s="339" t="s">
        <v>733</v>
      </c>
    </row>
    <row r="178" spans="1:32" x14ac:dyDescent="0.25">
      <c r="A178" s="448"/>
      <c r="B178" s="700"/>
      <c r="C178" s="476" t="s">
        <v>846</v>
      </c>
      <c r="D178" s="72">
        <v>0.88</v>
      </c>
      <c r="E178" s="72">
        <v>1.42</v>
      </c>
      <c r="F178" s="72">
        <v>0.54</v>
      </c>
      <c r="G178" s="72">
        <v>3</v>
      </c>
      <c r="H178" s="22" t="s">
        <v>325</v>
      </c>
      <c r="I178" s="18"/>
      <c r="J178" s="18"/>
      <c r="K178" s="18"/>
      <c r="L178" s="18"/>
      <c r="M178" s="18"/>
      <c r="N178" s="18"/>
      <c r="O178" s="18"/>
      <c r="P178" s="18"/>
      <c r="Q178" s="319">
        <v>80680080208</v>
      </c>
      <c r="R178" s="320">
        <v>80680080209</v>
      </c>
    </row>
    <row r="179" spans="1:32" x14ac:dyDescent="0.25">
      <c r="A179" s="448">
        <v>21</v>
      </c>
      <c r="B179" s="701" t="s">
        <v>756</v>
      </c>
      <c r="C179" s="405" t="s">
        <v>846</v>
      </c>
      <c r="D179" s="72">
        <v>0</v>
      </c>
      <c r="E179" s="72">
        <v>0.46</v>
      </c>
      <c r="F179" s="72">
        <v>0.46</v>
      </c>
      <c r="G179" s="72">
        <v>3</v>
      </c>
      <c r="H179" s="22" t="s">
        <v>0</v>
      </c>
      <c r="I179" s="18"/>
      <c r="J179" s="18"/>
      <c r="K179" s="18"/>
      <c r="L179" s="18"/>
      <c r="M179" s="18"/>
      <c r="N179" s="18"/>
      <c r="O179" s="18"/>
      <c r="P179" s="18"/>
      <c r="Q179" s="323">
        <v>80680100145</v>
      </c>
      <c r="R179" s="324">
        <v>80680100145</v>
      </c>
    </row>
    <row r="180" spans="1:32" ht="23.25" x14ac:dyDescent="0.25">
      <c r="A180" s="27">
        <v>22</v>
      </c>
      <c r="B180" s="702" t="s">
        <v>757</v>
      </c>
      <c r="C180" s="405" t="s">
        <v>846</v>
      </c>
      <c r="D180" s="72">
        <v>0</v>
      </c>
      <c r="E180" s="72">
        <v>0.77</v>
      </c>
      <c r="F180" s="72">
        <v>0.77</v>
      </c>
      <c r="G180" s="72">
        <v>4</v>
      </c>
      <c r="H180" s="22" t="s">
        <v>4</v>
      </c>
      <c r="I180" s="18"/>
      <c r="J180" s="18"/>
      <c r="K180" s="18"/>
      <c r="L180" s="18"/>
      <c r="M180" s="18"/>
      <c r="N180" s="18"/>
      <c r="O180" s="18"/>
      <c r="P180" s="18"/>
      <c r="Q180" s="323"/>
      <c r="R180" s="331" t="s">
        <v>734</v>
      </c>
      <c r="AA180" t="s">
        <v>1097</v>
      </c>
    </row>
    <row r="181" spans="1:32" ht="23.25" x14ac:dyDescent="0.25">
      <c r="C181" s="438"/>
      <c r="K181" s="53" t="s">
        <v>268</v>
      </c>
      <c r="L181" s="50">
        <f>SUM(L151:L180)</f>
        <v>0</v>
      </c>
      <c r="M181" s="50">
        <f>SUM(M151:M180)</f>
        <v>0</v>
      </c>
      <c r="N181" s="55"/>
      <c r="O181" s="53" t="s">
        <v>269</v>
      </c>
      <c r="P181" s="50">
        <f>SUM(P151:P180)</f>
        <v>0</v>
      </c>
      <c r="S181" s="102"/>
      <c r="T181" s="625" t="s">
        <v>1092</v>
      </c>
      <c r="U181" s="625" t="s">
        <v>1093</v>
      </c>
      <c r="V181" s="625" t="s">
        <v>1094</v>
      </c>
      <c r="W181" s="625" t="s">
        <v>1095</v>
      </c>
      <c r="X181" s="625" t="s">
        <v>1096</v>
      </c>
      <c r="Y181" s="627" t="s">
        <v>269</v>
      </c>
      <c r="Z181" s="102"/>
      <c r="AA181" s="625" t="s">
        <v>1092</v>
      </c>
      <c r="AB181" s="625" t="s">
        <v>1093</v>
      </c>
      <c r="AC181" s="625" t="s">
        <v>1094</v>
      </c>
      <c r="AD181" s="625" t="s">
        <v>1095</v>
      </c>
      <c r="AE181" s="625" t="s">
        <v>1096</v>
      </c>
      <c r="AF181" s="627" t="s">
        <v>269</v>
      </c>
    </row>
    <row r="182" spans="1:32" s="1" customFormat="1" ht="11.25" x14ac:dyDescent="0.2">
      <c r="A182" s="46" t="s">
        <v>735</v>
      </c>
      <c r="B182" s="47"/>
      <c r="C182" s="47"/>
      <c r="D182" s="48"/>
      <c r="E182" s="49"/>
      <c r="F182" s="50">
        <f>SUM(F151:F180)</f>
        <v>13.52</v>
      </c>
      <c r="G182" s="688"/>
      <c r="H182" s="51"/>
      <c r="I182" s="40"/>
      <c r="J182" s="52"/>
      <c r="Q182" s="55"/>
      <c r="S182" s="628" t="s">
        <v>844</v>
      </c>
      <c r="T182" s="625" t="s">
        <v>231</v>
      </c>
      <c r="U182" s="625" t="s">
        <v>231</v>
      </c>
      <c r="V182" s="625" t="s">
        <v>231</v>
      </c>
      <c r="W182" s="625" t="s">
        <v>231</v>
      </c>
      <c r="X182" s="625" t="s">
        <v>231</v>
      </c>
      <c r="Y182" s="626" t="s">
        <v>231</v>
      </c>
      <c r="Z182" s="628"/>
      <c r="AA182" s="625" t="s">
        <v>231</v>
      </c>
      <c r="AB182" s="625" t="s">
        <v>231</v>
      </c>
      <c r="AC182" s="625" t="s">
        <v>231</v>
      </c>
      <c r="AD182" s="625" t="s">
        <v>231</v>
      </c>
      <c r="AE182" s="625" t="s">
        <v>231</v>
      </c>
      <c r="AF182" s="626" t="s">
        <v>231</v>
      </c>
    </row>
    <row r="183" spans="1:32" s="1" customFormat="1" ht="11.25" x14ac:dyDescent="0.2">
      <c r="A183" s="56" t="s">
        <v>270</v>
      </c>
      <c r="B183" s="57"/>
      <c r="C183" s="57"/>
      <c r="D183" s="58"/>
      <c r="E183" s="59"/>
      <c r="F183" s="266">
        <f>SUMIFS(F151:F180,H151:H180,"melnais")</f>
        <v>1.31</v>
      </c>
      <c r="G183" s="632"/>
      <c r="H183" s="61"/>
      <c r="I183" s="62"/>
      <c r="J183" s="55"/>
      <c r="K183" s="63"/>
      <c r="L183" s="64"/>
      <c r="M183" s="64"/>
      <c r="N183" s="55"/>
      <c r="O183" s="55"/>
      <c r="P183" s="55"/>
      <c r="Q183" s="55"/>
      <c r="S183" s="616" t="s">
        <v>847</v>
      </c>
      <c r="T183" s="624">
        <f>SUMIFS(F143:F180,C143:C180,"A",H143:H180,"melnais")</f>
        <v>0</v>
      </c>
      <c r="U183" s="624">
        <f>SUMIFS(F143:F180,C143:C180,"A",H143:H180,"dubultā virsma")</f>
        <v>0</v>
      </c>
      <c r="V183" s="624">
        <f>SUMIFS(F143:F180,C143:C180,"A",H143:H180,"bruģis")</f>
        <v>0</v>
      </c>
      <c r="W183" s="624">
        <f>SUMIFS(F143:F180,C143:C180,"A",H143:H180,"grants")</f>
        <v>0</v>
      </c>
      <c r="X183" s="624">
        <f>SUMIFS(F143:F180,C143:C180,"A",H143:H180,"cits segums")</f>
        <v>0</v>
      </c>
      <c r="Y183" s="624">
        <f>SUM(T183:X183)</f>
        <v>0</v>
      </c>
      <c r="Z183" s="616" t="s">
        <v>847</v>
      </c>
      <c r="AA183" s="614">
        <f>SUMIFS(F143:F180,C143:C180,"A",H143:H180,"melnais", Q143:Q180,"Nepiederošs")</f>
        <v>0</v>
      </c>
      <c r="AB183" s="614">
        <f>SUMIFS(F143:F180,C143:C180,"A",H143:H180,"dubultā virsma", Q143:Q180,"Nepiederošs")</f>
        <v>0</v>
      </c>
      <c r="AC183" s="614">
        <f>SUMIFS(F143:F180,C143:C180,"A",H143:H180,"bruģis", Q143:Q180,"Nepiederošs")</f>
        <v>0</v>
      </c>
      <c r="AD183" s="614">
        <f>SUMIFS(F143:F180,C143:C180,"A",H143:H180,"grants", Q143:Q180,"Nepiederošs")</f>
        <v>0</v>
      </c>
      <c r="AE183" s="614">
        <f>SUMIFS(F143:F180,C143:C180,"A",H143:H180,"cits segums", Q143:Q180,"Nepiederošs")</f>
        <v>0</v>
      </c>
      <c r="AF183" s="614">
        <f>SUM(AA183:AE183)</f>
        <v>0</v>
      </c>
    </row>
    <row r="184" spans="1:32" s="1" customFormat="1" ht="11.25" x14ac:dyDescent="0.2">
      <c r="A184" s="56" t="s">
        <v>271</v>
      </c>
      <c r="B184" s="57"/>
      <c r="C184" s="57"/>
      <c r="D184" s="58"/>
      <c r="E184" s="59"/>
      <c r="F184" s="266">
        <f>SUMIFS(F151:F180,H151:H180,"bruģis")</f>
        <v>0.92</v>
      </c>
      <c r="G184" s="632"/>
      <c r="H184" s="65"/>
      <c r="I184" s="40"/>
      <c r="J184" s="66"/>
      <c r="K184" s="67"/>
      <c r="L184" s="67"/>
      <c r="M184" s="67"/>
      <c r="N184" s="68"/>
      <c r="O184" s="55"/>
      <c r="P184" s="55"/>
      <c r="Q184" s="55"/>
      <c r="S184" s="617" t="s">
        <v>848</v>
      </c>
      <c r="T184" s="624">
        <f>SUMIFS(F143:F180,C143:C180,"B",H143:H180,"melnais")</f>
        <v>0</v>
      </c>
      <c r="U184" s="624">
        <f>SUMIFS(F143:F180,C143:C180,"B",H143:H180,"dubultā virsma")</f>
        <v>0</v>
      </c>
      <c r="V184" s="624">
        <f>SUMIFS(F143:F180,C143:C180,"B",H143:H180,"bruģis")</f>
        <v>0</v>
      </c>
      <c r="W184" s="624">
        <f>SUMIFS(F143:F180,C143:C180,"B",H143:H180,"grants")</f>
        <v>0</v>
      </c>
      <c r="X184" s="624">
        <f>SUMIFS(F143:F180,C143:C180,"B",H143:H180,"cits segums")</f>
        <v>0</v>
      </c>
      <c r="Y184" s="624">
        <f t="shared" ref="Y184:Y186" si="33">SUM(T184:X184)</f>
        <v>0</v>
      </c>
      <c r="Z184" s="617" t="s">
        <v>848</v>
      </c>
      <c r="AA184" s="614">
        <f>SUMIFS(F143:F180,C143:C180,"B",H143:H180,"melnais", Q143:Q180,"Nepiederošs")</f>
        <v>0</v>
      </c>
      <c r="AB184" s="614">
        <f>SUMIFS(F143:F180,C143:C180,"B",H143:H180,"dubultā virsma", Q143:Q180,"Nepiederošs")</f>
        <v>0</v>
      </c>
      <c r="AC184" s="614">
        <f>SUMIFS(F143:F180,C143:C180,"B",H143:H180,"bruģis", Q143:Q180,"Nepiederošs")</f>
        <v>0</v>
      </c>
      <c r="AD184" s="614">
        <f>SUMIFS(F143:F180,C143:C180,"B",H143:H180,"grants", Q143:Q180,"Nepiederošs")</f>
        <v>0</v>
      </c>
      <c r="AE184" s="614">
        <f>SUMIFS(F143:F180,C143:C180,"B",H143:H180,"cits segums", Q143:Q180,"Nepiederošs")</f>
        <v>0</v>
      </c>
      <c r="AF184" s="614">
        <f t="shared" ref="AF184:AF186" si="34">SUM(AA184:AE184)</f>
        <v>0</v>
      </c>
    </row>
    <row r="185" spans="1:32" s="1" customFormat="1" ht="11.25" x14ac:dyDescent="0.2">
      <c r="A185" s="56" t="s">
        <v>272</v>
      </c>
      <c r="B185" s="57"/>
      <c r="C185" s="57"/>
      <c r="D185" s="58"/>
      <c r="E185" s="59"/>
      <c r="F185" s="266">
        <f>SUMIFS(F151:F180,H151:H180,"grants")</f>
        <v>7.9</v>
      </c>
      <c r="G185" s="632"/>
      <c r="H185" s="65"/>
      <c r="I185" s="65"/>
      <c r="J185" s="66"/>
      <c r="K185" s="67"/>
      <c r="L185" s="67"/>
      <c r="M185" s="67"/>
      <c r="N185" s="68"/>
      <c r="O185" s="55"/>
      <c r="P185" s="55"/>
      <c r="Q185" s="55"/>
      <c r="S185" s="615" t="s">
        <v>845</v>
      </c>
      <c r="T185" s="624">
        <f>SUMIFS(F143:F180,C143:C180,"C",H143:H180,"melnais")</f>
        <v>0.04</v>
      </c>
      <c r="U185" s="624">
        <f>SUMIFS(F143:F180,C143:C180,"C",H143:H180,"dubultā virsma")</f>
        <v>0</v>
      </c>
      <c r="V185" s="624">
        <f>SUMIFS(F143:F180,C143:C180,"C",H143:H180,"bruģis")</f>
        <v>0</v>
      </c>
      <c r="W185" s="624">
        <f>SUMIFS(F143:F180,C143:C180,"C",H143:H180,"grants")</f>
        <v>0</v>
      </c>
      <c r="X185" s="624">
        <f>SUMIFS(F143:F180,C143:C180,"C",H143:H180,"cits segums")</f>
        <v>0</v>
      </c>
      <c r="Y185" s="624">
        <f t="shared" si="33"/>
        <v>0.04</v>
      </c>
      <c r="Z185" s="615" t="s">
        <v>845</v>
      </c>
      <c r="AA185" s="614">
        <f>SUMIFS(F143:F180,C143:C180,"C",H143:H180,"melnais", Q143:Q180,"Nepiederošs")</f>
        <v>0</v>
      </c>
      <c r="AB185" s="614">
        <f>SUMIFS(F143:F180,C143:C180,"C",H143:H180,"dubultā virsma", Q143:Q180,"Nepiederošs")</f>
        <v>0</v>
      </c>
      <c r="AC185" s="614">
        <f>SUMIFS(F143:F180,C143:C180,"C",H143:H180,"bruģis", Q143:Q180,"Nepiederošs")</f>
        <v>0</v>
      </c>
      <c r="AD185" s="614">
        <f>SUMIFS(F143:F180,C143:C180,"C",H143:H180,"grants", Q143:Q180,"Nepiederošs")</f>
        <v>0</v>
      </c>
      <c r="AE185" s="614">
        <f>SUMIFS(F143:F180,C143:C180,"C",H143:H180,"cits segums", Q143:Q180,"Nepiederošs")</f>
        <v>0</v>
      </c>
      <c r="AF185" s="614">
        <f t="shared" si="34"/>
        <v>0</v>
      </c>
    </row>
    <row r="186" spans="1:32" s="1" customFormat="1" ht="11.25" x14ac:dyDescent="0.2">
      <c r="A186" s="56" t="s">
        <v>273</v>
      </c>
      <c r="B186" s="57"/>
      <c r="C186" s="57"/>
      <c r="D186" s="58"/>
      <c r="E186" s="59"/>
      <c r="F186" s="266">
        <f>SUMIFS(F151:F180,H151:H180,"cits segums")</f>
        <v>3.3899999999999997</v>
      </c>
      <c r="G186" s="632"/>
      <c r="H186" s="69"/>
      <c r="I186" s="65"/>
      <c r="J186" s="70"/>
      <c r="K186" s="67"/>
      <c r="L186" s="67"/>
      <c r="M186" s="67"/>
      <c r="N186" s="68"/>
      <c r="O186" s="55"/>
      <c r="P186" s="55"/>
      <c r="Q186" s="55"/>
      <c r="S186" s="616" t="s">
        <v>846</v>
      </c>
      <c r="T186" s="624">
        <f>SUMIFS(F143:F180,C143:C180,"D",H143:H180,"melnais")</f>
        <v>1.27</v>
      </c>
      <c r="U186" s="624">
        <f>SUMIFS(F143:F180,C143:C180,"D",H143:H180,"dubultā virsma")</f>
        <v>0</v>
      </c>
      <c r="V186" s="624">
        <f>SUMIFS(F143:F180,C143:C180,"D",H143:H180,"bruģis")</f>
        <v>0.92</v>
      </c>
      <c r="W186" s="624">
        <f>SUMIFS(F143:F180,C143:C180,"D",H143:H180,"grants")</f>
        <v>7.9</v>
      </c>
      <c r="X186" s="624">
        <f>SUMIFS(F143:F180,C143:C180,"D",H143:H180,"cits segums")</f>
        <v>3.3899999999999997</v>
      </c>
      <c r="Y186" s="624">
        <f t="shared" si="33"/>
        <v>13.48</v>
      </c>
      <c r="Z186" s="616" t="s">
        <v>846</v>
      </c>
      <c r="AA186" s="614">
        <f>SUMIFS(F143:F180,C143:C180,"D",H143:H180,"melnais", Q143:Q180,"Nepiederošs")</f>
        <v>0</v>
      </c>
      <c r="AB186" s="614">
        <f>SUMIFS(F143:F180,C143:C180,"D",H143:H180,"dubultā virsma", Q143:Q180,"Nepiederošs")</f>
        <v>0</v>
      </c>
      <c r="AC186" s="614">
        <f>SUMIFS(F143:F180,C143:C180,"D",H143:H180,"bruģis", Q143:Q180,"Nepiederošs")</f>
        <v>0</v>
      </c>
      <c r="AD186" s="614">
        <f>SUMIFS(F143:F180,C143:C180,"D",H143:H180,"grants", Q143:Q180,"Nepiederošs")</f>
        <v>0</v>
      </c>
      <c r="AE186" s="614">
        <f>SUMIFS(F143:F180,C143:C180,"D",H143:H180,"cits segums", Q143:Q180,"Nepiederošs")</f>
        <v>0</v>
      </c>
      <c r="AF186" s="614">
        <f t="shared" si="34"/>
        <v>0</v>
      </c>
    </row>
    <row r="187" spans="1:32" x14ac:dyDescent="0.25">
      <c r="C187" s="438"/>
      <c r="T187" s="630">
        <f>SUM(T183:T186)</f>
        <v>1.31</v>
      </c>
      <c r="U187" s="630">
        <f t="shared" ref="U187:Y187" si="35">SUM(U183:U186)</f>
        <v>0</v>
      </c>
      <c r="V187" s="630">
        <f t="shared" si="35"/>
        <v>0.92</v>
      </c>
      <c r="W187" s="630">
        <f t="shared" si="35"/>
        <v>7.9</v>
      </c>
      <c r="X187" s="630">
        <f t="shared" si="35"/>
        <v>3.3899999999999997</v>
      </c>
      <c r="Y187" s="630">
        <f t="shared" si="35"/>
        <v>13.52</v>
      </c>
      <c r="AA187" s="629">
        <f>SUM(AA183:AA186)</f>
        <v>0</v>
      </c>
      <c r="AB187" s="629">
        <f t="shared" ref="AB187:AF187" si="36">SUM(AB183:AB186)</f>
        <v>0</v>
      </c>
      <c r="AC187" s="629">
        <f>SUM(AC183:AC186)</f>
        <v>0</v>
      </c>
      <c r="AD187" s="629">
        <f t="shared" si="36"/>
        <v>0</v>
      </c>
      <c r="AE187" s="629">
        <f t="shared" si="36"/>
        <v>0</v>
      </c>
      <c r="AF187" s="629">
        <f t="shared" si="36"/>
        <v>0</v>
      </c>
    </row>
    <row r="188" spans="1:32" s="32" customFormat="1" ht="15" customHeight="1" x14ac:dyDescent="0.25">
      <c r="A188" s="33"/>
      <c r="B188" s="33"/>
      <c r="C188" s="33"/>
      <c r="D188" s="781" t="s">
        <v>1061</v>
      </c>
      <c r="E188" s="781"/>
      <c r="F188" s="781"/>
      <c r="G188" s="781"/>
      <c r="H188" s="781"/>
      <c r="I188" s="781"/>
      <c r="J188" s="781"/>
      <c r="K188" s="781"/>
      <c r="L188" s="781"/>
      <c r="M188" s="781"/>
      <c r="N188" s="781"/>
      <c r="O188" s="781"/>
      <c r="P188" s="781"/>
      <c r="Q188" s="30"/>
      <c r="R188" s="37"/>
    </row>
    <row r="189" spans="1:32" s="32" customFormat="1" ht="11.25" x14ac:dyDescent="0.25">
      <c r="A189" s="33"/>
      <c r="B189" s="33"/>
      <c r="C189" s="33"/>
      <c r="D189" s="38"/>
      <c r="E189" s="29"/>
      <c r="F189" s="29"/>
      <c r="G189" s="29"/>
      <c r="H189" s="30"/>
      <c r="I189" s="28"/>
      <c r="J189" s="28"/>
      <c r="K189" s="28"/>
      <c r="L189" s="28"/>
      <c r="M189" s="28"/>
      <c r="N189" s="39"/>
      <c r="O189" s="39"/>
      <c r="P189" s="28"/>
      <c r="Q189" s="28"/>
      <c r="R189" s="37"/>
    </row>
    <row r="190" spans="1:32" s="40" customFormat="1" ht="5.25" customHeight="1" x14ac:dyDescent="0.2">
      <c r="A190" s="44"/>
      <c r="B190" s="732"/>
      <c r="C190" s="39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</row>
    <row r="191" spans="1:32" s="40" customFormat="1" ht="12.75" customHeight="1" x14ac:dyDescent="0.2">
      <c r="A191" s="782" t="s">
        <v>244</v>
      </c>
      <c r="B191" s="790" t="s">
        <v>245</v>
      </c>
      <c r="C191" s="413"/>
      <c r="D191" s="793" t="s">
        <v>246</v>
      </c>
      <c r="E191" s="794"/>
      <c r="F191" s="794"/>
      <c r="G191" s="794"/>
      <c r="H191" s="794"/>
      <c r="I191" s="794"/>
      <c r="J191" s="794"/>
      <c r="K191" s="794"/>
      <c r="L191" s="794"/>
      <c r="M191" s="794"/>
      <c r="N191" s="794"/>
      <c r="O191" s="794"/>
      <c r="P191" s="784"/>
      <c r="Q191" s="795" t="s">
        <v>247</v>
      </c>
      <c r="R191" s="796"/>
    </row>
    <row r="192" spans="1:32" s="40" customFormat="1" ht="12.75" customHeight="1" x14ac:dyDescent="0.2">
      <c r="A192" s="782"/>
      <c r="B192" s="791"/>
      <c r="C192" s="395"/>
      <c r="D192" s="785" t="s">
        <v>248</v>
      </c>
      <c r="E192" s="785"/>
      <c r="F192" s="785"/>
      <c r="G192" s="785"/>
      <c r="H192" s="785"/>
      <c r="I192" s="788" t="s">
        <v>249</v>
      </c>
      <c r="J192" s="788"/>
      <c r="K192" s="788"/>
      <c r="L192" s="788"/>
      <c r="M192" s="788"/>
      <c r="N192" s="788"/>
      <c r="O192" s="788"/>
      <c r="P192" s="801" t="s">
        <v>250</v>
      </c>
      <c r="Q192" s="797"/>
      <c r="R192" s="798"/>
    </row>
    <row r="193" spans="1:18" s="40" customFormat="1" ht="15.2" customHeight="1" x14ac:dyDescent="0.2">
      <c r="A193" s="782"/>
      <c r="B193" s="791"/>
      <c r="C193" s="395"/>
      <c r="D193" s="785" t="s">
        <v>251</v>
      </c>
      <c r="E193" s="785"/>
      <c r="F193" s="786" t="s">
        <v>252</v>
      </c>
      <c r="G193" s="786" t="s">
        <v>881</v>
      </c>
      <c r="H193" s="782" t="s">
        <v>253</v>
      </c>
      <c r="I193" s="789" t="s">
        <v>254</v>
      </c>
      <c r="J193" s="788" t="s">
        <v>255</v>
      </c>
      <c r="K193" s="788"/>
      <c r="L193" s="787" t="s">
        <v>256</v>
      </c>
      <c r="M193" s="787" t="s">
        <v>257</v>
      </c>
      <c r="N193" s="787" t="s">
        <v>258</v>
      </c>
      <c r="O193" s="787" t="s">
        <v>259</v>
      </c>
      <c r="P193" s="799"/>
      <c r="Q193" s="799" t="s">
        <v>260</v>
      </c>
      <c r="R193" s="791" t="s">
        <v>261</v>
      </c>
    </row>
    <row r="194" spans="1:18" s="40" customFormat="1" ht="58.5" customHeight="1" x14ac:dyDescent="0.2">
      <c r="A194" s="782"/>
      <c r="B194" s="792"/>
      <c r="C194" s="432" t="s">
        <v>844</v>
      </c>
      <c r="D194" s="92" t="s">
        <v>262</v>
      </c>
      <c r="E194" s="92" t="s">
        <v>263</v>
      </c>
      <c r="F194" s="786"/>
      <c r="G194" s="786"/>
      <c r="H194" s="782"/>
      <c r="I194" s="789"/>
      <c r="J194" s="93" t="s">
        <v>231</v>
      </c>
      <c r="K194" s="93" t="s">
        <v>264</v>
      </c>
      <c r="L194" s="787"/>
      <c r="M194" s="787"/>
      <c r="N194" s="787"/>
      <c r="O194" s="787"/>
      <c r="P194" s="800"/>
      <c r="Q194" s="800"/>
      <c r="R194" s="792"/>
    </row>
    <row r="195" spans="1:18" s="41" customFormat="1" ht="12" customHeight="1" x14ac:dyDescent="0.25">
      <c r="A195" s="42">
        <v>1</v>
      </c>
      <c r="B195" s="42">
        <v>2</v>
      </c>
      <c r="C195" s="42"/>
      <c r="D195" s="42">
        <v>3</v>
      </c>
      <c r="E195" s="42">
        <v>4</v>
      </c>
      <c r="F195" s="42">
        <v>5</v>
      </c>
      <c r="G195" s="42">
        <v>5.0999999999999996</v>
      </c>
      <c r="H195" s="42">
        <v>6</v>
      </c>
      <c r="I195" s="43">
        <v>7</v>
      </c>
      <c r="J195" s="43">
        <v>8</v>
      </c>
      <c r="K195" s="43">
        <v>9</v>
      </c>
      <c r="L195" s="43">
        <v>10</v>
      </c>
      <c r="M195" s="43">
        <v>11</v>
      </c>
      <c r="N195" s="43">
        <v>12</v>
      </c>
      <c r="O195" s="43">
        <v>13</v>
      </c>
      <c r="P195" s="43">
        <v>14</v>
      </c>
      <c r="Q195" s="43">
        <v>15</v>
      </c>
      <c r="R195" s="42">
        <v>16</v>
      </c>
    </row>
    <row r="196" spans="1:18" x14ac:dyDescent="0.25">
      <c r="A196" s="27">
        <v>1</v>
      </c>
      <c r="B196" s="724" t="s">
        <v>788</v>
      </c>
      <c r="C196" s="354" t="s">
        <v>846</v>
      </c>
      <c r="D196" s="340">
        <v>0</v>
      </c>
      <c r="E196" s="340">
        <v>0.57999999999999996</v>
      </c>
      <c r="F196" s="341">
        <v>0.57999999999999996</v>
      </c>
      <c r="G196" s="341">
        <v>3</v>
      </c>
      <c r="H196" s="315" t="s">
        <v>325</v>
      </c>
      <c r="I196" s="18"/>
      <c r="J196" s="18"/>
      <c r="K196" s="18"/>
      <c r="L196" s="18"/>
      <c r="M196" s="18"/>
      <c r="N196" s="18"/>
      <c r="O196" s="18"/>
      <c r="P196" s="18"/>
      <c r="Q196" s="356">
        <v>66560020698</v>
      </c>
      <c r="R196" s="356">
        <v>66560020698</v>
      </c>
    </row>
    <row r="197" spans="1:18" x14ac:dyDescent="0.25">
      <c r="A197" s="27">
        <v>2</v>
      </c>
      <c r="B197" s="724" t="s">
        <v>789</v>
      </c>
      <c r="C197" s="354" t="s">
        <v>846</v>
      </c>
      <c r="D197" s="340">
        <v>0</v>
      </c>
      <c r="E197" s="340">
        <v>1.25</v>
      </c>
      <c r="F197" s="341">
        <v>1.25</v>
      </c>
      <c r="G197" s="341">
        <v>3.5</v>
      </c>
      <c r="H197" s="334" t="s">
        <v>325</v>
      </c>
      <c r="I197" s="18"/>
      <c r="J197" s="18"/>
      <c r="K197" s="18"/>
      <c r="L197" s="18"/>
      <c r="M197" s="18"/>
      <c r="N197" s="18"/>
      <c r="O197" s="18"/>
      <c r="P197" s="18"/>
      <c r="Q197" s="356">
        <v>66560010241</v>
      </c>
      <c r="R197" s="356">
        <v>66560010241</v>
      </c>
    </row>
    <row r="198" spans="1:18" x14ac:dyDescent="0.25">
      <c r="A198" s="27">
        <v>3</v>
      </c>
      <c r="B198" s="724" t="s">
        <v>790</v>
      </c>
      <c r="C198" s="354" t="s">
        <v>846</v>
      </c>
      <c r="D198" s="340">
        <v>0</v>
      </c>
      <c r="E198" s="340">
        <v>0.63</v>
      </c>
      <c r="F198" s="341">
        <v>0.63</v>
      </c>
      <c r="G198" s="341">
        <v>3.2</v>
      </c>
      <c r="H198" s="334" t="s">
        <v>0</v>
      </c>
      <c r="I198" s="18"/>
      <c r="J198" s="18"/>
      <c r="K198" s="18"/>
      <c r="L198" s="18"/>
      <c r="M198" s="18"/>
      <c r="N198" s="18"/>
      <c r="O198" s="18"/>
      <c r="P198" s="18"/>
      <c r="Q198" s="349">
        <v>66560010239</v>
      </c>
      <c r="R198" s="349">
        <v>66560010239</v>
      </c>
    </row>
    <row r="199" spans="1:18" x14ac:dyDescent="0.25">
      <c r="A199" s="76">
        <v>4</v>
      </c>
      <c r="B199" s="741" t="s">
        <v>791</v>
      </c>
      <c r="C199" s="451" t="s">
        <v>846</v>
      </c>
      <c r="D199" s="340">
        <v>0</v>
      </c>
      <c r="E199" s="340">
        <v>0.78</v>
      </c>
      <c r="F199" s="341">
        <v>0.78</v>
      </c>
      <c r="G199" s="341">
        <v>4</v>
      </c>
      <c r="H199" s="315" t="s">
        <v>0</v>
      </c>
      <c r="I199" s="18"/>
      <c r="J199" s="18"/>
      <c r="K199" s="18"/>
      <c r="L199" s="18"/>
      <c r="M199" s="18"/>
      <c r="N199" s="18"/>
      <c r="O199" s="18"/>
      <c r="P199" s="18"/>
      <c r="Q199" s="349">
        <v>66560020372</v>
      </c>
      <c r="R199" s="349">
        <v>66560020372</v>
      </c>
    </row>
    <row r="200" spans="1:18" ht="23.25" x14ac:dyDescent="0.25">
      <c r="A200" s="76">
        <v>5</v>
      </c>
      <c r="B200" s="717" t="s">
        <v>792</v>
      </c>
      <c r="C200" s="451" t="s">
        <v>846</v>
      </c>
      <c r="D200" s="358">
        <v>0</v>
      </c>
      <c r="E200" s="340">
        <v>0.2</v>
      </c>
      <c r="F200" s="341">
        <v>0.2</v>
      </c>
      <c r="G200" s="341">
        <v>3</v>
      </c>
      <c r="H200" s="315" t="s">
        <v>325</v>
      </c>
      <c r="I200" s="18"/>
      <c r="J200" s="18"/>
      <c r="K200" s="18"/>
      <c r="L200" s="18"/>
      <c r="M200" s="18"/>
      <c r="N200" s="18"/>
      <c r="O200" s="18"/>
      <c r="P200" s="18"/>
      <c r="Q200" s="349">
        <v>66560030066</v>
      </c>
      <c r="R200" s="349">
        <v>66560040069</v>
      </c>
    </row>
    <row r="201" spans="1:18" x14ac:dyDescent="0.25">
      <c r="A201" s="89"/>
      <c r="B201" s="715"/>
      <c r="C201" s="451" t="s">
        <v>846</v>
      </c>
      <c r="D201" s="358">
        <v>0.2</v>
      </c>
      <c r="E201" s="340">
        <v>0.22</v>
      </c>
      <c r="F201" s="341">
        <v>0.02</v>
      </c>
      <c r="G201" s="341">
        <v>3</v>
      </c>
      <c r="H201" s="315" t="s">
        <v>325</v>
      </c>
      <c r="I201" s="18"/>
      <c r="J201" s="18"/>
      <c r="K201" s="18"/>
      <c r="L201" s="18"/>
      <c r="M201" s="18"/>
      <c r="N201" s="18"/>
      <c r="O201" s="18"/>
      <c r="P201" s="18"/>
      <c r="Q201" s="357">
        <v>66560040095</v>
      </c>
      <c r="R201" s="357">
        <v>66560040095</v>
      </c>
    </row>
    <row r="202" spans="1:18" x14ac:dyDescent="0.25">
      <c r="A202" s="278"/>
      <c r="B202" s="718"/>
      <c r="C202" s="451" t="s">
        <v>846</v>
      </c>
      <c r="D202" s="358">
        <v>0.45999999999999996</v>
      </c>
      <c r="E202" s="340">
        <v>0.56999999999999995</v>
      </c>
      <c r="F202" s="341">
        <v>0.11</v>
      </c>
      <c r="G202" s="341">
        <v>3</v>
      </c>
      <c r="H202" s="315" t="s">
        <v>325</v>
      </c>
      <c r="I202" s="18"/>
      <c r="J202" s="18"/>
      <c r="K202" s="18"/>
      <c r="L202" s="18"/>
      <c r="M202" s="18"/>
      <c r="N202" s="18"/>
      <c r="O202" s="18"/>
      <c r="P202" s="18"/>
      <c r="Q202" s="350">
        <v>66560040095</v>
      </c>
      <c r="R202" s="350">
        <v>66560040095</v>
      </c>
    </row>
    <row r="203" spans="1:18" x14ac:dyDescent="0.25">
      <c r="A203" s="278">
        <v>6</v>
      </c>
      <c r="B203" s="719" t="s">
        <v>793</v>
      </c>
      <c r="C203" s="451" t="s">
        <v>846</v>
      </c>
      <c r="D203" s="340">
        <v>0</v>
      </c>
      <c r="E203" s="340">
        <v>0.25</v>
      </c>
      <c r="F203" s="341">
        <v>0.25</v>
      </c>
      <c r="G203" s="341">
        <v>3</v>
      </c>
      <c r="H203" s="334" t="s">
        <v>325</v>
      </c>
      <c r="I203" s="18"/>
      <c r="J203" s="18"/>
      <c r="K203" s="18"/>
      <c r="L203" s="18"/>
      <c r="M203" s="18"/>
      <c r="N203" s="18"/>
      <c r="O203" s="18"/>
      <c r="P203" s="18"/>
      <c r="Q203" s="342">
        <v>66560040087</v>
      </c>
      <c r="R203" s="342">
        <v>66560040087</v>
      </c>
    </row>
    <row r="204" spans="1:18" ht="17.25" customHeight="1" x14ac:dyDescent="0.25">
      <c r="A204" s="27">
        <v>7</v>
      </c>
      <c r="B204" s="724" t="s">
        <v>794</v>
      </c>
      <c r="C204" s="451" t="s">
        <v>846</v>
      </c>
      <c r="D204" s="340">
        <v>0</v>
      </c>
      <c r="E204" s="340">
        <v>0.22</v>
      </c>
      <c r="F204" s="341">
        <v>0.22</v>
      </c>
      <c r="G204" s="341">
        <v>3</v>
      </c>
      <c r="H204" s="334" t="s">
        <v>0</v>
      </c>
      <c r="I204" s="18"/>
      <c r="J204" s="18"/>
      <c r="K204" s="18"/>
      <c r="L204" s="18"/>
      <c r="M204" s="18"/>
      <c r="N204" s="18"/>
      <c r="O204" s="18"/>
      <c r="P204" s="18"/>
      <c r="Q204" s="342"/>
      <c r="R204" s="362" t="s">
        <v>787</v>
      </c>
    </row>
    <row r="205" spans="1:18" x14ac:dyDescent="0.25">
      <c r="A205" s="27">
        <v>8</v>
      </c>
      <c r="B205" s="724" t="s">
        <v>795</v>
      </c>
      <c r="C205" s="451" t="s">
        <v>846</v>
      </c>
      <c r="D205" s="340">
        <v>0</v>
      </c>
      <c r="E205" s="340">
        <v>0.85</v>
      </c>
      <c r="F205" s="341">
        <v>0.85</v>
      </c>
      <c r="G205" s="341">
        <v>4</v>
      </c>
      <c r="H205" s="334" t="s">
        <v>0</v>
      </c>
      <c r="I205" s="18"/>
      <c r="J205" s="18"/>
      <c r="K205" s="18"/>
      <c r="L205" s="18"/>
      <c r="M205" s="18"/>
      <c r="N205" s="18"/>
      <c r="O205" s="18"/>
      <c r="P205" s="18"/>
      <c r="Q205" s="342">
        <v>66560050104</v>
      </c>
      <c r="R205" s="342">
        <v>66560050104</v>
      </c>
    </row>
    <row r="206" spans="1:18" x14ac:dyDescent="0.25">
      <c r="A206" s="27">
        <v>9</v>
      </c>
      <c r="B206" s="724" t="s">
        <v>796</v>
      </c>
      <c r="C206" s="451" t="s">
        <v>846</v>
      </c>
      <c r="D206" s="340">
        <v>0</v>
      </c>
      <c r="E206" s="340">
        <v>1.64</v>
      </c>
      <c r="F206" s="341">
        <v>1.64</v>
      </c>
      <c r="G206" s="341">
        <v>3</v>
      </c>
      <c r="H206" s="334" t="s">
        <v>325</v>
      </c>
      <c r="I206" s="18"/>
      <c r="J206" s="18"/>
      <c r="K206" s="18"/>
      <c r="L206" s="18"/>
      <c r="M206" s="18"/>
      <c r="N206" s="18"/>
      <c r="O206" s="18"/>
      <c r="P206" s="18"/>
      <c r="Q206" s="342">
        <v>66560060184</v>
      </c>
      <c r="R206" s="342">
        <v>66560060184</v>
      </c>
    </row>
    <row r="207" spans="1:18" x14ac:dyDescent="0.25">
      <c r="A207" s="27">
        <v>10</v>
      </c>
      <c r="B207" s="724" t="s">
        <v>797</v>
      </c>
      <c r="C207" s="451" t="s">
        <v>846</v>
      </c>
      <c r="D207" s="340">
        <v>0</v>
      </c>
      <c r="E207" s="340">
        <v>0.9</v>
      </c>
      <c r="F207" s="341">
        <v>0.9</v>
      </c>
      <c r="G207" s="341">
        <v>3</v>
      </c>
      <c r="H207" s="334" t="s">
        <v>325</v>
      </c>
      <c r="I207" s="18"/>
      <c r="J207" s="18"/>
      <c r="K207" s="18"/>
      <c r="L207" s="18"/>
      <c r="M207" s="18"/>
      <c r="N207" s="18"/>
      <c r="O207" s="18"/>
      <c r="P207" s="18"/>
      <c r="Q207" s="342">
        <v>66560060181</v>
      </c>
      <c r="R207" s="342">
        <v>66560060181</v>
      </c>
    </row>
    <row r="208" spans="1:18" x14ac:dyDescent="0.25">
      <c r="A208" s="76">
        <v>11</v>
      </c>
      <c r="B208" s="720" t="s">
        <v>798</v>
      </c>
      <c r="C208" s="451" t="s">
        <v>846</v>
      </c>
      <c r="D208" s="340">
        <v>0</v>
      </c>
      <c r="E208" s="340">
        <v>1.75</v>
      </c>
      <c r="F208" s="341">
        <v>1.75</v>
      </c>
      <c r="G208" s="341">
        <v>3</v>
      </c>
      <c r="H208" s="334" t="s">
        <v>0</v>
      </c>
      <c r="I208" s="18"/>
      <c r="J208" s="18"/>
      <c r="K208" s="18"/>
      <c r="L208" s="18"/>
      <c r="M208" s="18"/>
      <c r="N208" s="18"/>
      <c r="O208" s="18"/>
      <c r="P208" s="18"/>
      <c r="Q208" s="342">
        <v>66560060182</v>
      </c>
      <c r="R208" s="342">
        <v>66560060182</v>
      </c>
    </row>
    <row r="209" spans="1:32" x14ac:dyDescent="0.25">
      <c r="A209" s="76">
        <v>12</v>
      </c>
      <c r="B209" s="717" t="s">
        <v>799</v>
      </c>
      <c r="C209" s="451" t="s">
        <v>846</v>
      </c>
      <c r="D209" s="358">
        <v>0</v>
      </c>
      <c r="E209" s="340">
        <v>1.24</v>
      </c>
      <c r="F209" s="341">
        <v>1.24</v>
      </c>
      <c r="G209" s="341">
        <v>3</v>
      </c>
      <c r="H209" s="334" t="s">
        <v>325</v>
      </c>
      <c r="I209" s="18"/>
      <c r="J209" s="18"/>
      <c r="K209" s="18"/>
      <c r="L209" s="18"/>
      <c r="M209" s="18"/>
      <c r="N209" s="18"/>
      <c r="O209" s="18"/>
      <c r="P209" s="18"/>
      <c r="Q209" s="342">
        <v>66560020560</v>
      </c>
      <c r="R209" s="342">
        <v>66560020560</v>
      </c>
    </row>
    <row r="210" spans="1:32" x14ac:dyDescent="0.25">
      <c r="A210" s="278"/>
      <c r="B210" s="718"/>
      <c r="C210" s="613" t="s">
        <v>846</v>
      </c>
      <c r="D210" s="358">
        <v>1.24</v>
      </c>
      <c r="E210" s="340">
        <f>1.24+0.15</f>
        <v>1.39</v>
      </c>
      <c r="F210" s="341">
        <v>0.15</v>
      </c>
      <c r="G210" s="341">
        <v>3</v>
      </c>
      <c r="H210" s="334" t="s">
        <v>325</v>
      </c>
      <c r="I210" s="18"/>
      <c r="J210" s="18"/>
      <c r="K210" s="18"/>
      <c r="L210" s="18"/>
      <c r="M210" s="18"/>
      <c r="N210" s="18"/>
      <c r="O210" s="18"/>
      <c r="P210" s="18"/>
      <c r="Q210" s="363">
        <v>66560020761001</v>
      </c>
      <c r="R210" s="363">
        <v>66560020761001</v>
      </c>
      <c r="AA210" t="s">
        <v>1097</v>
      </c>
    </row>
    <row r="211" spans="1:32" ht="23.25" x14ac:dyDescent="0.25">
      <c r="K211" s="53" t="s">
        <v>268</v>
      </c>
      <c r="L211" s="50">
        <f>SUM(L196:L210)</f>
        <v>0</v>
      </c>
      <c r="M211" s="50">
        <f>SUM(M196:M210)</f>
        <v>0</v>
      </c>
      <c r="N211" s="55"/>
      <c r="O211" s="53" t="s">
        <v>269</v>
      </c>
      <c r="P211" s="50">
        <f>SUM(P196:P210)</f>
        <v>0</v>
      </c>
      <c r="S211" s="102"/>
      <c r="T211" s="625" t="s">
        <v>1092</v>
      </c>
      <c r="U211" s="625" t="s">
        <v>1093</v>
      </c>
      <c r="V211" s="625" t="s">
        <v>1094</v>
      </c>
      <c r="W211" s="625" t="s">
        <v>1095</v>
      </c>
      <c r="X211" s="625" t="s">
        <v>1096</v>
      </c>
      <c r="Y211" s="627" t="s">
        <v>269</v>
      </c>
      <c r="Z211" s="102"/>
      <c r="AA211" s="625" t="s">
        <v>1092</v>
      </c>
      <c r="AB211" s="625" t="s">
        <v>1093</v>
      </c>
      <c r="AC211" s="625" t="s">
        <v>1094</v>
      </c>
      <c r="AD211" s="625" t="s">
        <v>1095</v>
      </c>
      <c r="AE211" s="625" t="s">
        <v>1096</v>
      </c>
      <c r="AF211" s="627" t="s">
        <v>269</v>
      </c>
    </row>
    <row r="212" spans="1:32" s="1" customFormat="1" ht="11.25" x14ac:dyDescent="0.2">
      <c r="A212" s="46" t="s">
        <v>800</v>
      </c>
      <c r="B212" s="47"/>
      <c r="C212" s="47"/>
      <c r="D212" s="48"/>
      <c r="E212" s="49"/>
      <c r="F212" s="50">
        <f>SUM(F196:F210)</f>
        <v>10.57</v>
      </c>
      <c r="G212" s="688"/>
      <c r="H212" s="51"/>
      <c r="I212" s="40"/>
      <c r="J212" s="52"/>
      <c r="Q212" s="55"/>
      <c r="S212" s="628" t="s">
        <v>844</v>
      </c>
      <c r="T212" s="625" t="s">
        <v>231</v>
      </c>
      <c r="U212" s="625" t="s">
        <v>231</v>
      </c>
      <c r="V212" s="625" t="s">
        <v>231</v>
      </c>
      <c r="W212" s="625" t="s">
        <v>231</v>
      </c>
      <c r="X212" s="625" t="s">
        <v>231</v>
      </c>
      <c r="Y212" s="626" t="s">
        <v>231</v>
      </c>
      <c r="Z212" s="628"/>
      <c r="AA212" s="625" t="s">
        <v>231</v>
      </c>
      <c r="AB212" s="625" t="s">
        <v>231</v>
      </c>
      <c r="AC212" s="625" t="s">
        <v>231</v>
      </c>
      <c r="AD212" s="625" t="s">
        <v>231</v>
      </c>
      <c r="AE212" s="625" t="s">
        <v>231</v>
      </c>
      <c r="AF212" s="626" t="s">
        <v>231</v>
      </c>
    </row>
    <row r="213" spans="1:32" s="1" customFormat="1" ht="11.25" x14ac:dyDescent="0.2">
      <c r="A213" s="56" t="s">
        <v>270</v>
      </c>
      <c r="B213" s="57"/>
      <c r="C213" s="57"/>
      <c r="D213" s="58"/>
      <c r="E213" s="59"/>
      <c r="F213" s="266">
        <f>SUMIFS(F196:F210,H196:H210,"melnais")</f>
        <v>0</v>
      </c>
      <c r="G213" s="632"/>
      <c r="H213" s="61"/>
      <c r="I213" s="62"/>
      <c r="J213" s="55"/>
      <c r="K213" s="63"/>
      <c r="L213" s="64"/>
      <c r="M213" s="64"/>
      <c r="N213" s="55"/>
      <c r="O213" s="55"/>
      <c r="P213" s="55"/>
      <c r="Q213" s="55"/>
      <c r="S213" s="616" t="s">
        <v>847</v>
      </c>
      <c r="T213" s="624">
        <f>SUMIFS(F184:F210,C184:C210,"A",H184:H210,"melnais")</f>
        <v>0</v>
      </c>
      <c r="U213" s="624">
        <f>SUMIFS(F184:F210,C184:C210,"A",H184:H210,"dubultā virsma")</f>
        <v>0</v>
      </c>
      <c r="V213" s="624">
        <f>SUMIFS(F184:F210,C184:C210,"A",H184:H210,"bruģis")</f>
        <v>0</v>
      </c>
      <c r="W213" s="624">
        <f>SUMIFS(F184:F210,C184:C210,"A",H184:H210,"grants")</f>
        <v>0</v>
      </c>
      <c r="X213" s="624">
        <f>SUMIFS(F184:F210,C184:C210,"A",H184:H210,"cits segums")</f>
        <v>0</v>
      </c>
      <c r="Y213" s="624">
        <f>SUM(T213:X213)</f>
        <v>0</v>
      </c>
      <c r="Z213" s="616" t="s">
        <v>847</v>
      </c>
      <c r="AA213" s="614">
        <f>SUMIFS(F184:F210,C184:C210,"A",H184:H210,"melnais", Q184:Q210,"Nepiederošs")</f>
        <v>0</v>
      </c>
      <c r="AB213" s="614">
        <f>SUMIFS(F184:F210,C184:C210,"A",H184:H210,"dubultā virsma", Q184:Q210,"Nepiederošs")</f>
        <v>0</v>
      </c>
      <c r="AC213" s="614">
        <f>SUMIFS(F184:F210,C184:C210,"A",H184:H210,"bruģis", Q184:Q210,"Nepiederošs")</f>
        <v>0</v>
      </c>
      <c r="AD213" s="614">
        <f>SUMIFS(F184:F210,C184:C210,"A",H184:H210,"grants", Q184:Q210,"Nepiederošs")</f>
        <v>0</v>
      </c>
      <c r="AE213" s="614">
        <f>SUMIFS(F184:F210,C184:C210,"A",H184:H210,"cits segums", Q184:Q210,"Nepiederošs")</f>
        <v>0</v>
      </c>
      <c r="AF213" s="614">
        <f>SUM(AA213:AE213)</f>
        <v>0</v>
      </c>
    </row>
    <row r="214" spans="1:32" s="1" customFormat="1" ht="11.25" x14ac:dyDescent="0.2">
      <c r="A214" s="56" t="s">
        <v>271</v>
      </c>
      <c r="B214" s="57"/>
      <c r="C214" s="57"/>
      <c r="D214" s="58"/>
      <c r="E214" s="59"/>
      <c r="F214" s="266">
        <f>SUMIFS(F196:F210,H196:H210,"bruģis")</f>
        <v>0</v>
      </c>
      <c r="G214" s="632"/>
      <c r="H214" s="65"/>
      <c r="I214" s="40"/>
      <c r="J214" s="66"/>
      <c r="K214" s="67"/>
      <c r="L214" s="67"/>
      <c r="M214" s="67"/>
      <c r="N214" s="68"/>
      <c r="O214" s="55"/>
      <c r="P214" s="55"/>
      <c r="Q214" s="55"/>
      <c r="S214" s="617" t="s">
        <v>848</v>
      </c>
      <c r="T214" s="624">
        <f>SUMIFS(F184:F210,C184:C210,"B",H184:H210,"melnais")</f>
        <v>0</v>
      </c>
      <c r="U214" s="624">
        <f>SUMIFS(F184:F210,C184:C210,"B",H184:H210,"dubultā virsma")</f>
        <v>0</v>
      </c>
      <c r="V214" s="624">
        <f>SUMIFS(F184:F210,C184:C210,"B",H184:H210,"bruģis")</f>
        <v>0</v>
      </c>
      <c r="W214" s="624">
        <f>SUMIFS(F184:F210,C184:C210,"B",H184:H210,"grants")</f>
        <v>0</v>
      </c>
      <c r="X214" s="624">
        <f>SUMIFS(F184:F210,C184:C210,"B",H184:H210,"cits segums")</f>
        <v>0</v>
      </c>
      <c r="Y214" s="624">
        <f t="shared" ref="Y214:Y216" si="37">SUM(T214:X214)</f>
        <v>0</v>
      </c>
      <c r="Z214" s="617" t="s">
        <v>848</v>
      </c>
      <c r="AA214" s="614">
        <f>SUMIFS(F184:F210,C184:C210,"B",H184:H210,"melnais", Q184:Q210,"Nepiederošs")</f>
        <v>0</v>
      </c>
      <c r="AB214" s="614">
        <f>SUMIFS(F184:F210,C184:C210,"B",H184:H210,"dubultā virsma", Q184:Q210,"Nepiederošs")</f>
        <v>0</v>
      </c>
      <c r="AC214" s="614">
        <f>SUMIFS(F184:F210,C184:C210,"B",H184:H210,"bruģis", Q184:Q210,"Nepiederošs")</f>
        <v>0</v>
      </c>
      <c r="AD214" s="614">
        <f>SUMIFS(F184:F210,C184:C210,"B",H184:H210,"grants", Q184:Q210,"Nepiederošs")</f>
        <v>0</v>
      </c>
      <c r="AE214" s="614">
        <f>SUMIFS(F184:F210,C184:C210,"B",H184:H210,"cits segums", Q184:Q210,"Nepiederošs")</f>
        <v>0</v>
      </c>
      <c r="AF214" s="614">
        <f t="shared" ref="AF214:AF216" si="38">SUM(AA214:AE214)</f>
        <v>0</v>
      </c>
    </row>
    <row r="215" spans="1:32" s="1" customFormat="1" ht="11.25" x14ac:dyDescent="0.2">
      <c r="A215" s="56" t="s">
        <v>272</v>
      </c>
      <c r="B215" s="57"/>
      <c r="C215" s="57"/>
      <c r="D215" s="58"/>
      <c r="E215" s="59"/>
      <c r="F215" s="266">
        <f>SUMIFS(F196:F210,H196:H210,"grants")</f>
        <v>4.2300000000000004</v>
      </c>
      <c r="G215" s="632"/>
      <c r="H215" s="65"/>
      <c r="I215" s="65"/>
      <c r="J215" s="66"/>
      <c r="K215" s="53" t="s">
        <v>268</v>
      </c>
      <c r="L215" s="50">
        <f>L211+L181+L136+L104+L61+L38</f>
        <v>0</v>
      </c>
      <c r="M215" s="50">
        <f>M211+M181+M136+M104+M61+M38</f>
        <v>0</v>
      </c>
      <c r="N215" s="55"/>
      <c r="O215" s="53" t="s">
        <v>269</v>
      </c>
      <c r="P215" s="50">
        <f>P211+P181+P136+P104+P61+P38</f>
        <v>0</v>
      </c>
      <c r="Q215" s="55"/>
      <c r="S215" s="615" t="s">
        <v>845</v>
      </c>
      <c r="T215" s="624">
        <f>SUMIFS(F184:F210,C184:C210,"C",H184:H210,"melnais")</f>
        <v>0</v>
      </c>
      <c r="U215" s="624">
        <f>SUMIFS(F184:F210,C184:C210,"C",H184:H210,"dubultā virsma")</f>
        <v>0</v>
      </c>
      <c r="V215" s="624">
        <f>SUMIFS(F184:F210,C184:C210,"C",H184:H210,"bruģis")</f>
        <v>0</v>
      </c>
      <c r="W215" s="624">
        <f>SUMIFS(F184:F210,C184:C210,"C",H184:H210,"grants")</f>
        <v>0</v>
      </c>
      <c r="X215" s="624">
        <f>SUMIFS(F184:F210,C184:C210,"C",H184:H210,"cits segums")</f>
        <v>0</v>
      </c>
      <c r="Y215" s="624">
        <f t="shared" si="37"/>
        <v>0</v>
      </c>
      <c r="Z215" s="615" t="s">
        <v>845</v>
      </c>
      <c r="AA215" s="614">
        <f>SUMIFS(F184:F210,C184:C210,"C",H184:H210,"melnais", Q184:Q210,"Nepiederošs")</f>
        <v>0</v>
      </c>
      <c r="AB215" s="614">
        <f>SUMIFS(F184:F210,C184:C210,"C",H184:H210,"dubultā virsma", Q184:Q210,"Nepiederošs")</f>
        <v>0</v>
      </c>
      <c r="AC215" s="614">
        <f>SUMIFS(F184:F210,C184:C210,"C",H184:H210,"bruģis", Q184:Q210,"Nepiederošs")</f>
        <v>0</v>
      </c>
      <c r="AD215" s="614">
        <f>SUMIFS(F184:F210,C184:C210,"C",H184:H210,"grants", Q184:Q210,"Nepiederošs")</f>
        <v>0</v>
      </c>
      <c r="AE215" s="614">
        <f>SUMIFS(F184:F210,C184:C210,"C",H184:H210,"cits segums", Q184:Q210,"Nepiederošs")</f>
        <v>0</v>
      </c>
      <c r="AF215" s="614">
        <f t="shared" si="38"/>
        <v>0</v>
      </c>
    </row>
    <row r="216" spans="1:32" s="1" customFormat="1" ht="11.25" x14ac:dyDescent="0.2">
      <c r="A216" s="56" t="s">
        <v>273</v>
      </c>
      <c r="B216" s="57"/>
      <c r="C216" s="57"/>
      <c r="D216" s="58"/>
      <c r="E216" s="59"/>
      <c r="F216" s="266">
        <f>SUMIFS(F196:F210,H196:H210,"cits segums")</f>
        <v>6.3400000000000007</v>
      </c>
      <c r="G216" s="632"/>
      <c r="H216" s="69"/>
      <c r="I216" s="65"/>
      <c r="J216" s="70"/>
      <c r="K216" s="67"/>
      <c r="L216" s="67"/>
      <c r="M216" s="67"/>
      <c r="N216" s="68"/>
      <c r="O216" s="55"/>
      <c r="P216" s="55"/>
      <c r="Q216" s="55"/>
      <c r="S216" s="616" t="s">
        <v>846</v>
      </c>
      <c r="T216" s="624">
        <f>SUMIFS(F184:F210,C184:C210,"D",H184:H210,"melnais")</f>
        <v>0</v>
      </c>
      <c r="U216" s="624">
        <f>SUMIFS(F184:F210,C184:C210,"D",H184:H210,"dubultā virsma")</f>
        <v>0</v>
      </c>
      <c r="V216" s="624">
        <f>SUMIFS(F184:F210,C184:C210,"D",H184:H210,"bruģis")</f>
        <v>0</v>
      </c>
      <c r="W216" s="624">
        <f>SUMIFS(F184:F210,C184:C210,"D",H184:H210,"grants")</f>
        <v>4.2300000000000004</v>
      </c>
      <c r="X216" s="624">
        <f>SUMIFS(F184:F210,C184:C210,"D",H184:H210,"cits segums")</f>
        <v>6.3400000000000007</v>
      </c>
      <c r="Y216" s="624">
        <f t="shared" si="37"/>
        <v>10.57</v>
      </c>
      <c r="Z216" s="616" t="s">
        <v>846</v>
      </c>
      <c r="AA216" s="614">
        <f>SUMIFS(F184:F210,C184:C210,"D",H184:H210,"melnais", Q184:Q210,"Nepiederošs")</f>
        <v>0</v>
      </c>
      <c r="AB216" s="614">
        <f>SUMIFS(F184:F210,C184:C210,"D",H184:H210,"dubultā virsma", Q184:Q210,"Nepiederošs")</f>
        <v>0</v>
      </c>
      <c r="AC216" s="614">
        <f>SUMIFS(F184:F210,C184:C210,"D",H184:H210,"bruģis", Q184:Q210,"Nepiederošs")</f>
        <v>0</v>
      </c>
      <c r="AD216" s="614">
        <f>SUMIFS(F184:F210,C184:C210,"D",H184:H210,"grants", Q184:Q210,"Nepiederošs")</f>
        <v>0</v>
      </c>
      <c r="AE216" s="614">
        <f>SUMIFS(F184:F210,C184:C210,"D",H184:H210,"cits segums", Q184:Q210,"Nepiederošs")</f>
        <v>0</v>
      </c>
      <c r="AF216" s="614">
        <f t="shared" si="38"/>
        <v>0</v>
      </c>
    </row>
    <row r="217" spans="1:32" x14ac:dyDescent="0.25">
      <c r="T217" s="630">
        <f>SUM(T213:T216)</f>
        <v>0</v>
      </c>
      <c r="U217" s="630">
        <f t="shared" ref="U217" si="39">SUM(U213:U216)</f>
        <v>0</v>
      </c>
      <c r="V217" s="630">
        <f t="shared" ref="V217" si="40">SUM(V213:V216)</f>
        <v>0</v>
      </c>
      <c r="W217" s="630">
        <f t="shared" ref="W217" si="41">SUM(W213:W216)</f>
        <v>4.2300000000000004</v>
      </c>
      <c r="X217" s="630">
        <f t="shared" ref="X217" si="42">SUM(X213:X216)</f>
        <v>6.3400000000000007</v>
      </c>
      <c r="Y217" s="630">
        <f t="shared" ref="Y217" si="43">SUM(Y213:Y216)</f>
        <v>10.57</v>
      </c>
      <c r="AA217" s="629">
        <f>SUM(AA213:AA216)</f>
        <v>0</v>
      </c>
      <c r="AB217" s="629">
        <f t="shared" ref="AB217" si="44">SUM(AB213:AB216)</f>
        <v>0</v>
      </c>
      <c r="AC217" s="629">
        <f>SUM(AC213:AC216)</f>
        <v>0</v>
      </c>
      <c r="AD217" s="629">
        <f t="shared" ref="AD217" si="45">SUM(AD213:AD216)</f>
        <v>0</v>
      </c>
      <c r="AE217" s="629">
        <f t="shared" ref="AE217" si="46">SUM(AE213:AE216)</f>
        <v>0</v>
      </c>
      <c r="AF217" s="629">
        <f t="shared" ref="AF217" si="47">SUM(AF213:AF216)</f>
        <v>0</v>
      </c>
    </row>
    <row r="218" spans="1:32" s="1" customFormat="1" ht="11.25" x14ac:dyDescent="0.2">
      <c r="A218" s="46" t="s">
        <v>842</v>
      </c>
      <c r="B218" s="47"/>
      <c r="C218" s="47"/>
      <c r="D218" s="48"/>
      <c r="E218" s="49"/>
      <c r="F218" s="50">
        <f>F212+F182+F137+F105+F62+F39</f>
        <v>71.260000000000005</v>
      </c>
      <c r="G218" s="688"/>
      <c r="H218" s="51"/>
      <c r="I218" s="40"/>
      <c r="J218" s="52"/>
      <c r="Q218" s="55"/>
    </row>
    <row r="219" spans="1:32" s="1" customFormat="1" ht="11.25" x14ac:dyDescent="0.2">
      <c r="A219" s="56" t="s">
        <v>270</v>
      </c>
      <c r="B219" s="57"/>
      <c r="C219" s="57"/>
      <c r="D219" s="58"/>
      <c r="E219" s="59"/>
      <c r="F219" s="60">
        <f>F213+F183+F138+F106+F63+F40</f>
        <v>1.9300000000000002</v>
      </c>
      <c r="G219" s="81"/>
      <c r="H219" s="61"/>
      <c r="I219" s="62"/>
      <c r="J219" s="55"/>
      <c r="K219" s="63"/>
      <c r="L219" s="64"/>
      <c r="M219" s="64"/>
      <c r="N219" s="55"/>
      <c r="O219" s="55"/>
      <c r="P219" s="55"/>
      <c r="Q219" s="55"/>
    </row>
    <row r="220" spans="1:32" s="1" customFormat="1" ht="11.25" x14ac:dyDescent="0.2">
      <c r="A220" s="56" t="s">
        <v>271</v>
      </c>
      <c r="B220" s="57"/>
      <c r="C220" s="57"/>
      <c r="D220" s="58"/>
      <c r="E220" s="59"/>
      <c r="F220" s="60">
        <f>F214+F184+F139+F107+F64+F41</f>
        <v>0.92</v>
      </c>
      <c r="G220" s="81"/>
      <c r="H220" s="65"/>
      <c r="I220" s="40"/>
      <c r="J220" s="66"/>
      <c r="K220" s="67"/>
      <c r="L220" s="67"/>
      <c r="M220" s="67"/>
      <c r="N220" s="68"/>
      <c r="O220" s="55"/>
      <c r="P220" s="55"/>
      <c r="Q220" s="55"/>
    </row>
    <row r="221" spans="1:32" s="1" customFormat="1" ht="11.25" x14ac:dyDescent="0.2">
      <c r="A221" s="56" t="s">
        <v>272</v>
      </c>
      <c r="B221" s="57"/>
      <c r="C221" s="57"/>
      <c r="D221" s="58"/>
      <c r="E221" s="59"/>
      <c r="F221" s="60">
        <f>F215+F185+F140+F108+F65+F42</f>
        <v>55</v>
      </c>
      <c r="G221" s="81"/>
      <c r="H221" s="65"/>
      <c r="I221" s="65"/>
      <c r="J221" s="66"/>
      <c r="K221" s="67"/>
      <c r="L221" s="67"/>
      <c r="M221" s="67"/>
      <c r="N221" s="68"/>
      <c r="O221" s="55"/>
      <c r="P221" s="55"/>
      <c r="Q221" s="55"/>
    </row>
    <row r="222" spans="1:32" s="1" customFormat="1" ht="11.25" x14ac:dyDescent="0.2">
      <c r="A222" s="56" t="s">
        <v>273</v>
      </c>
      <c r="B222" s="57"/>
      <c r="C222" s="57"/>
      <c r="D222" s="58"/>
      <c r="E222" s="59"/>
      <c r="F222" s="60">
        <f>F216+F186+F141+F109+F66+F43</f>
        <v>13.41</v>
      </c>
      <c r="G222" s="81"/>
      <c r="H222" s="69"/>
      <c r="I222" s="65"/>
      <c r="J222" s="70"/>
      <c r="K222" s="67"/>
      <c r="L222" s="67"/>
      <c r="M222" s="67"/>
      <c r="N222" s="68"/>
      <c r="O222" s="55"/>
      <c r="P222" s="55"/>
      <c r="Q222" s="55"/>
    </row>
    <row r="227" spans="2:15" x14ac:dyDescent="0.25">
      <c r="B227" s="403" t="s">
        <v>835</v>
      </c>
      <c r="C227" s="403"/>
      <c r="D227" s="774"/>
      <c r="E227" s="774"/>
      <c r="F227" s="774"/>
      <c r="G227" s="689"/>
      <c r="H227" s="162"/>
      <c r="I227" s="162"/>
      <c r="J227" s="159"/>
      <c r="K227" s="159"/>
      <c r="L227" s="396"/>
      <c r="M227" s="396"/>
      <c r="N227" s="396"/>
      <c r="O227" s="63"/>
    </row>
    <row r="228" spans="2:15" x14ac:dyDescent="0.25">
      <c r="B228" s="403" t="s">
        <v>836</v>
      </c>
      <c r="C228" s="403"/>
      <c r="D228" s="399" t="s">
        <v>1270</v>
      </c>
      <c r="E228" s="399"/>
      <c r="F228" s="399"/>
      <c r="G228" s="399"/>
      <c r="H228" s="399"/>
      <c r="I228" s="399"/>
      <c r="J228" s="399"/>
      <c r="K228" s="399"/>
      <c r="L228" s="652"/>
      <c r="M228" s="397"/>
      <c r="N228" s="397"/>
      <c r="O228" s="63"/>
    </row>
    <row r="229" spans="2:15" x14ac:dyDescent="0.25">
      <c r="B229" s="403"/>
      <c r="C229" s="403"/>
      <c r="D229" s="778" t="s">
        <v>837</v>
      </c>
      <c r="E229" s="778"/>
      <c r="F229" s="778"/>
      <c r="G229" s="778"/>
      <c r="H229" s="778"/>
      <c r="I229" s="778"/>
      <c r="J229" s="778"/>
      <c r="K229" s="778"/>
      <c r="L229" s="396"/>
      <c r="M229" s="779" t="s">
        <v>838</v>
      </c>
      <c r="N229" s="779"/>
      <c r="O229" s="63"/>
    </row>
    <row r="230" spans="2:15" x14ac:dyDescent="0.25">
      <c r="B230" s="403" t="s">
        <v>835</v>
      </c>
      <c r="C230" s="403"/>
      <c r="D230" s="774"/>
      <c r="E230" s="774"/>
      <c r="F230" s="774"/>
      <c r="G230" s="689"/>
      <c r="H230" s="398"/>
      <c r="I230" s="398"/>
      <c r="J230" s="161"/>
      <c r="K230" s="161"/>
      <c r="L230" s="396"/>
      <c r="M230" s="396"/>
      <c r="N230" s="396"/>
      <c r="O230" s="63"/>
    </row>
    <row r="231" spans="2:15" x14ac:dyDescent="0.25">
      <c r="B231" s="403" t="s">
        <v>839</v>
      </c>
      <c r="C231" s="403"/>
      <c r="D231" s="780" t="s">
        <v>1099</v>
      </c>
      <c r="E231" s="780"/>
      <c r="F231" s="780"/>
      <c r="G231" s="780"/>
      <c r="H231" s="780"/>
      <c r="I231" s="780"/>
      <c r="J231" s="780"/>
      <c r="K231" s="780"/>
      <c r="L231" s="396"/>
      <c r="M231" s="397"/>
      <c r="N231" s="397"/>
      <c r="O231" s="63"/>
    </row>
    <row r="232" spans="2:15" x14ac:dyDescent="0.25">
      <c r="B232" s="403"/>
      <c r="C232" s="403"/>
      <c r="D232" s="778" t="s">
        <v>837</v>
      </c>
      <c r="E232" s="778"/>
      <c r="F232" s="778"/>
      <c r="G232" s="778"/>
      <c r="H232" s="778"/>
      <c r="I232" s="778"/>
      <c r="J232" s="778"/>
      <c r="K232" s="778"/>
      <c r="L232" s="396"/>
      <c r="M232" s="779" t="s">
        <v>838</v>
      </c>
      <c r="N232" s="779"/>
      <c r="O232" s="63"/>
    </row>
  </sheetData>
  <mergeCells count="130">
    <mergeCell ref="T2:X2"/>
    <mergeCell ref="Z2:AA2"/>
    <mergeCell ref="Q6:R7"/>
    <mergeCell ref="D7:H7"/>
    <mergeCell ref="I7:O7"/>
    <mergeCell ref="P7:P9"/>
    <mergeCell ref="D8:E8"/>
    <mergeCell ref="D45:P45"/>
    <mergeCell ref="I49:O49"/>
    <mergeCell ref="P49:P51"/>
    <mergeCell ref="D50:E50"/>
    <mergeCell ref="F50:F51"/>
    <mergeCell ref="H50:H51"/>
    <mergeCell ref="I50:I51"/>
    <mergeCell ref="Q50:Q51"/>
    <mergeCell ref="R50:R51"/>
    <mergeCell ref="R8:R9"/>
    <mergeCell ref="A191:A194"/>
    <mergeCell ref="B191:B194"/>
    <mergeCell ref="D191:P191"/>
    <mergeCell ref="Q191:R192"/>
    <mergeCell ref="D192:H192"/>
    <mergeCell ref="I192:O192"/>
    <mergeCell ref="P192:P194"/>
    <mergeCell ref="D193:E193"/>
    <mergeCell ref="F193:F194"/>
    <mergeCell ref="H193:H194"/>
    <mergeCell ref="I193:I194"/>
    <mergeCell ref="J193:K193"/>
    <mergeCell ref="R193:R194"/>
    <mergeCell ref="L193:L194"/>
    <mergeCell ref="M193:M194"/>
    <mergeCell ref="N193:N194"/>
    <mergeCell ref="O193:O194"/>
    <mergeCell ref="Q193:Q194"/>
    <mergeCell ref="A146:A149"/>
    <mergeCell ref="B146:B149"/>
    <mergeCell ref="D146:P146"/>
    <mergeCell ref="Q146:R147"/>
    <mergeCell ref="D147:H147"/>
    <mergeCell ref="I147:O147"/>
    <mergeCell ref="P147:P149"/>
    <mergeCell ref="D148:E148"/>
    <mergeCell ref="F148:F149"/>
    <mergeCell ref="H148:H149"/>
    <mergeCell ref="I148:I149"/>
    <mergeCell ref="J148:K148"/>
    <mergeCell ref="L148:L149"/>
    <mergeCell ref="M148:M149"/>
    <mergeCell ref="N148:N149"/>
    <mergeCell ref="O148:O149"/>
    <mergeCell ref="Q148:Q149"/>
    <mergeCell ref="R148:R149"/>
    <mergeCell ref="D1:P1"/>
    <mergeCell ref="D3:P3"/>
    <mergeCell ref="A6:A9"/>
    <mergeCell ref="B6:B9"/>
    <mergeCell ref="D6:P6"/>
    <mergeCell ref="N8:N9"/>
    <mergeCell ref="O8:O9"/>
    <mergeCell ref="Q8:Q9"/>
    <mergeCell ref="F8:F9"/>
    <mergeCell ref="H8:H9"/>
    <mergeCell ref="I8:I9"/>
    <mergeCell ref="J8:K8"/>
    <mergeCell ref="L8:L9"/>
    <mergeCell ref="M8:M9"/>
    <mergeCell ref="G8:G9"/>
    <mergeCell ref="Q71:R72"/>
    <mergeCell ref="D72:H72"/>
    <mergeCell ref="I72:O72"/>
    <mergeCell ref="A48:A51"/>
    <mergeCell ref="B48:B51"/>
    <mergeCell ref="D48:P48"/>
    <mergeCell ref="Q48:R49"/>
    <mergeCell ref="J73:K73"/>
    <mergeCell ref="L73:L74"/>
    <mergeCell ref="M73:M74"/>
    <mergeCell ref="N73:N74"/>
    <mergeCell ref="O73:O74"/>
    <mergeCell ref="Q73:Q74"/>
    <mergeCell ref="R73:R74"/>
    <mergeCell ref="J50:K50"/>
    <mergeCell ref="L50:L51"/>
    <mergeCell ref="M50:M51"/>
    <mergeCell ref="N50:N51"/>
    <mergeCell ref="D49:H49"/>
    <mergeCell ref="O50:O51"/>
    <mergeCell ref="D68:P68"/>
    <mergeCell ref="G50:G51"/>
    <mergeCell ref="G73:G74"/>
    <mergeCell ref="D111:P111"/>
    <mergeCell ref="A114:A117"/>
    <mergeCell ref="B114:B117"/>
    <mergeCell ref="D114:P114"/>
    <mergeCell ref="Q114:R115"/>
    <mergeCell ref="D115:H115"/>
    <mergeCell ref="I115:O115"/>
    <mergeCell ref="P115:P117"/>
    <mergeCell ref="P72:P74"/>
    <mergeCell ref="D73:E73"/>
    <mergeCell ref="F73:F74"/>
    <mergeCell ref="H73:H74"/>
    <mergeCell ref="I73:I74"/>
    <mergeCell ref="D116:E116"/>
    <mergeCell ref="F116:F117"/>
    <mergeCell ref="H116:H117"/>
    <mergeCell ref="I116:I117"/>
    <mergeCell ref="J116:K116"/>
    <mergeCell ref="M116:M117"/>
    <mergeCell ref="N116:N117"/>
    <mergeCell ref="O116:O117"/>
    <mergeCell ref="A71:A74"/>
    <mergeCell ref="B71:B74"/>
    <mergeCell ref="D71:P71"/>
    <mergeCell ref="Q116:Q117"/>
    <mergeCell ref="R116:R117"/>
    <mergeCell ref="D227:F227"/>
    <mergeCell ref="D229:K229"/>
    <mergeCell ref="M229:N229"/>
    <mergeCell ref="D230:F230"/>
    <mergeCell ref="D231:K231"/>
    <mergeCell ref="D232:K232"/>
    <mergeCell ref="M232:N232"/>
    <mergeCell ref="L116:L117"/>
    <mergeCell ref="D143:P143"/>
    <mergeCell ref="D188:P188"/>
    <mergeCell ref="G148:G149"/>
    <mergeCell ref="G193:G194"/>
    <mergeCell ref="G116:G11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11"/>
  <sheetViews>
    <sheetView showGridLines="0" zoomScaleNormal="100" zoomScaleSheetLayoutView="100" workbookViewId="0">
      <pane ySplit="7" topLeftCell="A1004" activePane="bottomLeft" state="frozen"/>
      <selection activeCell="D141" sqref="D141"/>
      <selection pane="bottomLeft" activeCell="D141" sqref="D141"/>
    </sheetView>
  </sheetViews>
  <sheetFormatPr defaultColWidth="9.140625" defaultRowHeight="11.25" x14ac:dyDescent="0.2"/>
  <cols>
    <col min="1" max="1" width="3.5703125" style="33" customWidth="1"/>
    <col min="2" max="2" width="15.7109375" style="102" customWidth="1"/>
    <col min="3" max="3" width="10.7109375" style="102" customWidth="1"/>
    <col min="4" max="5" width="5.7109375" style="94" customWidth="1"/>
    <col min="6" max="6" width="9" style="245" customWidth="1"/>
    <col min="7" max="7" width="9.85546875" style="155" customWidth="1"/>
    <col min="8" max="8" width="11.28515625" style="102" customWidth="1"/>
    <col min="9" max="9" width="8.7109375" style="134" customWidth="1"/>
    <col min="10" max="10" width="5.7109375" style="244" customWidth="1"/>
    <col min="11" max="11" width="9.7109375" style="244" customWidth="1"/>
    <col min="12" max="12" width="6" style="244" customWidth="1"/>
    <col min="13" max="13" width="8.5703125" style="244" customWidth="1"/>
    <col min="14" max="14" width="10.140625" style="244" customWidth="1"/>
    <col min="15" max="15" width="9.7109375" style="244" customWidth="1"/>
    <col min="16" max="16" width="8.5703125" style="244" customWidth="1"/>
    <col min="17" max="17" width="13.7109375" style="244" customWidth="1"/>
    <col min="18" max="18" width="13" style="136" customWidth="1"/>
    <col min="19" max="16384" width="9.140625" style="94"/>
  </cols>
  <sheetData>
    <row r="1" spans="1:18" s="38" customFormat="1" ht="15" customHeight="1" x14ac:dyDescent="0.2">
      <c r="A1" s="28"/>
      <c r="B1" s="29"/>
      <c r="C1" s="29"/>
      <c r="D1" s="802" t="s">
        <v>1041</v>
      </c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30"/>
      <c r="R1" s="31"/>
    </row>
    <row r="2" spans="1:18" s="38" customFormat="1" ht="15" customHeight="1" x14ac:dyDescent="0.25">
      <c r="A2" s="33"/>
      <c r="D2" s="813" t="s">
        <v>1062</v>
      </c>
      <c r="E2" s="813"/>
      <c r="F2" s="813"/>
      <c r="G2" s="813"/>
      <c r="H2" s="813"/>
      <c r="I2" s="813"/>
      <c r="J2" s="813"/>
      <c r="K2" s="813"/>
      <c r="L2" s="813"/>
      <c r="M2" s="813"/>
      <c r="N2" s="813"/>
      <c r="O2" s="813"/>
      <c r="P2" s="813"/>
      <c r="Q2" s="30"/>
      <c r="R2" s="37"/>
    </row>
    <row r="3" spans="1:18" ht="12.75" customHeight="1" x14ac:dyDescent="0.2">
      <c r="A3" s="818" t="s">
        <v>244</v>
      </c>
      <c r="B3" s="825" t="s">
        <v>388</v>
      </c>
      <c r="C3" s="482"/>
      <c r="D3" s="826" t="s">
        <v>246</v>
      </c>
      <c r="E3" s="827"/>
      <c r="F3" s="827"/>
      <c r="G3" s="827"/>
      <c r="H3" s="827"/>
      <c r="I3" s="827"/>
      <c r="J3" s="827"/>
      <c r="K3" s="827"/>
      <c r="L3" s="827"/>
      <c r="M3" s="827"/>
      <c r="N3" s="827"/>
      <c r="O3" s="827"/>
      <c r="P3" s="828"/>
      <c r="Q3" s="821" t="s">
        <v>247</v>
      </c>
      <c r="R3" s="822"/>
    </row>
    <row r="4" spans="1:18" ht="12.75" customHeight="1" x14ac:dyDescent="0.2">
      <c r="A4" s="818"/>
      <c r="B4" s="825"/>
      <c r="C4" s="410"/>
      <c r="D4" s="816" t="s">
        <v>389</v>
      </c>
      <c r="E4" s="816"/>
      <c r="F4" s="816"/>
      <c r="G4" s="816"/>
      <c r="H4" s="816"/>
      <c r="I4" s="814" t="s">
        <v>249</v>
      </c>
      <c r="J4" s="814"/>
      <c r="K4" s="814"/>
      <c r="L4" s="814"/>
      <c r="M4" s="814"/>
      <c r="N4" s="814"/>
      <c r="O4" s="814"/>
      <c r="P4" s="815" t="s">
        <v>250</v>
      </c>
      <c r="Q4" s="823"/>
      <c r="R4" s="824"/>
    </row>
    <row r="5" spans="1:18" ht="15.2" customHeight="1" x14ac:dyDescent="0.2">
      <c r="A5" s="818"/>
      <c r="B5" s="825"/>
      <c r="C5" s="410"/>
      <c r="D5" s="816" t="s">
        <v>251</v>
      </c>
      <c r="E5" s="816"/>
      <c r="F5" s="817" t="s">
        <v>252</v>
      </c>
      <c r="G5" s="817" t="s">
        <v>257</v>
      </c>
      <c r="H5" s="818" t="s">
        <v>253</v>
      </c>
      <c r="I5" s="819" t="s">
        <v>254</v>
      </c>
      <c r="J5" s="814" t="s">
        <v>255</v>
      </c>
      <c r="K5" s="814"/>
      <c r="L5" s="820" t="s">
        <v>256</v>
      </c>
      <c r="M5" s="820" t="s">
        <v>257</v>
      </c>
      <c r="N5" s="820" t="s">
        <v>258</v>
      </c>
      <c r="O5" s="820" t="s">
        <v>259</v>
      </c>
      <c r="P5" s="809"/>
      <c r="Q5" s="809" t="s">
        <v>260</v>
      </c>
      <c r="R5" s="811" t="s">
        <v>261</v>
      </c>
    </row>
    <row r="6" spans="1:18" ht="33.75" customHeight="1" x14ac:dyDescent="0.2">
      <c r="A6" s="818"/>
      <c r="B6" s="825"/>
      <c r="C6" s="432" t="s">
        <v>844</v>
      </c>
      <c r="D6" s="95" t="s">
        <v>262</v>
      </c>
      <c r="E6" s="95" t="s">
        <v>263</v>
      </c>
      <c r="F6" s="817"/>
      <c r="G6" s="817"/>
      <c r="H6" s="818"/>
      <c r="I6" s="819"/>
      <c r="J6" s="96" t="s">
        <v>231</v>
      </c>
      <c r="K6" s="96" t="s">
        <v>264</v>
      </c>
      <c r="L6" s="820"/>
      <c r="M6" s="820"/>
      <c r="N6" s="820"/>
      <c r="O6" s="820"/>
      <c r="P6" s="810"/>
      <c r="Q6" s="810"/>
      <c r="R6" s="812"/>
    </row>
    <row r="7" spans="1:18" s="99" customFormat="1" ht="12" customHeight="1" x14ac:dyDescent="0.25">
      <c r="A7" s="97">
        <v>1</v>
      </c>
      <c r="B7" s="97">
        <v>2</v>
      </c>
      <c r="C7" s="97"/>
      <c r="D7" s="97">
        <v>3</v>
      </c>
      <c r="E7" s="97">
        <v>4</v>
      </c>
      <c r="F7" s="97">
        <v>5</v>
      </c>
      <c r="G7" s="97">
        <v>6</v>
      </c>
      <c r="H7" s="97">
        <v>7</v>
      </c>
      <c r="I7" s="98">
        <v>8</v>
      </c>
      <c r="J7" s="98">
        <v>9</v>
      </c>
      <c r="K7" s="98">
        <v>10</v>
      </c>
      <c r="L7" s="98">
        <v>11</v>
      </c>
      <c r="M7" s="98">
        <v>12</v>
      </c>
      <c r="N7" s="98">
        <v>13</v>
      </c>
      <c r="O7" s="98">
        <v>14</v>
      </c>
      <c r="P7" s="98">
        <v>15</v>
      </c>
      <c r="Q7" s="98">
        <v>16</v>
      </c>
      <c r="R7" s="97">
        <v>17</v>
      </c>
    </row>
    <row r="8" spans="1:18" x14ac:dyDescent="0.2">
      <c r="A8" s="100">
        <v>1</v>
      </c>
      <c r="B8" s="101" t="s">
        <v>155</v>
      </c>
      <c r="C8" s="109" t="s">
        <v>846</v>
      </c>
      <c r="D8" s="108">
        <v>0</v>
      </c>
      <c r="E8" s="108">
        <f>D8+F8</f>
        <v>4.4999999999999998E-2</v>
      </c>
      <c r="F8" s="108">
        <v>4.4999999999999998E-2</v>
      </c>
      <c r="G8" s="121">
        <v>135</v>
      </c>
      <c r="H8" s="110" t="s">
        <v>0</v>
      </c>
      <c r="I8" s="121"/>
      <c r="J8" s="121"/>
      <c r="K8" s="121"/>
      <c r="L8" s="121"/>
      <c r="M8" s="121"/>
      <c r="N8" s="121"/>
      <c r="O8" s="121"/>
      <c r="P8" s="121"/>
      <c r="Q8" s="109">
        <v>80150021720</v>
      </c>
      <c r="R8" s="109">
        <v>80150021720</v>
      </c>
    </row>
    <row r="9" spans="1:18" x14ac:dyDescent="0.2">
      <c r="A9" s="103"/>
      <c r="B9" s="104"/>
      <c r="C9" s="109" t="s">
        <v>846</v>
      </c>
      <c r="D9" s="108">
        <f>E8</f>
        <v>4.4999999999999998E-2</v>
      </c>
      <c r="E9" s="108">
        <f>D9+F9</f>
        <v>0.13500000000000001</v>
      </c>
      <c r="F9" s="108">
        <v>0.09</v>
      </c>
      <c r="G9" s="121">
        <v>270</v>
      </c>
      <c r="H9" s="110" t="s">
        <v>0</v>
      </c>
      <c r="I9" s="121"/>
      <c r="J9" s="121"/>
      <c r="K9" s="121"/>
      <c r="L9" s="121"/>
      <c r="M9" s="121"/>
      <c r="N9" s="121"/>
      <c r="O9" s="121"/>
      <c r="P9" s="121"/>
      <c r="Q9" s="109">
        <v>80150021728</v>
      </c>
      <c r="R9" s="109">
        <v>80150021728</v>
      </c>
    </row>
    <row r="10" spans="1:18" x14ac:dyDescent="0.2">
      <c r="A10" s="106">
        <v>2</v>
      </c>
      <c r="B10" s="107" t="s">
        <v>153</v>
      </c>
      <c r="C10" s="109" t="s">
        <v>846</v>
      </c>
      <c r="D10" s="108">
        <v>0</v>
      </c>
      <c r="E10" s="108">
        <f t="shared" ref="E10:E71" si="0">D10+F10</f>
        <v>7.4999999999999997E-2</v>
      </c>
      <c r="F10" s="108">
        <v>7.4999999999999997E-2</v>
      </c>
      <c r="G10" s="121">
        <v>375</v>
      </c>
      <c r="H10" s="110" t="s">
        <v>4</v>
      </c>
      <c r="I10" s="121"/>
      <c r="J10" s="121"/>
      <c r="K10" s="121"/>
      <c r="L10" s="121"/>
      <c r="M10" s="121"/>
      <c r="N10" s="121"/>
      <c r="O10" s="121"/>
      <c r="P10" s="121">
        <v>81</v>
      </c>
      <c r="Q10" s="109">
        <v>80150031558</v>
      </c>
      <c r="R10" s="109">
        <v>80150031558</v>
      </c>
    </row>
    <row r="11" spans="1:18" x14ac:dyDescent="0.2">
      <c r="A11" s="106">
        <v>3</v>
      </c>
      <c r="B11" s="107" t="s">
        <v>152</v>
      </c>
      <c r="C11" s="109" t="s">
        <v>846</v>
      </c>
      <c r="D11" s="108">
        <v>0</v>
      </c>
      <c r="E11" s="108">
        <f t="shared" si="0"/>
        <v>0.21</v>
      </c>
      <c r="F11" s="108">
        <v>0.21</v>
      </c>
      <c r="G11" s="121">
        <v>1050</v>
      </c>
      <c r="H11" s="110" t="s">
        <v>0</v>
      </c>
      <c r="I11" s="121"/>
      <c r="J11" s="121"/>
      <c r="K11" s="121"/>
      <c r="L11" s="121"/>
      <c r="M11" s="121"/>
      <c r="N11" s="121"/>
      <c r="O11" s="121"/>
      <c r="P11" s="121"/>
      <c r="Q11" s="109">
        <v>80150030660</v>
      </c>
      <c r="R11" s="109">
        <v>80150030660</v>
      </c>
    </row>
    <row r="12" spans="1:18" x14ac:dyDescent="0.2">
      <c r="A12" s="100">
        <v>4</v>
      </c>
      <c r="B12" s="101" t="s">
        <v>151</v>
      </c>
      <c r="C12" s="109" t="s">
        <v>846</v>
      </c>
      <c r="D12" s="381">
        <v>0</v>
      </c>
      <c r="E12" s="381">
        <f t="shared" si="0"/>
        <v>0.17499999999999999</v>
      </c>
      <c r="F12" s="381">
        <v>0.17499999999999999</v>
      </c>
      <c r="G12" s="121">
        <v>700</v>
      </c>
      <c r="H12" s="110" t="s">
        <v>1213</v>
      </c>
      <c r="I12" s="121"/>
      <c r="J12" s="121"/>
      <c r="K12" s="121"/>
      <c r="L12" s="121"/>
      <c r="M12" s="121"/>
      <c r="N12" s="121"/>
      <c r="O12" s="121"/>
      <c r="P12" s="121"/>
      <c r="Q12" s="109">
        <v>80150032142</v>
      </c>
      <c r="R12" s="109">
        <v>80150032142</v>
      </c>
    </row>
    <row r="13" spans="1:18" x14ac:dyDescent="0.2">
      <c r="A13" s="106">
        <v>5</v>
      </c>
      <c r="B13" s="107" t="s">
        <v>150</v>
      </c>
      <c r="C13" s="109" t="s">
        <v>845</v>
      </c>
      <c r="D13" s="108">
        <v>0</v>
      </c>
      <c r="E13" s="108">
        <f t="shared" si="0"/>
        <v>0.57499999999999996</v>
      </c>
      <c r="F13" s="108">
        <v>0.57499999999999996</v>
      </c>
      <c r="G13" s="121">
        <v>2875</v>
      </c>
      <c r="H13" s="110" t="s">
        <v>4</v>
      </c>
      <c r="I13" s="121"/>
      <c r="J13" s="121"/>
      <c r="K13" s="121"/>
      <c r="L13" s="121"/>
      <c r="M13" s="121"/>
      <c r="N13" s="121"/>
      <c r="O13" s="121"/>
      <c r="P13" s="121"/>
      <c r="Q13" s="112">
        <v>80150030142</v>
      </c>
      <c r="R13" s="112">
        <v>80150030142</v>
      </c>
    </row>
    <row r="14" spans="1:18" x14ac:dyDescent="0.2">
      <c r="A14" s="106">
        <v>6</v>
      </c>
      <c r="B14" s="107" t="s">
        <v>149</v>
      </c>
      <c r="C14" s="109" t="s">
        <v>846</v>
      </c>
      <c r="D14" s="108">
        <v>0</v>
      </c>
      <c r="E14" s="108">
        <f t="shared" si="0"/>
        <v>0.27500000000000002</v>
      </c>
      <c r="F14" s="108">
        <v>0.27500000000000002</v>
      </c>
      <c r="G14" s="121">
        <v>1238</v>
      </c>
      <c r="H14" s="110" t="s">
        <v>0</v>
      </c>
      <c r="I14" s="121"/>
      <c r="J14" s="121"/>
      <c r="K14" s="121"/>
      <c r="L14" s="121"/>
      <c r="M14" s="121"/>
      <c r="N14" s="121"/>
      <c r="O14" s="121"/>
      <c r="P14" s="121"/>
      <c r="Q14" s="109">
        <v>80150032140</v>
      </c>
      <c r="R14" s="109">
        <v>80150032140</v>
      </c>
    </row>
    <row r="15" spans="1:18" x14ac:dyDescent="0.2">
      <c r="A15" s="100">
        <v>7</v>
      </c>
      <c r="B15" s="101" t="s">
        <v>156</v>
      </c>
      <c r="C15" s="109" t="s">
        <v>846</v>
      </c>
      <c r="D15" s="108">
        <v>0</v>
      </c>
      <c r="E15" s="108">
        <f t="shared" si="0"/>
        <v>4.4999999999999998E-2</v>
      </c>
      <c r="F15" s="108">
        <v>4.4999999999999998E-2</v>
      </c>
      <c r="G15" s="121">
        <v>158</v>
      </c>
      <c r="H15" s="110" t="s">
        <v>0</v>
      </c>
      <c r="I15" s="121"/>
      <c r="J15" s="121"/>
      <c r="K15" s="121"/>
      <c r="L15" s="121"/>
      <c r="M15" s="121"/>
      <c r="N15" s="121"/>
      <c r="O15" s="121"/>
      <c r="P15" s="121"/>
      <c r="Q15" s="109">
        <v>80150030140</v>
      </c>
      <c r="R15" s="109">
        <v>80150030147</v>
      </c>
    </row>
    <row r="16" spans="1:18" x14ac:dyDescent="0.2">
      <c r="A16" s="113"/>
      <c r="B16" s="122"/>
      <c r="C16" s="109" t="s">
        <v>846</v>
      </c>
      <c r="D16" s="108">
        <f t="shared" ref="D16:D61" si="1">E15</f>
        <v>4.4999999999999998E-2</v>
      </c>
      <c r="E16" s="108">
        <f t="shared" si="0"/>
        <v>0.29499999999999998</v>
      </c>
      <c r="F16" s="108">
        <v>0.25</v>
      </c>
      <c r="G16" s="121">
        <v>1125</v>
      </c>
      <c r="H16" s="110" t="s">
        <v>4</v>
      </c>
      <c r="I16" s="121"/>
      <c r="J16" s="121"/>
      <c r="K16" s="121"/>
      <c r="L16" s="121"/>
      <c r="M16" s="121"/>
      <c r="N16" s="121"/>
      <c r="O16" s="121"/>
      <c r="P16" s="121"/>
      <c r="Q16" s="109">
        <v>80150030140</v>
      </c>
      <c r="R16" s="109">
        <v>80150030147</v>
      </c>
    </row>
    <row r="17" spans="1:18" x14ac:dyDescent="0.2">
      <c r="A17" s="114"/>
      <c r="B17" s="104"/>
      <c r="C17" s="109" t="s">
        <v>846</v>
      </c>
      <c r="D17" s="108">
        <f t="shared" si="1"/>
        <v>0.29499999999999998</v>
      </c>
      <c r="E17" s="108">
        <f t="shared" si="0"/>
        <v>0.64999999999999991</v>
      </c>
      <c r="F17" s="108">
        <v>0.35499999999999998</v>
      </c>
      <c r="G17" s="121">
        <v>1420</v>
      </c>
      <c r="H17" s="110" t="s">
        <v>0</v>
      </c>
      <c r="I17" s="121"/>
      <c r="J17" s="121"/>
      <c r="K17" s="121"/>
      <c r="L17" s="121"/>
      <c r="M17" s="121"/>
      <c r="N17" s="121"/>
      <c r="O17" s="121"/>
      <c r="P17" s="121"/>
      <c r="Q17" s="109">
        <v>80150030140</v>
      </c>
      <c r="R17" s="109">
        <v>80150030140</v>
      </c>
    </row>
    <row r="18" spans="1:18" x14ac:dyDescent="0.2">
      <c r="A18" s="100">
        <v>8</v>
      </c>
      <c r="B18" s="101" t="s">
        <v>148</v>
      </c>
      <c r="C18" s="109" t="s">
        <v>846</v>
      </c>
      <c r="D18" s="108">
        <v>0</v>
      </c>
      <c r="E18" s="108">
        <f t="shared" si="0"/>
        <v>0.155</v>
      </c>
      <c r="F18" s="108">
        <v>0.155</v>
      </c>
      <c r="G18" s="121">
        <v>620</v>
      </c>
      <c r="H18" s="110" t="s">
        <v>4</v>
      </c>
      <c r="I18" s="121"/>
      <c r="J18" s="121"/>
      <c r="K18" s="121"/>
      <c r="L18" s="121"/>
      <c r="M18" s="121"/>
      <c r="N18" s="121"/>
      <c r="O18" s="121"/>
      <c r="P18" s="121"/>
      <c r="Q18" s="109">
        <v>80150031189</v>
      </c>
      <c r="R18" s="109">
        <v>80150031189</v>
      </c>
    </row>
    <row r="19" spans="1:18" x14ac:dyDescent="0.2">
      <c r="A19" s="103"/>
      <c r="B19" s="104"/>
      <c r="C19" s="109" t="s">
        <v>846</v>
      </c>
      <c r="D19" s="108">
        <f t="shared" si="1"/>
        <v>0.155</v>
      </c>
      <c r="E19" s="108">
        <f t="shared" si="0"/>
        <v>0.32</v>
      </c>
      <c r="F19" s="108">
        <v>0.16500000000000001</v>
      </c>
      <c r="G19" s="121">
        <v>660</v>
      </c>
      <c r="H19" s="110" t="s">
        <v>4</v>
      </c>
      <c r="I19" s="121"/>
      <c r="J19" s="121"/>
      <c r="K19" s="121"/>
      <c r="L19" s="121"/>
      <c r="M19" s="121"/>
      <c r="N19" s="121"/>
      <c r="O19" s="121"/>
      <c r="P19" s="121"/>
      <c r="Q19" s="109">
        <v>80150031189</v>
      </c>
      <c r="R19" s="109">
        <v>80150031198</v>
      </c>
    </row>
    <row r="20" spans="1:18" x14ac:dyDescent="0.2">
      <c r="A20" s="103">
        <v>9</v>
      </c>
      <c r="B20" s="104" t="s">
        <v>157</v>
      </c>
      <c r="C20" s="124" t="s">
        <v>848</v>
      </c>
      <c r="D20" s="108">
        <v>0</v>
      </c>
      <c r="E20" s="108">
        <f t="shared" si="0"/>
        <v>0.47</v>
      </c>
      <c r="F20" s="108">
        <v>0.47</v>
      </c>
      <c r="G20" s="121">
        <v>3072</v>
      </c>
      <c r="H20" s="110" t="s">
        <v>4</v>
      </c>
      <c r="I20" s="121"/>
      <c r="J20" s="121"/>
      <c r="K20" s="121"/>
      <c r="L20" s="121"/>
      <c r="M20" s="121"/>
      <c r="N20" s="121"/>
      <c r="O20" s="121"/>
      <c r="P20" s="121">
        <v>1334</v>
      </c>
      <c r="Q20" s="109">
        <v>80150023439</v>
      </c>
      <c r="R20" s="109">
        <v>80150023439</v>
      </c>
    </row>
    <row r="21" spans="1:18" x14ac:dyDescent="0.2">
      <c r="A21" s="100">
        <v>10</v>
      </c>
      <c r="B21" s="101" t="s">
        <v>147</v>
      </c>
      <c r="C21" s="109" t="s">
        <v>848</v>
      </c>
      <c r="D21" s="108">
        <v>0</v>
      </c>
      <c r="E21" s="108">
        <f t="shared" si="0"/>
        <v>0.46500000000000002</v>
      </c>
      <c r="F21" s="108">
        <v>0.46500000000000002</v>
      </c>
      <c r="G21" s="121">
        <v>2558</v>
      </c>
      <c r="H21" s="110" t="s">
        <v>0</v>
      </c>
      <c r="I21" s="121"/>
      <c r="J21" s="121"/>
      <c r="K21" s="121"/>
      <c r="L21" s="121"/>
      <c r="M21" s="121"/>
      <c r="N21" s="121"/>
      <c r="O21" s="121"/>
      <c r="P21" s="121"/>
      <c r="Q21" s="109">
        <v>80150023438</v>
      </c>
      <c r="R21" s="109">
        <v>80150023438</v>
      </c>
    </row>
    <row r="22" spans="1:18" x14ac:dyDescent="0.2">
      <c r="A22" s="103"/>
      <c r="B22" s="104"/>
      <c r="C22" s="109" t="s">
        <v>848</v>
      </c>
      <c r="D22" s="108">
        <f>E21</f>
        <v>0.46500000000000002</v>
      </c>
      <c r="E22" s="108">
        <f t="shared" si="0"/>
        <v>1.5</v>
      </c>
      <c r="F22" s="108">
        <v>1.0349999999999999</v>
      </c>
      <c r="G22" s="121">
        <v>5995</v>
      </c>
      <c r="H22" s="110" t="s">
        <v>4</v>
      </c>
      <c r="I22" s="121"/>
      <c r="J22" s="121"/>
      <c r="K22" s="121"/>
      <c r="L22" s="121"/>
      <c r="M22" s="121"/>
      <c r="N22" s="121"/>
      <c r="O22" s="121"/>
      <c r="P22" s="121"/>
      <c r="Q22" s="109">
        <v>80150023438</v>
      </c>
      <c r="R22" s="109">
        <v>80150023438</v>
      </c>
    </row>
    <row r="23" spans="1:18" x14ac:dyDescent="0.2">
      <c r="A23" s="106">
        <v>11</v>
      </c>
      <c r="B23" s="107" t="s">
        <v>146</v>
      </c>
      <c r="C23" s="109" t="s">
        <v>846</v>
      </c>
      <c r="D23" s="108">
        <v>0</v>
      </c>
      <c r="E23" s="108">
        <f t="shared" si="0"/>
        <v>0.14000000000000001</v>
      </c>
      <c r="F23" s="108">
        <v>0.14000000000000001</v>
      </c>
      <c r="G23" s="121">
        <v>700</v>
      </c>
      <c r="H23" s="110" t="s">
        <v>1213</v>
      </c>
      <c r="I23" s="121"/>
      <c r="J23" s="121"/>
      <c r="K23" s="121"/>
      <c r="L23" s="121"/>
      <c r="M23" s="121"/>
      <c r="N23" s="121"/>
      <c r="O23" s="121"/>
      <c r="P23" s="121"/>
      <c r="Q23" s="109">
        <v>80150031640</v>
      </c>
      <c r="R23" s="109">
        <v>80150031640</v>
      </c>
    </row>
    <row r="24" spans="1:18" x14ac:dyDescent="0.2">
      <c r="A24" s="106">
        <v>12</v>
      </c>
      <c r="B24" s="107" t="s">
        <v>145</v>
      </c>
      <c r="C24" s="109" t="s">
        <v>846</v>
      </c>
      <c r="D24" s="108">
        <v>0</v>
      </c>
      <c r="E24" s="108">
        <f t="shared" si="0"/>
        <v>0.23499999999999999</v>
      </c>
      <c r="F24" s="108">
        <v>0.23499999999999999</v>
      </c>
      <c r="G24" s="121">
        <v>705</v>
      </c>
      <c r="H24" s="110" t="s">
        <v>0</v>
      </c>
      <c r="I24" s="121"/>
      <c r="J24" s="121"/>
      <c r="K24" s="121"/>
      <c r="L24" s="121"/>
      <c r="M24" s="121"/>
      <c r="N24" s="121"/>
      <c r="O24" s="121"/>
      <c r="P24" s="121"/>
      <c r="Q24" s="112">
        <v>80150020968</v>
      </c>
      <c r="R24" s="112">
        <v>80150020968</v>
      </c>
    </row>
    <row r="25" spans="1:18" x14ac:dyDescent="0.2">
      <c r="A25" s="115">
        <v>13</v>
      </c>
      <c r="B25" s="107" t="s">
        <v>144</v>
      </c>
      <c r="C25" s="109" t="s">
        <v>846</v>
      </c>
      <c r="D25" s="108">
        <v>0</v>
      </c>
      <c r="E25" s="108">
        <f t="shared" si="0"/>
        <v>0.41</v>
      </c>
      <c r="F25" s="108">
        <v>0.41</v>
      </c>
      <c r="G25" s="121">
        <v>2460</v>
      </c>
      <c r="H25" s="110" t="s">
        <v>4</v>
      </c>
      <c r="I25" s="121"/>
      <c r="J25" s="121"/>
      <c r="K25" s="121"/>
      <c r="L25" s="121"/>
      <c r="M25" s="121"/>
      <c r="N25" s="121"/>
      <c r="O25" s="121"/>
      <c r="P25" s="121"/>
      <c r="Q25" s="109">
        <v>80150040444</v>
      </c>
      <c r="R25" s="109">
        <v>80150040444</v>
      </c>
    </row>
    <row r="26" spans="1:18" x14ac:dyDescent="0.2">
      <c r="A26" s="100">
        <v>14</v>
      </c>
      <c r="B26" s="101" t="s">
        <v>143</v>
      </c>
      <c r="C26" s="109" t="s">
        <v>848</v>
      </c>
      <c r="D26" s="108">
        <v>0</v>
      </c>
      <c r="E26" s="108">
        <f t="shared" si="0"/>
        <v>0.16</v>
      </c>
      <c r="F26" s="108">
        <v>0.16</v>
      </c>
      <c r="G26" s="121">
        <v>960</v>
      </c>
      <c r="H26" s="110" t="s">
        <v>4</v>
      </c>
      <c r="I26" s="121"/>
      <c r="J26" s="121"/>
      <c r="K26" s="121"/>
      <c r="L26" s="121"/>
      <c r="M26" s="121"/>
      <c r="N26" s="121"/>
      <c r="O26" s="121"/>
      <c r="P26" s="121">
        <v>277</v>
      </c>
      <c r="Q26" s="109">
        <v>80150024042</v>
      </c>
      <c r="R26" s="109">
        <v>80150024042</v>
      </c>
    </row>
    <row r="27" spans="1:18" x14ac:dyDescent="0.2">
      <c r="A27" s="103"/>
      <c r="B27" s="104"/>
      <c r="C27" s="109" t="s">
        <v>848</v>
      </c>
      <c r="D27" s="108">
        <f>E26+0.52</f>
        <v>0.68</v>
      </c>
      <c r="E27" s="108">
        <f t="shared" si="0"/>
        <v>0.92500000000000004</v>
      </c>
      <c r="F27" s="108">
        <v>0.245</v>
      </c>
      <c r="G27" s="121">
        <v>1470</v>
      </c>
      <c r="H27" s="110" t="s">
        <v>4</v>
      </c>
      <c r="I27" s="121"/>
      <c r="J27" s="121"/>
      <c r="K27" s="121"/>
      <c r="L27" s="121"/>
      <c r="M27" s="121"/>
      <c r="N27" s="121"/>
      <c r="O27" s="121"/>
      <c r="P27" s="121">
        <v>284</v>
      </c>
      <c r="Q27" s="109">
        <v>80150023737</v>
      </c>
      <c r="R27" s="109">
        <v>80150023737</v>
      </c>
    </row>
    <row r="28" spans="1:18" x14ac:dyDescent="0.2">
      <c r="A28" s="106">
        <v>15</v>
      </c>
      <c r="B28" s="107" t="s">
        <v>142</v>
      </c>
      <c r="C28" s="109" t="s">
        <v>846</v>
      </c>
      <c r="D28" s="108">
        <v>0</v>
      </c>
      <c r="E28" s="108">
        <f t="shared" si="0"/>
        <v>0.185</v>
      </c>
      <c r="F28" s="108">
        <v>0.185</v>
      </c>
      <c r="G28" s="121">
        <v>740</v>
      </c>
      <c r="H28" s="110" t="s">
        <v>0</v>
      </c>
      <c r="I28" s="121"/>
      <c r="J28" s="121"/>
      <c r="K28" s="121"/>
      <c r="L28" s="121"/>
      <c r="M28" s="121"/>
      <c r="N28" s="121"/>
      <c r="O28" s="121"/>
      <c r="P28" s="121"/>
      <c r="Q28" s="109">
        <v>80150032141</v>
      </c>
      <c r="R28" s="109">
        <v>80150032141</v>
      </c>
    </row>
    <row r="29" spans="1:18" x14ac:dyDescent="0.2">
      <c r="A29" s="106">
        <v>16</v>
      </c>
      <c r="B29" s="107" t="s">
        <v>141</v>
      </c>
      <c r="C29" s="109" t="s">
        <v>846</v>
      </c>
      <c r="D29" s="108">
        <v>0</v>
      </c>
      <c r="E29" s="108">
        <f t="shared" si="0"/>
        <v>0.18</v>
      </c>
      <c r="F29" s="108">
        <v>0.18</v>
      </c>
      <c r="G29" s="121">
        <v>810</v>
      </c>
      <c r="H29" s="110" t="s">
        <v>0</v>
      </c>
      <c r="I29" s="121"/>
      <c r="J29" s="121"/>
      <c r="K29" s="121"/>
      <c r="L29" s="121"/>
      <c r="M29" s="121"/>
      <c r="N29" s="121"/>
      <c r="O29" s="121"/>
      <c r="P29" s="121"/>
      <c r="Q29" s="109">
        <v>80150022977</v>
      </c>
      <c r="R29" s="109">
        <v>80150022977</v>
      </c>
    </row>
    <row r="30" spans="1:18" x14ac:dyDescent="0.2">
      <c r="A30" s="106">
        <v>17</v>
      </c>
      <c r="B30" s="107" t="s">
        <v>140</v>
      </c>
      <c r="C30" s="109" t="s">
        <v>846</v>
      </c>
      <c r="D30" s="108">
        <v>0</v>
      </c>
      <c r="E30" s="108">
        <f t="shared" si="0"/>
        <v>0.41</v>
      </c>
      <c r="F30" s="108">
        <v>0.41</v>
      </c>
      <c r="G30" s="121">
        <v>2050</v>
      </c>
      <c r="H30" s="110" t="s">
        <v>4</v>
      </c>
      <c r="I30" s="121"/>
      <c r="J30" s="121"/>
      <c r="K30" s="121"/>
      <c r="L30" s="121"/>
      <c r="M30" s="121"/>
      <c r="N30" s="121"/>
      <c r="O30" s="121"/>
      <c r="P30" s="121"/>
      <c r="Q30" s="109">
        <v>80150024773</v>
      </c>
      <c r="R30" s="109">
        <v>80150024773</v>
      </c>
    </row>
    <row r="31" spans="1:18" x14ac:dyDescent="0.2">
      <c r="A31" s="100">
        <v>18</v>
      </c>
      <c r="B31" s="101" t="s">
        <v>139</v>
      </c>
      <c r="C31" s="109" t="s">
        <v>846</v>
      </c>
      <c r="D31" s="108">
        <v>0</v>
      </c>
      <c r="E31" s="108">
        <f t="shared" si="0"/>
        <v>0.08</v>
      </c>
      <c r="F31" s="108">
        <v>0.08</v>
      </c>
      <c r="G31" s="121">
        <v>280</v>
      </c>
      <c r="H31" s="110" t="s">
        <v>0</v>
      </c>
      <c r="I31" s="121"/>
      <c r="J31" s="121"/>
      <c r="K31" s="121"/>
      <c r="L31" s="121"/>
      <c r="M31" s="121"/>
      <c r="N31" s="121"/>
      <c r="O31" s="121"/>
      <c r="P31" s="121"/>
      <c r="Q31" s="109">
        <v>80150010905</v>
      </c>
      <c r="R31" s="382">
        <v>80150010006</v>
      </c>
    </row>
    <row r="32" spans="1:18" x14ac:dyDescent="0.2">
      <c r="A32" s="103"/>
      <c r="B32" s="104"/>
      <c r="C32" s="109" t="s">
        <v>846</v>
      </c>
      <c r="D32" s="108">
        <v>0.13</v>
      </c>
      <c r="E32" s="108">
        <f t="shared" si="0"/>
        <v>0.30000000000000004</v>
      </c>
      <c r="F32" s="108">
        <v>0.17</v>
      </c>
      <c r="G32" s="121">
        <v>595</v>
      </c>
      <c r="H32" s="110" t="s">
        <v>0</v>
      </c>
      <c r="I32" s="121"/>
      <c r="J32" s="121"/>
      <c r="K32" s="121"/>
      <c r="L32" s="121"/>
      <c r="M32" s="121"/>
      <c r="N32" s="121"/>
      <c r="O32" s="121"/>
      <c r="P32" s="121"/>
      <c r="Q32" s="109">
        <v>80150010905</v>
      </c>
      <c r="R32" s="109">
        <v>80150010905</v>
      </c>
    </row>
    <row r="33" spans="1:18" x14ac:dyDescent="0.2">
      <c r="A33" s="100">
        <v>19</v>
      </c>
      <c r="B33" s="101" t="s">
        <v>138</v>
      </c>
      <c r="C33" s="109" t="s">
        <v>846</v>
      </c>
      <c r="D33" s="108">
        <v>0</v>
      </c>
      <c r="E33" s="108">
        <f t="shared" si="0"/>
        <v>2.5000000000000001E-2</v>
      </c>
      <c r="F33" s="108">
        <v>2.5000000000000001E-2</v>
      </c>
      <c r="G33" s="121">
        <v>90</v>
      </c>
      <c r="H33" s="110" t="s">
        <v>4</v>
      </c>
      <c r="I33" s="121"/>
      <c r="J33" s="121"/>
      <c r="K33" s="121"/>
      <c r="L33" s="121"/>
      <c r="M33" s="121"/>
      <c r="N33" s="121"/>
      <c r="O33" s="121"/>
      <c r="P33" s="121"/>
      <c r="Q33" s="109">
        <v>80150021726</v>
      </c>
      <c r="R33" s="109">
        <v>80150021726</v>
      </c>
    </row>
    <row r="34" spans="1:18" x14ac:dyDescent="0.2">
      <c r="A34" s="103"/>
      <c r="B34" s="104"/>
      <c r="C34" s="109" t="s">
        <v>846</v>
      </c>
      <c r="D34" s="108">
        <f>E33</f>
        <v>2.5000000000000001E-2</v>
      </c>
      <c r="E34" s="108">
        <f t="shared" si="0"/>
        <v>0.24299999999999999</v>
      </c>
      <c r="F34" s="108">
        <v>0.218</v>
      </c>
      <c r="G34" s="121">
        <v>982</v>
      </c>
      <c r="H34" s="110" t="s">
        <v>4</v>
      </c>
      <c r="I34" s="121"/>
      <c r="J34" s="121"/>
      <c r="K34" s="121"/>
      <c r="L34" s="121"/>
      <c r="M34" s="121"/>
      <c r="N34" s="121"/>
      <c r="O34" s="121"/>
      <c r="P34" s="121">
        <v>77</v>
      </c>
      <c r="Q34" s="109">
        <v>80150021822</v>
      </c>
      <c r="R34" s="109">
        <v>80150021822</v>
      </c>
    </row>
    <row r="35" spans="1:18" x14ac:dyDescent="0.2">
      <c r="A35" s="106">
        <v>20</v>
      </c>
      <c r="B35" s="107" t="s">
        <v>137</v>
      </c>
      <c r="C35" s="109" t="s">
        <v>846</v>
      </c>
      <c r="D35" s="108">
        <v>0</v>
      </c>
      <c r="E35" s="108">
        <f t="shared" si="0"/>
        <v>9.5000000000000001E-2</v>
      </c>
      <c r="F35" s="108">
        <v>9.5000000000000001E-2</v>
      </c>
      <c r="G35" s="121">
        <v>342</v>
      </c>
      <c r="H35" s="110" t="s">
        <v>4</v>
      </c>
      <c r="I35" s="121"/>
      <c r="J35" s="121"/>
      <c r="K35" s="121"/>
      <c r="L35" s="121"/>
      <c r="M35" s="121"/>
      <c r="N35" s="121"/>
      <c r="O35" s="121"/>
      <c r="P35" s="121"/>
      <c r="Q35" s="109">
        <v>80150024031</v>
      </c>
      <c r="R35" s="109">
        <v>80150024031</v>
      </c>
    </row>
    <row r="36" spans="1:18" x14ac:dyDescent="0.2">
      <c r="A36" s="100">
        <v>21</v>
      </c>
      <c r="B36" s="101" t="s">
        <v>136</v>
      </c>
      <c r="C36" s="109" t="s">
        <v>846</v>
      </c>
      <c r="D36" s="108">
        <v>0</v>
      </c>
      <c r="E36" s="108">
        <f t="shared" si="0"/>
        <v>3.5000000000000003E-2</v>
      </c>
      <c r="F36" s="108">
        <v>3.5000000000000003E-2</v>
      </c>
      <c r="G36" s="121">
        <v>210</v>
      </c>
      <c r="H36" s="110" t="s">
        <v>0</v>
      </c>
      <c r="I36" s="121"/>
      <c r="J36" s="121"/>
      <c r="K36" s="121"/>
      <c r="L36" s="121"/>
      <c r="M36" s="121"/>
      <c r="N36" s="121"/>
      <c r="O36" s="121"/>
      <c r="P36" s="121"/>
      <c r="Q36" s="109">
        <v>80150040317</v>
      </c>
      <c r="R36" s="109">
        <v>80150040129</v>
      </c>
    </row>
    <row r="37" spans="1:18" x14ac:dyDescent="0.2">
      <c r="A37" s="103"/>
      <c r="B37" s="104"/>
      <c r="C37" s="109" t="s">
        <v>846</v>
      </c>
      <c r="D37" s="108">
        <f t="shared" si="1"/>
        <v>3.5000000000000003E-2</v>
      </c>
      <c r="E37" s="108">
        <f t="shared" si="0"/>
        <v>0.33499999999999996</v>
      </c>
      <c r="F37" s="108">
        <v>0.3</v>
      </c>
      <c r="G37" s="121">
        <v>1800</v>
      </c>
      <c r="H37" s="110" t="s">
        <v>0</v>
      </c>
      <c r="I37" s="121"/>
      <c r="J37" s="121"/>
      <c r="K37" s="121"/>
      <c r="L37" s="121"/>
      <c r="M37" s="121"/>
      <c r="N37" s="121"/>
      <c r="O37" s="121"/>
      <c r="P37" s="121"/>
      <c r="Q37" s="109">
        <v>80150040317</v>
      </c>
      <c r="R37" s="109">
        <v>80150040317</v>
      </c>
    </row>
    <row r="38" spans="1:18" x14ac:dyDescent="0.2">
      <c r="A38" s="106">
        <v>22</v>
      </c>
      <c r="B38" s="107" t="s">
        <v>135</v>
      </c>
      <c r="C38" s="109" t="s">
        <v>846</v>
      </c>
      <c r="D38" s="117">
        <v>0</v>
      </c>
      <c r="E38" s="117">
        <f t="shared" si="0"/>
        <v>0.22500000000000001</v>
      </c>
      <c r="F38" s="117">
        <v>0.22500000000000001</v>
      </c>
      <c r="G38" s="121">
        <v>1013</v>
      </c>
      <c r="H38" s="110" t="s">
        <v>0</v>
      </c>
      <c r="I38" s="121"/>
      <c r="J38" s="121"/>
      <c r="K38" s="121"/>
      <c r="L38" s="121"/>
      <c r="M38" s="121"/>
      <c r="N38" s="121"/>
      <c r="O38" s="121"/>
      <c r="P38" s="121"/>
      <c r="Q38" s="109">
        <v>80150022259</v>
      </c>
      <c r="R38" s="109">
        <v>80150022259</v>
      </c>
    </row>
    <row r="39" spans="1:18" x14ac:dyDescent="0.2">
      <c r="A39" s="106">
        <v>23</v>
      </c>
      <c r="B39" s="107" t="s">
        <v>134</v>
      </c>
      <c r="C39" s="109" t="s">
        <v>846</v>
      </c>
      <c r="D39" s="108">
        <v>0</v>
      </c>
      <c r="E39" s="108">
        <f t="shared" si="0"/>
        <v>0.26</v>
      </c>
      <c r="F39" s="108">
        <v>0.26</v>
      </c>
      <c r="G39" s="121">
        <v>884</v>
      </c>
      <c r="H39" s="110" t="s">
        <v>4</v>
      </c>
      <c r="I39" s="121"/>
      <c r="J39" s="121"/>
      <c r="K39" s="121"/>
      <c r="L39" s="121"/>
      <c r="M39" s="121"/>
      <c r="N39" s="121"/>
      <c r="O39" s="121"/>
      <c r="P39" s="121"/>
      <c r="Q39" s="109">
        <v>80150030934</v>
      </c>
      <c r="R39" s="109">
        <v>80150030934</v>
      </c>
    </row>
    <row r="40" spans="1:18" x14ac:dyDescent="0.2">
      <c r="A40" s="106">
        <v>24</v>
      </c>
      <c r="B40" s="107" t="s">
        <v>133</v>
      </c>
      <c r="C40" s="109" t="s">
        <v>846</v>
      </c>
      <c r="D40" s="108">
        <v>0</v>
      </c>
      <c r="E40" s="108">
        <f t="shared" si="0"/>
        <v>0.27</v>
      </c>
      <c r="F40" s="108">
        <v>0.27</v>
      </c>
      <c r="G40" s="121">
        <v>1350</v>
      </c>
      <c r="H40" s="110" t="s">
        <v>1213</v>
      </c>
      <c r="I40" s="121"/>
      <c r="J40" s="121"/>
      <c r="K40" s="121"/>
      <c r="L40" s="121"/>
      <c r="M40" s="121"/>
      <c r="N40" s="121"/>
      <c r="O40" s="121"/>
      <c r="P40" s="121"/>
      <c r="Q40" s="109">
        <v>80150024770</v>
      </c>
      <c r="R40" s="109">
        <v>80150024770</v>
      </c>
    </row>
    <row r="41" spans="1:18" x14ac:dyDescent="0.2">
      <c r="A41" s="106">
        <v>25</v>
      </c>
      <c r="B41" s="107" t="s">
        <v>132</v>
      </c>
      <c r="C41" s="109" t="s">
        <v>846</v>
      </c>
      <c r="D41" s="108">
        <v>0</v>
      </c>
      <c r="E41" s="108">
        <f t="shared" si="0"/>
        <v>0.27500000000000002</v>
      </c>
      <c r="F41" s="108">
        <v>0.27500000000000002</v>
      </c>
      <c r="G41" s="121">
        <v>1100</v>
      </c>
      <c r="H41" s="110" t="s">
        <v>0</v>
      </c>
      <c r="I41" s="121"/>
      <c r="J41" s="121"/>
      <c r="K41" s="121"/>
      <c r="L41" s="121"/>
      <c r="M41" s="121"/>
      <c r="N41" s="121"/>
      <c r="O41" s="121"/>
      <c r="P41" s="121"/>
      <c r="Q41" s="109">
        <v>80150022976</v>
      </c>
      <c r="R41" s="109">
        <v>80150022976</v>
      </c>
    </row>
    <row r="42" spans="1:18" x14ac:dyDescent="0.2">
      <c r="A42" s="106">
        <v>26</v>
      </c>
      <c r="B42" s="107" t="s">
        <v>869</v>
      </c>
      <c r="C42" s="109" t="s">
        <v>846</v>
      </c>
      <c r="D42" s="108">
        <v>0</v>
      </c>
      <c r="E42" s="108">
        <f t="shared" si="0"/>
        <v>0.18</v>
      </c>
      <c r="F42" s="108">
        <v>0.18</v>
      </c>
      <c r="G42" s="121">
        <v>720</v>
      </c>
      <c r="H42" s="110" t="s">
        <v>0</v>
      </c>
      <c r="I42" s="121"/>
      <c r="J42" s="121"/>
      <c r="K42" s="121"/>
      <c r="L42" s="121"/>
      <c r="M42" s="121"/>
      <c r="N42" s="121"/>
      <c r="O42" s="121"/>
      <c r="P42" s="121"/>
      <c r="Q42" s="109">
        <v>80940040874</v>
      </c>
      <c r="R42" s="109">
        <v>80940040874</v>
      </c>
    </row>
    <row r="43" spans="1:18" x14ac:dyDescent="0.2">
      <c r="A43" s="106">
        <v>27</v>
      </c>
      <c r="B43" s="107" t="s">
        <v>131</v>
      </c>
      <c r="C43" s="109" t="s">
        <v>846</v>
      </c>
      <c r="D43" s="108">
        <v>0</v>
      </c>
      <c r="E43" s="108">
        <f t="shared" si="0"/>
        <v>0.23499999999999999</v>
      </c>
      <c r="F43" s="108">
        <v>0.23499999999999999</v>
      </c>
      <c r="G43" s="121">
        <v>823</v>
      </c>
      <c r="H43" s="110" t="s">
        <v>0</v>
      </c>
      <c r="I43" s="121"/>
      <c r="J43" s="121"/>
      <c r="K43" s="121"/>
      <c r="L43" s="121"/>
      <c r="M43" s="121"/>
      <c r="N43" s="121"/>
      <c r="O43" s="121"/>
      <c r="P43" s="121"/>
      <c r="Q43" s="109">
        <v>80150023741</v>
      </c>
      <c r="R43" s="109">
        <v>80150023741</v>
      </c>
    </row>
    <row r="44" spans="1:18" x14ac:dyDescent="0.2">
      <c r="A44" s="106">
        <v>28</v>
      </c>
      <c r="B44" s="107" t="s">
        <v>130</v>
      </c>
      <c r="C44" s="109" t="s">
        <v>848</v>
      </c>
      <c r="D44" s="108">
        <v>0</v>
      </c>
      <c r="E44" s="108">
        <f t="shared" si="0"/>
        <v>0.55000000000000004</v>
      </c>
      <c r="F44" s="108">
        <v>0.55000000000000004</v>
      </c>
      <c r="G44" s="121">
        <v>3300</v>
      </c>
      <c r="H44" s="110" t="s">
        <v>4</v>
      </c>
      <c r="I44" s="121"/>
      <c r="J44" s="121"/>
      <c r="K44" s="121"/>
      <c r="L44" s="121"/>
      <c r="M44" s="121"/>
      <c r="N44" s="121"/>
      <c r="O44" s="121"/>
      <c r="P44" s="121">
        <v>1836</v>
      </c>
      <c r="Q44" s="109">
        <v>80150021821</v>
      </c>
      <c r="R44" s="109">
        <v>80150021821</v>
      </c>
    </row>
    <row r="45" spans="1:18" x14ac:dyDescent="0.2">
      <c r="A45" s="106">
        <v>29</v>
      </c>
      <c r="B45" s="107" t="s">
        <v>129</v>
      </c>
      <c r="C45" s="109" t="s">
        <v>846</v>
      </c>
      <c r="D45" s="108">
        <v>0</v>
      </c>
      <c r="E45" s="108">
        <f t="shared" si="0"/>
        <v>0.22500000000000001</v>
      </c>
      <c r="F45" s="108">
        <v>0.22500000000000001</v>
      </c>
      <c r="G45" s="121">
        <v>945</v>
      </c>
      <c r="H45" s="110" t="s">
        <v>4</v>
      </c>
      <c r="I45" s="121"/>
      <c r="J45" s="121"/>
      <c r="K45" s="121"/>
      <c r="L45" s="121"/>
      <c r="M45" s="121"/>
      <c r="N45" s="121"/>
      <c r="O45" s="121"/>
      <c r="P45" s="121"/>
      <c r="Q45" s="109">
        <v>80150022258</v>
      </c>
      <c r="R45" s="109">
        <v>80150022258</v>
      </c>
    </row>
    <row r="46" spans="1:18" x14ac:dyDescent="0.2">
      <c r="A46" s="106">
        <v>30</v>
      </c>
      <c r="B46" s="107" t="s">
        <v>128</v>
      </c>
      <c r="C46" s="109" t="s">
        <v>846</v>
      </c>
      <c r="D46" s="108">
        <v>0</v>
      </c>
      <c r="E46" s="108">
        <f t="shared" si="0"/>
        <v>0.65</v>
      </c>
      <c r="F46" s="108">
        <v>0.65</v>
      </c>
      <c r="G46" s="121">
        <v>2275</v>
      </c>
      <c r="H46" s="110" t="s">
        <v>1213</v>
      </c>
      <c r="I46" s="121"/>
      <c r="J46" s="121"/>
      <c r="K46" s="121"/>
      <c r="L46" s="121"/>
      <c r="M46" s="121"/>
      <c r="N46" s="121"/>
      <c r="O46" s="121"/>
      <c r="P46" s="121"/>
      <c r="Q46" s="109">
        <v>80150022127</v>
      </c>
      <c r="R46" s="109">
        <v>80150022127</v>
      </c>
    </row>
    <row r="47" spans="1:18" x14ac:dyDescent="0.2">
      <c r="A47" s="106">
        <v>31</v>
      </c>
      <c r="B47" s="107" t="s">
        <v>127</v>
      </c>
      <c r="C47" s="109" t="s">
        <v>846</v>
      </c>
      <c r="D47" s="108">
        <v>0</v>
      </c>
      <c r="E47" s="108">
        <f t="shared" si="0"/>
        <v>0.44500000000000001</v>
      </c>
      <c r="F47" s="108">
        <v>0.44500000000000001</v>
      </c>
      <c r="G47" s="121">
        <v>2448</v>
      </c>
      <c r="H47" s="110" t="s">
        <v>1213</v>
      </c>
      <c r="I47" s="121"/>
      <c r="J47" s="121"/>
      <c r="K47" s="121"/>
      <c r="L47" s="121"/>
      <c r="M47" s="121"/>
      <c r="N47" s="121"/>
      <c r="O47" s="121"/>
      <c r="P47" s="121"/>
      <c r="Q47" s="109">
        <v>80150032358</v>
      </c>
      <c r="R47" s="109">
        <v>80150032358</v>
      </c>
    </row>
    <row r="48" spans="1:18" x14ac:dyDescent="0.2">
      <c r="A48" s="106">
        <v>32</v>
      </c>
      <c r="B48" s="101" t="s">
        <v>208</v>
      </c>
      <c r="C48" s="111" t="s">
        <v>846</v>
      </c>
      <c r="D48" s="108">
        <v>0</v>
      </c>
      <c r="E48" s="108">
        <f t="shared" si="0"/>
        <v>0.29399999999999998</v>
      </c>
      <c r="F48" s="108">
        <v>0.29399999999999998</v>
      </c>
      <c r="G48" s="121">
        <v>1470</v>
      </c>
      <c r="H48" s="110" t="s">
        <v>154</v>
      </c>
      <c r="I48" s="121"/>
      <c r="J48" s="121"/>
      <c r="K48" s="121"/>
      <c r="L48" s="121"/>
      <c r="M48" s="121"/>
      <c r="N48" s="121"/>
      <c r="O48" s="121"/>
      <c r="P48" s="121">
        <v>318</v>
      </c>
      <c r="Q48" s="109">
        <v>80150021426</v>
      </c>
      <c r="R48" s="383" t="s">
        <v>209</v>
      </c>
    </row>
    <row r="49" spans="1:18" x14ac:dyDescent="0.2">
      <c r="A49" s="106">
        <v>33</v>
      </c>
      <c r="B49" s="120" t="s">
        <v>1</v>
      </c>
      <c r="C49" s="111" t="s">
        <v>848</v>
      </c>
      <c r="D49" s="108">
        <v>0</v>
      </c>
      <c r="E49" s="108">
        <f t="shared" si="0"/>
        <v>1.5</v>
      </c>
      <c r="F49" s="108">
        <v>1.5</v>
      </c>
      <c r="G49" s="121">
        <v>9000</v>
      </c>
      <c r="H49" s="110" t="s">
        <v>4</v>
      </c>
      <c r="I49" s="121"/>
      <c r="J49" s="121"/>
      <c r="K49" s="121"/>
      <c r="L49" s="121"/>
      <c r="M49" s="121"/>
      <c r="N49" s="121"/>
      <c r="O49" s="121"/>
      <c r="P49" s="121">
        <v>4214</v>
      </c>
      <c r="Q49" s="109">
        <v>80150023737</v>
      </c>
      <c r="R49" s="109">
        <v>80150023737</v>
      </c>
    </row>
    <row r="50" spans="1:18" x14ac:dyDescent="0.2">
      <c r="A50" s="106">
        <v>34</v>
      </c>
      <c r="B50" s="101" t="s">
        <v>126</v>
      </c>
      <c r="C50" s="111" t="s">
        <v>846</v>
      </c>
      <c r="D50" s="108">
        <v>0</v>
      </c>
      <c r="E50" s="108">
        <v>0.217</v>
      </c>
      <c r="F50" s="108">
        <v>0.217</v>
      </c>
      <c r="G50" s="121">
        <v>950</v>
      </c>
      <c r="H50" s="110" t="s">
        <v>1213</v>
      </c>
      <c r="I50" s="121"/>
      <c r="J50" s="121"/>
      <c r="K50" s="121"/>
      <c r="L50" s="121"/>
      <c r="M50" s="121"/>
      <c r="N50" s="121"/>
      <c r="O50" s="121"/>
      <c r="P50" s="121"/>
      <c r="Q50" s="384">
        <v>80150031849</v>
      </c>
      <c r="R50" s="384">
        <v>80150031849</v>
      </c>
    </row>
    <row r="51" spans="1:18" x14ac:dyDescent="0.2">
      <c r="A51" s="106">
        <v>35</v>
      </c>
      <c r="B51" s="107" t="s">
        <v>125</v>
      </c>
      <c r="C51" s="109" t="s">
        <v>846</v>
      </c>
      <c r="D51" s="108">
        <v>0</v>
      </c>
      <c r="E51" s="108">
        <f t="shared" si="0"/>
        <v>0.16500000000000001</v>
      </c>
      <c r="F51" s="108">
        <v>0.16500000000000001</v>
      </c>
      <c r="G51" s="121">
        <v>660</v>
      </c>
      <c r="H51" s="110" t="s">
        <v>1213</v>
      </c>
      <c r="I51" s="121"/>
      <c r="J51" s="121"/>
      <c r="K51" s="121"/>
      <c r="L51" s="121"/>
      <c r="M51" s="121"/>
      <c r="N51" s="121"/>
      <c r="O51" s="121"/>
      <c r="P51" s="121"/>
      <c r="Q51" s="109">
        <v>80150031641</v>
      </c>
      <c r="R51" s="109">
        <v>80150031641</v>
      </c>
    </row>
    <row r="52" spans="1:18" x14ac:dyDescent="0.2">
      <c r="A52" s="106">
        <v>36</v>
      </c>
      <c r="B52" s="101" t="s">
        <v>124</v>
      </c>
      <c r="C52" s="111" t="s">
        <v>846</v>
      </c>
      <c r="D52" s="108">
        <v>0</v>
      </c>
      <c r="E52" s="108">
        <v>0.43099999999999999</v>
      </c>
      <c r="F52" s="108">
        <v>0.43099999999999999</v>
      </c>
      <c r="G52" s="121">
        <v>3452</v>
      </c>
      <c r="H52" s="110" t="s">
        <v>154</v>
      </c>
      <c r="I52" s="121"/>
      <c r="J52" s="121"/>
      <c r="K52" s="121"/>
      <c r="L52" s="121"/>
      <c r="M52" s="121"/>
      <c r="N52" s="121"/>
      <c r="O52" s="121"/>
      <c r="P52" s="121"/>
      <c r="Q52" s="109">
        <v>80150022436</v>
      </c>
      <c r="R52" s="109">
        <v>80150022436</v>
      </c>
    </row>
    <row r="53" spans="1:18" x14ac:dyDescent="0.2">
      <c r="A53" s="106">
        <v>37</v>
      </c>
      <c r="B53" s="120" t="s">
        <v>123</v>
      </c>
      <c r="C53" s="111" t="s">
        <v>846</v>
      </c>
      <c r="D53" s="108">
        <v>0</v>
      </c>
      <c r="E53" s="108">
        <f t="shared" si="0"/>
        <v>7.4999999999999997E-2</v>
      </c>
      <c r="F53" s="108">
        <v>7.4999999999999997E-2</v>
      </c>
      <c r="G53" s="121">
        <v>225</v>
      </c>
      <c r="H53" s="110" t="s">
        <v>325</v>
      </c>
      <c r="I53" s="121"/>
      <c r="J53" s="121"/>
      <c r="K53" s="121"/>
      <c r="L53" s="121"/>
      <c r="M53" s="121"/>
      <c r="N53" s="121"/>
      <c r="O53" s="121"/>
      <c r="P53" s="121"/>
      <c r="Q53" s="109">
        <v>80150030935</v>
      </c>
      <c r="R53" s="109">
        <v>80150030935</v>
      </c>
    </row>
    <row r="54" spans="1:18" x14ac:dyDescent="0.2">
      <c r="A54" s="106">
        <v>38</v>
      </c>
      <c r="B54" s="107" t="s">
        <v>122</v>
      </c>
      <c r="C54" s="109" t="s">
        <v>846</v>
      </c>
      <c r="D54" s="108">
        <v>0</v>
      </c>
      <c r="E54" s="108">
        <f t="shared" si="0"/>
        <v>0.13</v>
      </c>
      <c r="F54" s="108">
        <v>0.13</v>
      </c>
      <c r="G54" s="121">
        <v>429</v>
      </c>
      <c r="H54" s="110" t="s">
        <v>0</v>
      </c>
      <c r="I54" s="121"/>
      <c r="J54" s="121"/>
      <c r="K54" s="121"/>
      <c r="L54" s="121"/>
      <c r="M54" s="121"/>
      <c r="N54" s="121"/>
      <c r="O54" s="121"/>
      <c r="P54" s="121"/>
      <c r="Q54" s="109">
        <v>80150023742</v>
      </c>
      <c r="R54" s="109">
        <v>80150023742</v>
      </c>
    </row>
    <row r="55" spans="1:18" x14ac:dyDescent="0.2">
      <c r="A55" s="106">
        <v>39</v>
      </c>
      <c r="B55" s="101" t="s">
        <v>234</v>
      </c>
      <c r="C55" s="111" t="s">
        <v>846</v>
      </c>
      <c r="D55" s="108">
        <v>0</v>
      </c>
      <c r="E55" s="108">
        <v>0.34499999999999997</v>
      </c>
      <c r="F55" s="108">
        <v>0.34499999999999997</v>
      </c>
      <c r="G55" s="121">
        <v>2163</v>
      </c>
      <c r="H55" s="110" t="s">
        <v>4</v>
      </c>
      <c r="I55" s="121"/>
      <c r="J55" s="121"/>
      <c r="K55" s="121"/>
      <c r="L55" s="121"/>
      <c r="M55" s="121"/>
      <c r="N55" s="121"/>
      <c r="O55" s="121"/>
      <c r="P55" s="121"/>
      <c r="Q55" s="109">
        <v>80150020031</v>
      </c>
      <c r="R55" s="109">
        <v>80150020225</v>
      </c>
    </row>
    <row r="56" spans="1:18" x14ac:dyDescent="0.2">
      <c r="A56" s="106">
        <v>40</v>
      </c>
      <c r="B56" s="498" t="s">
        <v>121</v>
      </c>
      <c r="C56" s="483" t="s">
        <v>846</v>
      </c>
      <c r="D56" s="108">
        <v>0</v>
      </c>
      <c r="E56" s="108">
        <f t="shared" ref="E56" si="2">D56+F56</f>
        <v>0.255</v>
      </c>
      <c r="F56" s="108">
        <v>0.255</v>
      </c>
      <c r="G56" s="121">
        <v>1275</v>
      </c>
      <c r="H56" s="110" t="s">
        <v>1213</v>
      </c>
      <c r="I56" s="121"/>
      <c r="J56" s="121"/>
      <c r="K56" s="121"/>
      <c r="L56" s="121"/>
      <c r="M56" s="121"/>
      <c r="N56" s="121"/>
      <c r="O56" s="121"/>
      <c r="P56" s="121"/>
      <c r="Q56" s="109">
        <v>80150024769</v>
      </c>
      <c r="R56" s="109">
        <v>80150024769</v>
      </c>
    </row>
    <row r="57" spans="1:18" ht="22.5" x14ac:dyDescent="0.2">
      <c r="A57" s="103">
        <v>41</v>
      </c>
      <c r="B57" s="500" t="s">
        <v>120</v>
      </c>
      <c r="C57" s="483" t="s">
        <v>846</v>
      </c>
      <c r="D57" s="108">
        <v>0</v>
      </c>
      <c r="E57" s="108">
        <f t="shared" si="0"/>
        <v>0.28000000000000003</v>
      </c>
      <c r="F57" s="108">
        <v>0.28000000000000003</v>
      </c>
      <c r="G57" s="121">
        <v>840</v>
      </c>
      <c r="H57" s="110" t="s">
        <v>0</v>
      </c>
      <c r="I57" s="121"/>
      <c r="J57" s="121"/>
      <c r="K57" s="121"/>
      <c r="L57" s="121"/>
      <c r="M57" s="121"/>
      <c r="N57" s="121"/>
      <c r="O57" s="121"/>
      <c r="P57" s="121"/>
      <c r="Q57" s="109">
        <v>80150023235</v>
      </c>
      <c r="R57" s="109">
        <v>80150023235</v>
      </c>
    </row>
    <row r="58" spans="1:18" x14ac:dyDescent="0.2">
      <c r="A58" s="100">
        <v>42</v>
      </c>
      <c r="B58" s="101" t="s">
        <v>119</v>
      </c>
      <c r="C58" s="483" t="s">
        <v>846</v>
      </c>
      <c r="D58" s="381">
        <v>0</v>
      </c>
      <c r="E58" s="381">
        <f t="shared" si="0"/>
        <v>0.28000000000000003</v>
      </c>
      <c r="F58" s="381">
        <v>0.28000000000000003</v>
      </c>
      <c r="G58" s="772">
        <v>1140</v>
      </c>
      <c r="H58" s="110" t="s">
        <v>1213</v>
      </c>
      <c r="I58" s="225"/>
      <c r="J58" s="225"/>
      <c r="K58" s="225"/>
      <c r="L58" s="225"/>
      <c r="M58" s="225"/>
      <c r="N58" s="225"/>
      <c r="O58" s="225"/>
      <c r="P58" s="225"/>
      <c r="Q58" s="109">
        <v>80150031359</v>
      </c>
      <c r="R58" s="109">
        <v>80150031359</v>
      </c>
    </row>
    <row r="59" spans="1:18" x14ac:dyDescent="0.2">
      <c r="A59" s="100">
        <v>43</v>
      </c>
      <c r="B59" s="101" t="s">
        <v>118</v>
      </c>
      <c r="C59" s="483" t="s">
        <v>846</v>
      </c>
      <c r="D59" s="108">
        <v>0</v>
      </c>
      <c r="E59" s="108">
        <f t="shared" si="0"/>
        <v>0.15</v>
      </c>
      <c r="F59" s="108">
        <v>0.15</v>
      </c>
      <c r="G59" s="121">
        <v>750</v>
      </c>
      <c r="H59" s="110" t="s">
        <v>4</v>
      </c>
      <c r="I59" s="121"/>
      <c r="J59" s="121"/>
      <c r="K59" s="121"/>
      <c r="L59" s="121"/>
      <c r="M59" s="121"/>
      <c r="N59" s="121"/>
      <c r="O59" s="121"/>
      <c r="P59" s="121"/>
      <c r="Q59" s="109">
        <v>80150030144</v>
      </c>
      <c r="R59" s="109">
        <v>80150030144</v>
      </c>
    </row>
    <row r="60" spans="1:18" x14ac:dyDescent="0.2">
      <c r="A60" s="113"/>
      <c r="B60" s="122"/>
      <c r="C60" s="483" t="s">
        <v>846</v>
      </c>
      <c r="D60" s="108">
        <f t="shared" si="1"/>
        <v>0.15</v>
      </c>
      <c r="E60" s="108">
        <f t="shared" si="0"/>
        <v>0.30499999999999999</v>
      </c>
      <c r="F60" s="108">
        <v>0.155</v>
      </c>
      <c r="G60" s="121">
        <v>775</v>
      </c>
      <c r="H60" s="110" t="s">
        <v>4</v>
      </c>
      <c r="I60" s="121"/>
      <c r="J60" s="121"/>
      <c r="K60" s="121"/>
      <c r="L60" s="121"/>
      <c r="M60" s="121"/>
      <c r="N60" s="121"/>
      <c r="O60" s="121"/>
      <c r="P60" s="121"/>
      <c r="Q60" s="109">
        <v>80150030144</v>
      </c>
      <c r="R60" s="109">
        <v>80150031196</v>
      </c>
    </row>
    <row r="61" spans="1:18" x14ac:dyDescent="0.2">
      <c r="A61" s="114"/>
      <c r="B61" s="104"/>
      <c r="C61" s="483" t="s">
        <v>846</v>
      </c>
      <c r="D61" s="108">
        <f t="shared" si="1"/>
        <v>0.30499999999999999</v>
      </c>
      <c r="E61" s="108">
        <f t="shared" si="0"/>
        <v>0.48499999999999999</v>
      </c>
      <c r="F61" s="108">
        <v>0.18</v>
      </c>
      <c r="G61" s="121">
        <v>900</v>
      </c>
      <c r="H61" s="110" t="s">
        <v>4</v>
      </c>
      <c r="I61" s="121"/>
      <c r="J61" s="121"/>
      <c r="K61" s="121"/>
      <c r="L61" s="121"/>
      <c r="M61" s="121"/>
      <c r="N61" s="121"/>
      <c r="O61" s="121"/>
      <c r="P61" s="121"/>
      <c r="Q61" s="109">
        <v>80150030144</v>
      </c>
      <c r="R61" s="109">
        <v>80150031197</v>
      </c>
    </row>
    <row r="62" spans="1:18" x14ac:dyDescent="0.2">
      <c r="A62" s="115">
        <v>44</v>
      </c>
      <c r="B62" s="107" t="s">
        <v>117</v>
      </c>
      <c r="C62" s="109" t="s">
        <v>846</v>
      </c>
      <c r="D62" s="108">
        <v>0</v>
      </c>
      <c r="E62" s="108">
        <f t="shared" si="0"/>
        <v>0.61499999999999999</v>
      </c>
      <c r="F62" s="108">
        <v>0.61499999999999999</v>
      </c>
      <c r="G62" s="121">
        <v>1845</v>
      </c>
      <c r="H62" s="110" t="s">
        <v>0</v>
      </c>
      <c r="I62" s="121"/>
      <c r="J62" s="121"/>
      <c r="K62" s="121"/>
      <c r="L62" s="121"/>
      <c r="M62" s="121"/>
      <c r="N62" s="121"/>
      <c r="O62" s="121"/>
      <c r="P62" s="121"/>
      <c r="Q62" s="109">
        <v>80150020204</v>
      </c>
      <c r="R62" s="109">
        <v>80150020204</v>
      </c>
    </row>
    <row r="63" spans="1:18" x14ac:dyDescent="0.2">
      <c r="A63" s="115">
        <v>45</v>
      </c>
      <c r="B63" s="107" t="s">
        <v>116</v>
      </c>
      <c r="C63" s="109" t="s">
        <v>846</v>
      </c>
      <c r="D63" s="108">
        <v>0</v>
      </c>
      <c r="E63" s="108">
        <f t="shared" si="0"/>
        <v>0.1</v>
      </c>
      <c r="F63" s="108">
        <v>0.1</v>
      </c>
      <c r="G63" s="121">
        <v>300</v>
      </c>
      <c r="H63" s="110" t="s">
        <v>1213</v>
      </c>
      <c r="I63" s="121"/>
      <c r="J63" s="121"/>
      <c r="K63" s="121"/>
      <c r="L63" s="121"/>
      <c r="M63" s="121"/>
      <c r="N63" s="121"/>
      <c r="O63" s="121"/>
      <c r="P63" s="121"/>
      <c r="Q63" s="109">
        <v>80150024772</v>
      </c>
      <c r="R63" s="109">
        <v>80150024772</v>
      </c>
    </row>
    <row r="64" spans="1:18" x14ac:dyDescent="0.2">
      <c r="A64" s="115">
        <v>46</v>
      </c>
      <c r="B64" s="107" t="s">
        <v>115</v>
      </c>
      <c r="C64" s="109" t="s">
        <v>846</v>
      </c>
      <c r="D64" s="108">
        <v>0</v>
      </c>
      <c r="E64" s="108">
        <f t="shared" si="0"/>
        <v>0.315</v>
      </c>
      <c r="F64" s="108">
        <v>0.315</v>
      </c>
      <c r="G64" s="121">
        <v>1103</v>
      </c>
      <c r="H64" s="110" t="s">
        <v>1213</v>
      </c>
      <c r="I64" s="121"/>
      <c r="J64" s="121"/>
      <c r="K64" s="121"/>
      <c r="L64" s="121"/>
      <c r="M64" s="121"/>
      <c r="N64" s="121"/>
      <c r="O64" s="121"/>
      <c r="P64" s="121"/>
      <c r="Q64" s="109">
        <v>80150024527</v>
      </c>
      <c r="R64" s="109">
        <v>80150024527</v>
      </c>
    </row>
    <row r="65" spans="1:18" x14ac:dyDescent="0.2">
      <c r="A65" s="115">
        <v>47</v>
      </c>
      <c r="B65" s="107" t="s">
        <v>114</v>
      </c>
      <c r="C65" s="109" t="s">
        <v>846</v>
      </c>
      <c r="D65" s="108">
        <v>0</v>
      </c>
      <c r="E65" s="108">
        <f t="shared" si="0"/>
        <v>0.115</v>
      </c>
      <c r="F65" s="108">
        <v>0.115</v>
      </c>
      <c r="G65" s="121">
        <v>460</v>
      </c>
      <c r="H65" s="110" t="s">
        <v>0</v>
      </c>
      <c r="I65" s="121"/>
      <c r="J65" s="121"/>
      <c r="K65" s="121"/>
      <c r="L65" s="121"/>
      <c r="M65" s="121"/>
      <c r="N65" s="121"/>
      <c r="O65" s="121"/>
      <c r="P65" s="121"/>
      <c r="Q65" s="109">
        <v>80150022438</v>
      </c>
      <c r="R65" s="109">
        <v>80150022438</v>
      </c>
    </row>
    <row r="66" spans="1:18" x14ac:dyDescent="0.2">
      <c r="A66" s="115">
        <v>48</v>
      </c>
      <c r="B66" s="107" t="s">
        <v>113</v>
      </c>
      <c r="C66" s="111" t="s">
        <v>846</v>
      </c>
      <c r="D66" s="108">
        <v>0</v>
      </c>
      <c r="E66" s="108">
        <f t="shared" si="0"/>
        <v>0.255</v>
      </c>
      <c r="F66" s="108">
        <v>0.255</v>
      </c>
      <c r="G66" s="121">
        <v>1275</v>
      </c>
      <c r="H66" s="110" t="s">
        <v>4</v>
      </c>
      <c r="I66" s="121"/>
      <c r="J66" s="121"/>
      <c r="K66" s="121"/>
      <c r="L66" s="121"/>
      <c r="M66" s="121"/>
      <c r="N66" s="121"/>
      <c r="O66" s="121"/>
      <c r="P66" s="121">
        <v>316</v>
      </c>
      <c r="Q66" s="109">
        <v>80150031545</v>
      </c>
      <c r="R66" s="109">
        <v>80150031545</v>
      </c>
    </row>
    <row r="67" spans="1:18" x14ac:dyDescent="0.2">
      <c r="A67" s="103"/>
      <c r="B67" s="127" t="s">
        <v>390</v>
      </c>
      <c r="C67" s="111" t="s">
        <v>846</v>
      </c>
      <c r="D67" s="108">
        <v>0</v>
      </c>
      <c r="E67" s="108">
        <f t="shared" si="0"/>
        <v>8.5000000000000006E-2</v>
      </c>
      <c r="F67" s="108">
        <v>8.5000000000000006E-2</v>
      </c>
      <c r="G67" s="121">
        <v>255</v>
      </c>
      <c r="H67" s="110" t="s">
        <v>0</v>
      </c>
      <c r="I67" s="121"/>
      <c r="J67" s="121"/>
      <c r="K67" s="121"/>
      <c r="L67" s="121"/>
      <c r="M67" s="121"/>
      <c r="N67" s="121"/>
      <c r="O67" s="121"/>
      <c r="P67" s="121"/>
      <c r="Q67" s="109">
        <v>80150031545</v>
      </c>
      <c r="R67" s="109">
        <v>80150031545</v>
      </c>
    </row>
    <row r="68" spans="1:18" x14ac:dyDescent="0.2">
      <c r="A68" s="115">
        <v>49</v>
      </c>
      <c r="B68" s="107" t="s">
        <v>108</v>
      </c>
      <c r="C68" s="109" t="s">
        <v>846</v>
      </c>
      <c r="D68" s="108">
        <v>0</v>
      </c>
      <c r="E68" s="108">
        <f t="shared" si="0"/>
        <v>0.23499999999999999</v>
      </c>
      <c r="F68" s="108">
        <v>0.23499999999999999</v>
      </c>
      <c r="G68" s="121">
        <v>1716</v>
      </c>
      <c r="H68" s="110" t="s">
        <v>4</v>
      </c>
      <c r="I68" s="121"/>
      <c r="J68" s="121"/>
      <c r="K68" s="121"/>
      <c r="L68" s="121"/>
      <c r="M68" s="121"/>
      <c r="N68" s="121"/>
      <c r="O68" s="121"/>
      <c r="P68" s="121">
        <v>201</v>
      </c>
      <c r="Q68" s="109">
        <v>80150031638</v>
      </c>
      <c r="R68" s="109">
        <v>80150031638</v>
      </c>
    </row>
    <row r="69" spans="1:18" x14ac:dyDescent="0.2">
      <c r="A69" s="115">
        <v>50</v>
      </c>
      <c r="B69" s="107" t="s">
        <v>107</v>
      </c>
      <c r="C69" s="109" t="s">
        <v>846</v>
      </c>
      <c r="D69" s="108">
        <v>0</v>
      </c>
      <c r="E69" s="108">
        <f t="shared" si="0"/>
        <v>0.3</v>
      </c>
      <c r="F69" s="108">
        <v>0.3</v>
      </c>
      <c r="G69" s="121">
        <v>1500</v>
      </c>
      <c r="H69" s="110" t="s">
        <v>0</v>
      </c>
      <c r="I69" s="121"/>
      <c r="J69" s="121"/>
      <c r="K69" s="121"/>
      <c r="L69" s="121"/>
      <c r="M69" s="121"/>
      <c r="N69" s="121"/>
      <c r="O69" s="121"/>
      <c r="P69" s="121"/>
      <c r="Q69" s="109">
        <v>80150031939</v>
      </c>
      <c r="R69" s="109">
        <v>80150031939</v>
      </c>
    </row>
    <row r="70" spans="1:18" x14ac:dyDescent="0.2">
      <c r="A70" s="100">
        <v>51</v>
      </c>
      <c r="B70" s="101" t="s">
        <v>106</v>
      </c>
      <c r="C70" s="109" t="s">
        <v>846</v>
      </c>
      <c r="D70" s="108">
        <v>0</v>
      </c>
      <c r="E70" s="108">
        <f t="shared" si="0"/>
        <v>0.11</v>
      </c>
      <c r="F70" s="108">
        <v>0.11</v>
      </c>
      <c r="G70" s="121">
        <v>330</v>
      </c>
      <c r="H70" s="110" t="s">
        <v>0</v>
      </c>
      <c r="I70" s="121"/>
      <c r="J70" s="121"/>
      <c r="K70" s="121"/>
      <c r="L70" s="121"/>
      <c r="M70" s="121"/>
      <c r="N70" s="121"/>
      <c r="O70" s="121"/>
      <c r="P70" s="121"/>
      <c r="Q70" s="109">
        <v>80150023837</v>
      </c>
      <c r="R70" s="109">
        <v>80150023837</v>
      </c>
    </row>
    <row r="71" spans="1:18" x14ac:dyDescent="0.2">
      <c r="A71" s="113"/>
      <c r="B71" s="122"/>
      <c r="C71" s="109" t="s">
        <v>846</v>
      </c>
      <c r="D71" s="108">
        <f t="shared" ref="D71:D116" si="3">E70</f>
        <v>0.11</v>
      </c>
      <c r="E71" s="108">
        <f t="shared" si="0"/>
        <v>0.19500000000000001</v>
      </c>
      <c r="F71" s="108">
        <v>8.5000000000000006E-2</v>
      </c>
      <c r="G71" s="121">
        <v>255</v>
      </c>
      <c r="H71" s="110" t="s">
        <v>1213</v>
      </c>
      <c r="I71" s="121"/>
      <c r="J71" s="121"/>
      <c r="K71" s="121"/>
      <c r="L71" s="121"/>
      <c r="M71" s="121"/>
      <c r="N71" s="121"/>
      <c r="O71" s="121"/>
      <c r="P71" s="121"/>
      <c r="Q71" s="109">
        <v>80150023837</v>
      </c>
      <c r="R71" s="109">
        <v>80150030428</v>
      </c>
    </row>
    <row r="72" spans="1:18" x14ac:dyDescent="0.2">
      <c r="A72" s="114"/>
      <c r="B72" s="104"/>
      <c r="C72" s="109" t="s">
        <v>846</v>
      </c>
      <c r="D72" s="108">
        <f t="shared" si="3"/>
        <v>0.19500000000000001</v>
      </c>
      <c r="E72" s="108">
        <f t="shared" ref="E72:E134" si="4">D72+F72</f>
        <v>0.43</v>
      </c>
      <c r="F72" s="108">
        <v>0.23499999999999999</v>
      </c>
      <c r="G72" s="121">
        <v>1250</v>
      </c>
      <c r="H72" s="110" t="s">
        <v>1213</v>
      </c>
      <c r="I72" s="121"/>
      <c r="J72" s="121"/>
      <c r="K72" s="121"/>
      <c r="L72" s="121"/>
      <c r="M72" s="121"/>
      <c r="N72" s="121"/>
      <c r="O72" s="121"/>
      <c r="P72" s="121"/>
      <c r="Q72" s="109">
        <v>80150023837</v>
      </c>
      <c r="R72" s="109">
        <v>80150030562</v>
      </c>
    </row>
    <row r="73" spans="1:18" x14ac:dyDescent="0.2">
      <c r="A73" s="115">
        <v>52</v>
      </c>
      <c r="B73" s="107" t="s">
        <v>112</v>
      </c>
      <c r="C73" s="109" t="s">
        <v>848</v>
      </c>
      <c r="D73" s="108">
        <v>0</v>
      </c>
      <c r="E73" s="108">
        <f t="shared" si="4"/>
        <v>0.27</v>
      </c>
      <c r="F73" s="108">
        <v>0.27</v>
      </c>
      <c r="G73" s="121">
        <v>1755</v>
      </c>
      <c r="H73" s="110" t="s">
        <v>4</v>
      </c>
      <c r="I73" s="121"/>
      <c r="J73" s="121"/>
      <c r="K73" s="121"/>
      <c r="L73" s="121"/>
      <c r="M73" s="121"/>
      <c r="N73" s="121"/>
      <c r="O73" s="121"/>
      <c r="P73" s="121">
        <v>893</v>
      </c>
      <c r="Q73" s="109">
        <v>80150023146</v>
      </c>
      <c r="R73" s="109">
        <v>80150023146</v>
      </c>
    </row>
    <row r="74" spans="1:18" x14ac:dyDescent="0.2">
      <c r="A74" s="115">
        <v>53</v>
      </c>
      <c r="B74" s="107" t="s">
        <v>109</v>
      </c>
      <c r="C74" s="109" t="s">
        <v>846</v>
      </c>
      <c r="D74" s="108">
        <v>0</v>
      </c>
      <c r="E74" s="108">
        <f t="shared" si="4"/>
        <v>0.35</v>
      </c>
      <c r="F74" s="108">
        <v>0.35</v>
      </c>
      <c r="G74" s="121">
        <v>2100</v>
      </c>
      <c r="H74" s="110" t="s">
        <v>154</v>
      </c>
      <c r="I74" s="121"/>
      <c r="J74" s="121"/>
      <c r="K74" s="121"/>
      <c r="L74" s="121"/>
      <c r="M74" s="121"/>
      <c r="N74" s="121"/>
      <c r="O74" s="121"/>
      <c r="P74" s="121">
        <v>1121</v>
      </c>
      <c r="Q74" s="109">
        <v>80150021727</v>
      </c>
      <c r="R74" s="109">
        <v>80150021727</v>
      </c>
    </row>
    <row r="75" spans="1:18" x14ac:dyDescent="0.2">
      <c r="A75" s="115">
        <v>54</v>
      </c>
      <c r="B75" s="107" t="s">
        <v>105</v>
      </c>
      <c r="C75" s="109" t="s">
        <v>846</v>
      </c>
      <c r="D75" s="108">
        <v>0</v>
      </c>
      <c r="E75" s="108">
        <f t="shared" si="4"/>
        <v>0.24</v>
      </c>
      <c r="F75" s="108">
        <v>0.24</v>
      </c>
      <c r="G75" s="121">
        <v>1080</v>
      </c>
      <c r="H75" s="110" t="s">
        <v>0</v>
      </c>
      <c r="I75" s="121"/>
      <c r="J75" s="121"/>
      <c r="K75" s="121"/>
      <c r="L75" s="121"/>
      <c r="M75" s="121"/>
      <c r="N75" s="121"/>
      <c r="O75" s="121"/>
      <c r="P75" s="121"/>
      <c r="Q75" s="109">
        <v>80150022827</v>
      </c>
      <c r="R75" s="109">
        <v>80150022827</v>
      </c>
    </row>
    <row r="76" spans="1:18" x14ac:dyDescent="0.2">
      <c r="A76" s="115">
        <v>55</v>
      </c>
      <c r="B76" s="498" t="s">
        <v>111</v>
      </c>
      <c r="C76" s="109" t="s">
        <v>848</v>
      </c>
      <c r="D76" s="108">
        <v>0</v>
      </c>
      <c r="E76" s="108">
        <f t="shared" si="4"/>
        <v>0.13500000000000001</v>
      </c>
      <c r="F76" s="108">
        <v>0.13500000000000001</v>
      </c>
      <c r="G76" s="121">
        <v>972</v>
      </c>
      <c r="H76" s="110" t="s">
        <v>4</v>
      </c>
      <c r="I76" s="121"/>
      <c r="J76" s="121"/>
      <c r="K76" s="121"/>
      <c r="L76" s="121"/>
      <c r="M76" s="121"/>
      <c r="N76" s="121"/>
      <c r="O76" s="121"/>
      <c r="P76" s="121"/>
      <c r="Q76" s="109">
        <v>80150023440</v>
      </c>
      <c r="R76" s="109">
        <v>80150023440</v>
      </c>
    </row>
    <row r="77" spans="1:18" x14ac:dyDescent="0.2">
      <c r="A77" s="103"/>
      <c r="B77" s="499"/>
      <c r="C77" s="109" t="s">
        <v>848</v>
      </c>
      <c r="D77" s="108">
        <f t="shared" si="3"/>
        <v>0.13500000000000001</v>
      </c>
      <c r="E77" s="108">
        <f t="shared" si="4"/>
        <v>0.32500000000000001</v>
      </c>
      <c r="F77" s="108">
        <v>0.19</v>
      </c>
      <c r="G77" s="121">
        <v>1558</v>
      </c>
      <c r="H77" s="110" t="s">
        <v>4</v>
      </c>
      <c r="I77" s="121"/>
      <c r="J77" s="121"/>
      <c r="K77" s="121"/>
      <c r="L77" s="121"/>
      <c r="M77" s="121"/>
      <c r="N77" s="121"/>
      <c r="O77" s="121"/>
      <c r="P77" s="121">
        <v>396</v>
      </c>
      <c r="Q77" s="109">
        <v>80150023440</v>
      </c>
      <c r="R77" s="109">
        <v>80150023445</v>
      </c>
    </row>
    <row r="78" spans="1:18" x14ac:dyDescent="0.2">
      <c r="A78" s="114">
        <v>56</v>
      </c>
      <c r="B78" s="107" t="s">
        <v>110</v>
      </c>
      <c r="C78" s="109" t="s">
        <v>846</v>
      </c>
      <c r="D78" s="108">
        <v>0</v>
      </c>
      <c r="E78" s="108">
        <v>0.51100000000000001</v>
      </c>
      <c r="F78" s="108">
        <v>0.51100000000000001</v>
      </c>
      <c r="G78" s="121">
        <v>2126</v>
      </c>
      <c r="H78" s="110" t="s">
        <v>1213</v>
      </c>
      <c r="I78" s="121"/>
      <c r="J78" s="121"/>
      <c r="K78" s="121"/>
      <c r="L78" s="121"/>
      <c r="M78" s="121"/>
      <c r="N78" s="121"/>
      <c r="O78" s="121"/>
      <c r="P78" s="121"/>
      <c r="Q78" s="109">
        <v>80150030659</v>
      </c>
      <c r="R78" s="109">
        <v>80150030659</v>
      </c>
    </row>
    <row r="79" spans="1:18" x14ac:dyDescent="0.2">
      <c r="A79" s="100">
        <v>57</v>
      </c>
      <c r="B79" s="101" t="s">
        <v>104</v>
      </c>
      <c r="C79" s="109" t="s">
        <v>846</v>
      </c>
      <c r="D79" s="108">
        <v>0</v>
      </c>
      <c r="E79" s="108">
        <f t="shared" si="4"/>
        <v>7.4999999999999997E-2</v>
      </c>
      <c r="F79" s="108">
        <v>7.4999999999999997E-2</v>
      </c>
      <c r="G79" s="121">
        <v>525</v>
      </c>
      <c r="H79" s="110" t="s">
        <v>4</v>
      </c>
      <c r="I79" s="121"/>
      <c r="J79" s="121"/>
      <c r="K79" s="121"/>
      <c r="L79" s="121"/>
      <c r="M79" s="121"/>
      <c r="N79" s="121"/>
      <c r="O79" s="121"/>
      <c r="P79" s="121"/>
      <c r="Q79" s="109">
        <v>80150040445</v>
      </c>
      <c r="R79" s="109">
        <v>80150040445</v>
      </c>
    </row>
    <row r="80" spans="1:18" x14ac:dyDescent="0.2">
      <c r="A80" s="103"/>
      <c r="B80" s="104"/>
      <c r="C80" s="109" t="s">
        <v>846</v>
      </c>
      <c r="D80" s="108">
        <f t="shared" si="3"/>
        <v>7.4999999999999997E-2</v>
      </c>
      <c r="E80" s="108">
        <f t="shared" si="4"/>
        <v>0.32500000000000001</v>
      </c>
      <c r="F80" s="108">
        <v>0.25</v>
      </c>
      <c r="G80" s="121">
        <v>1875</v>
      </c>
      <c r="H80" s="110" t="s">
        <v>0</v>
      </c>
      <c r="I80" s="121"/>
      <c r="J80" s="121"/>
      <c r="K80" s="121"/>
      <c r="L80" s="121"/>
      <c r="M80" s="121"/>
      <c r="N80" s="121"/>
      <c r="O80" s="121"/>
      <c r="P80" s="121"/>
      <c r="Q80" s="109">
        <v>80150040445</v>
      </c>
      <c r="R80" s="109">
        <v>80150040445</v>
      </c>
    </row>
    <row r="81" spans="1:18" x14ac:dyDescent="0.2">
      <c r="A81" s="115">
        <v>58</v>
      </c>
      <c r="B81" s="107" t="s">
        <v>103</v>
      </c>
      <c r="C81" s="109" t="s">
        <v>846</v>
      </c>
      <c r="D81" s="108">
        <v>0</v>
      </c>
      <c r="E81" s="108">
        <f t="shared" si="4"/>
        <v>0.13</v>
      </c>
      <c r="F81" s="108">
        <v>0.13</v>
      </c>
      <c r="G81" s="121">
        <v>585</v>
      </c>
      <c r="H81" s="110" t="s">
        <v>0</v>
      </c>
      <c r="I81" s="121"/>
      <c r="J81" s="121"/>
      <c r="K81" s="121"/>
      <c r="L81" s="121"/>
      <c r="M81" s="121"/>
      <c r="N81" s="121"/>
      <c r="O81" s="121"/>
      <c r="P81" s="121"/>
      <c r="Q81" s="109">
        <v>80150030332</v>
      </c>
      <c r="R81" s="109">
        <v>80150030332</v>
      </c>
    </row>
    <row r="82" spans="1:18" x14ac:dyDescent="0.2">
      <c r="A82" s="119">
        <v>59</v>
      </c>
      <c r="B82" s="120" t="s">
        <v>102</v>
      </c>
      <c r="C82" s="109" t="s">
        <v>846</v>
      </c>
      <c r="D82" s="108">
        <v>0</v>
      </c>
      <c r="E82" s="108">
        <f t="shared" si="4"/>
        <v>0.22500000000000001</v>
      </c>
      <c r="F82" s="108">
        <v>0.22500000000000001</v>
      </c>
      <c r="G82" s="121">
        <v>903</v>
      </c>
      <c r="H82" s="110" t="s">
        <v>154</v>
      </c>
      <c r="I82" s="121"/>
      <c r="J82" s="121"/>
      <c r="K82" s="121"/>
      <c r="L82" s="121"/>
      <c r="M82" s="121"/>
      <c r="N82" s="121"/>
      <c r="O82" s="121"/>
      <c r="P82" s="121">
        <v>194</v>
      </c>
      <c r="Q82" s="109">
        <v>80150031534</v>
      </c>
      <c r="R82" s="109">
        <v>80150031534</v>
      </c>
    </row>
    <row r="83" spans="1:18" x14ac:dyDescent="0.2">
      <c r="A83" s="115">
        <v>60</v>
      </c>
      <c r="B83" s="101" t="s">
        <v>101</v>
      </c>
      <c r="C83" s="109" t="s">
        <v>846</v>
      </c>
      <c r="D83" s="108">
        <v>0</v>
      </c>
      <c r="E83" s="108">
        <f t="shared" si="4"/>
        <v>0.06</v>
      </c>
      <c r="F83" s="108">
        <v>0.06</v>
      </c>
      <c r="G83" s="121">
        <v>180</v>
      </c>
      <c r="H83" s="110" t="s">
        <v>0</v>
      </c>
      <c r="I83" s="121"/>
      <c r="J83" s="121"/>
      <c r="K83" s="121"/>
      <c r="L83" s="121"/>
      <c r="M83" s="121"/>
      <c r="N83" s="121"/>
      <c r="O83" s="121"/>
      <c r="P83" s="121"/>
      <c r="Q83" s="109">
        <v>80150022367</v>
      </c>
      <c r="R83" s="109">
        <v>80150022367</v>
      </c>
    </row>
    <row r="84" spans="1:18" x14ac:dyDescent="0.2">
      <c r="A84" s="103"/>
      <c r="B84" s="104"/>
      <c r="C84" s="109" t="s">
        <v>846</v>
      </c>
      <c r="D84" s="108">
        <v>0.108</v>
      </c>
      <c r="E84" s="108">
        <f t="shared" si="4"/>
        <v>0.39799999999999996</v>
      </c>
      <c r="F84" s="108">
        <v>0.28999999999999998</v>
      </c>
      <c r="G84" s="121">
        <v>1160</v>
      </c>
      <c r="H84" s="110" t="s">
        <v>0</v>
      </c>
      <c r="I84" s="121"/>
      <c r="J84" s="121"/>
      <c r="K84" s="121"/>
      <c r="L84" s="121"/>
      <c r="M84" s="121"/>
      <c r="N84" s="121"/>
      <c r="O84" s="121"/>
      <c r="P84" s="121"/>
      <c r="Q84" s="109">
        <v>80150022367</v>
      </c>
      <c r="R84" s="109">
        <v>80150022367</v>
      </c>
    </row>
    <row r="85" spans="1:18" x14ac:dyDescent="0.2">
      <c r="A85" s="115">
        <v>61</v>
      </c>
      <c r="B85" s="107" t="s">
        <v>100</v>
      </c>
      <c r="C85" s="109" t="s">
        <v>848</v>
      </c>
      <c r="D85" s="108">
        <v>0</v>
      </c>
      <c r="E85" s="108">
        <f t="shared" si="4"/>
        <v>1.1299999999999999</v>
      </c>
      <c r="F85" s="108">
        <v>1.1299999999999999</v>
      </c>
      <c r="G85" s="121">
        <v>6780</v>
      </c>
      <c r="H85" s="110" t="s">
        <v>4</v>
      </c>
      <c r="I85" s="121"/>
      <c r="J85" s="121"/>
      <c r="K85" s="121"/>
      <c r="L85" s="121"/>
      <c r="M85" s="121"/>
      <c r="N85" s="121"/>
      <c r="O85" s="121"/>
      <c r="P85" s="121">
        <v>2964</v>
      </c>
      <c r="Q85" s="109">
        <v>80150024607</v>
      </c>
      <c r="R85" s="109">
        <v>80150024607</v>
      </c>
    </row>
    <row r="86" spans="1:18" x14ac:dyDescent="0.2">
      <c r="A86" s="119">
        <v>62</v>
      </c>
      <c r="B86" s="120" t="s">
        <v>206</v>
      </c>
      <c r="C86" s="111" t="s">
        <v>846</v>
      </c>
      <c r="D86" s="108">
        <v>0</v>
      </c>
      <c r="E86" s="108">
        <f t="shared" si="4"/>
        <v>0.54600000000000004</v>
      </c>
      <c r="F86" s="108">
        <v>0.54600000000000004</v>
      </c>
      <c r="G86" s="121">
        <v>3173</v>
      </c>
      <c r="H86" s="110" t="s">
        <v>154</v>
      </c>
      <c r="I86" s="121"/>
      <c r="J86" s="121"/>
      <c r="K86" s="121"/>
      <c r="L86" s="121"/>
      <c r="M86" s="121"/>
      <c r="N86" s="121"/>
      <c r="O86" s="121"/>
      <c r="P86" s="121">
        <v>968</v>
      </c>
      <c r="Q86" s="109">
        <v>80150021414</v>
      </c>
      <c r="R86" s="383" t="s">
        <v>207</v>
      </c>
    </row>
    <row r="87" spans="1:18" x14ac:dyDescent="0.2">
      <c r="A87" s="115">
        <v>63</v>
      </c>
      <c r="B87" s="107" t="s">
        <v>91</v>
      </c>
      <c r="C87" s="109" t="s">
        <v>846</v>
      </c>
      <c r="D87" s="108">
        <v>0</v>
      </c>
      <c r="E87" s="108">
        <f t="shared" si="4"/>
        <v>0.185</v>
      </c>
      <c r="F87" s="108">
        <v>0.185</v>
      </c>
      <c r="G87" s="121">
        <v>703</v>
      </c>
      <c r="H87" s="110" t="s">
        <v>1213</v>
      </c>
      <c r="I87" s="121"/>
      <c r="J87" s="121"/>
      <c r="K87" s="121"/>
      <c r="L87" s="121"/>
      <c r="M87" s="121"/>
      <c r="N87" s="121"/>
      <c r="O87" s="121"/>
      <c r="P87" s="121"/>
      <c r="Q87" s="109">
        <v>80150022121</v>
      </c>
      <c r="R87" s="109">
        <v>80150022121</v>
      </c>
    </row>
    <row r="88" spans="1:18" x14ac:dyDescent="0.2">
      <c r="A88" s="119">
        <v>64</v>
      </c>
      <c r="B88" s="107" t="s">
        <v>99</v>
      </c>
      <c r="C88" s="109" t="s">
        <v>846</v>
      </c>
      <c r="D88" s="108">
        <v>0</v>
      </c>
      <c r="E88" s="108">
        <f t="shared" si="4"/>
        <v>0.33500000000000002</v>
      </c>
      <c r="F88" s="108">
        <v>0.33500000000000002</v>
      </c>
      <c r="G88" s="121">
        <v>1508</v>
      </c>
      <c r="H88" s="110" t="s">
        <v>0</v>
      </c>
      <c r="I88" s="121"/>
      <c r="J88" s="121"/>
      <c r="K88" s="121"/>
      <c r="L88" s="121"/>
      <c r="M88" s="121"/>
      <c r="N88" s="121"/>
      <c r="O88" s="121"/>
      <c r="P88" s="121"/>
      <c r="Q88" s="109">
        <v>80150031090</v>
      </c>
      <c r="R88" s="109">
        <v>80150031090</v>
      </c>
    </row>
    <row r="89" spans="1:18" x14ac:dyDescent="0.2">
      <c r="A89" s="115">
        <v>65</v>
      </c>
      <c r="B89" s="498" t="s">
        <v>204</v>
      </c>
      <c r="C89" s="109" t="s">
        <v>846</v>
      </c>
      <c r="D89" s="108">
        <v>0</v>
      </c>
      <c r="E89" s="108">
        <f t="shared" si="4"/>
        <v>9.5000000000000001E-2</v>
      </c>
      <c r="F89" s="108">
        <v>9.5000000000000001E-2</v>
      </c>
      <c r="G89" s="121">
        <v>475</v>
      </c>
      <c r="H89" s="110" t="s">
        <v>1213</v>
      </c>
      <c r="I89" s="121"/>
      <c r="J89" s="121"/>
      <c r="K89" s="121"/>
      <c r="L89" s="121"/>
      <c r="M89" s="121"/>
      <c r="N89" s="121"/>
      <c r="O89" s="121"/>
      <c r="P89" s="121"/>
      <c r="Q89" s="109">
        <v>80150024609</v>
      </c>
      <c r="R89" s="109">
        <v>80150020062</v>
      </c>
    </row>
    <row r="90" spans="1:18" x14ac:dyDescent="0.2">
      <c r="A90" s="103"/>
      <c r="B90" s="499"/>
      <c r="C90" s="109" t="s">
        <v>846</v>
      </c>
      <c r="D90" s="108">
        <f t="shared" si="3"/>
        <v>9.5000000000000001E-2</v>
      </c>
      <c r="E90" s="108">
        <f t="shared" si="4"/>
        <v>0.43500000000000005</v>
      </c>
      <c r="F90" s="108">
        <v>0.34</v>
      </c>
      <c r="G90" s="121">
        <v>1700</v>
      </c>
      <c r="H90" s="110" t="s">
        <v>0</v>
      </c>
      <c r="I90" s="121"/>
      <c r="J90" s="121"/>
      <c r="K90" s="121"/>
      <c r="L90" s="121"/>
      <c r="M90" s="121"/>
      <c r="N90" s="121"/>
      <c r="O90" s="121"/>
      <c r="P90" s="121"/>
      <c r="Q90" s="109">
        <v>80150024609</v>
      </c>
      <c r="R90" s="109">
        <v>80150024609</v>
      </c>
    </row>
    <row r="91" spans="1:18" x14ac:dyDescent="0.2">
      <c r="A91" s="114">
        <v>66</v>
      </c>
      <c r="B91" s="107" t="s">
        <v>97</v>
      </c>
      <c r="C91" s="109" t="s">
        <v>846</v>
      </c>
      <c r="D91" s="108">
        <v>0</v>
      </c>
      <c r="E91" s="108">
        <f t="shared" si="4"/>
        <v>0.245</v>
      </c>
      <c r="F91" s="108">
        <v>0.245</v>
      </c>
      <c r="G91" s="121">
        <v>1225</v>
      </c>
      <c r="H91" s="110" t="s">
        <v>0</v>
      </c>
      <c r="I91" s="121"/>
      <c r="J91" s="121"/>
      <c r="K91" s="121"/>
      <c r="L91" s="121"/>
      <c r="M91" s="121"/>
      <c r="N91" s="121"/>
      <c r="O91" s="121"/>
      <c r="P91" s="121"/>
      <c r="Q91" s="109">
        <v>80150020966</v>
      </c>
      <c r="R91" s="109">
        <v>80150020966</v>
      </c>
    </row>
    <row r="92" spans="1:18" x14ac:dyDescent="0.2">
      <c r="A92" s="118">
        <v>67</v>
      </c>
      <c r="B92" s="101" t="s">
        <v>96</v>
      </c>
      <c r="C92" s="109" t="s">
        <v>846</v>
      </c>
      <c r="D92" s="108">
        <v>0</v>
      </c>
      <c r="E92" s="108">
        <f t="shared" si="4"/>
        <v>8.5999999999999993E-2</v>
      </c>
      <c r="F92" s="108">
        <v>8.5999999999999993E-2</v>
      </c>
      <c r="G92" s="121">
        <v>421</v>
      </c>
      <c r="H92" s="110" t="s">
        <v>4</v>
      </c>
      <c r="I92" s="121"/>
      <c r="J92" s="121"/>
      <c r="K92" s="121"/>
      <c r="L92" s="121"/>
      <c r="M92" s="121"/>
      <c r="N92" s="121"/>
      <c r="O92" s="121"/>
      <c r="P92" s="121"/>
      <c r="Q92" s="109">
        <v>80150010904</v>
      </c>
      <c r="R92" s="109">
        <v>80150010904</v>
      </c>
    </row>
    <row r="93" spans="1:18" x14ac:dyDescent="0.2">
      <c r="A93" s="123"/>
      <c r="B93" s="128"/>
      <c r="C93" s="109" t="s">
        <v>846</v>
      </c>
      <c r="D93" s="108">
        <f t="shared" si="3"/>
        <v>8.5999999999999993E-2</v>
      </c>
      <c r="E93" s="108">
        <f t="shared" si="4"/>
        <v>0.35599999999999998</v>
      </c>
      <c r="F93" s="108">
        <v>0.27</v>
      </c>
      <c r="G93" s="121">
        <v>1080</v>
      </c>
      <c r="H93" s="110" t="s">
        <v>0</v>
      </c>
      <c r="I93" s="121"/>
      <c r="J93" s="121"/>
      <c r="K93" s="121"/>
      <c r="L93" s="121"/>
      <c r="M93" s="121"/>
      <c r="N93" s="121"/>
      <c r="O93" s="121"/>
      <c r="P93" s="121"/>
      <c r="Q93" s="109">
        <v>80150010904</v>
      </c>
      <c r="R93" s="109">
        <v>80150010904</v>
      </c>
    </row>
    <row r="94" spans="1:18" x14ac:dyDescent="0.2">
      <c r="A94" s="123"/>
      <c r="B94" s="128"/>
      <c r="C94" s="109" t="s">
        <v>846</v>
      </c>
      <c r="D94" s="108">
        <f t="shared" si="3"/>
        <v>0.35599999999999998</v>
      </c>
      <c r="E94" s="108">
        <f t="shared" si="4"/>
        <v>0.40599999999999997</v>
      </c>
      <c r="F94" s="108">
        <v>0.05</v>
      </c>
      <c r="G94" s="121">
        <v>150</v>
      </c>
      <c r="H94" s="110" t="s">
        <v>4</v>
      </c>
      <c r="I94" s="121"/>
      <c r="J94" s="121"/>
      <c r="K94" s="121"/>
      <c r="L94" s="121"/>
      <c r="M94" s="121"/>
      <c r="N94" s="121"/>
      <c r="O94" s="121"/>
      <c r="P94" s="121"/>
      <c r="Q94" s="109">
        <v>80150010904</v>
      </c>
      <c r="R94" s="109">
        <v>80150010904</v>
      </c>
    </row>
    <row r="95" spans="1:18" x14ac:dyDescent="0.2">
      <c r="A95" s="123"/>
      <c r="B95" s="128"/>
      <c r="C95" s="109" t="s">
        <v>846</v>
      </c>
      <c r="D95" s="108">
        <f t="shared" si="3"/>
        <v>0.40599999999999997</v>
      </c>
      <c r="E95" s="108">
        <f t="shared" si="4"/>
        <v>1.196</v>
      </c>
      <c r="F95" s="108">
        <v>0.79</v>
      </c>
      <c r="G95" s="121">
        <v>2449</v>
      </c>
      <c r="H95" s="110" t="s">
        <v>154</v>
      </c>
      <c r="I95" s="121"/>
      <c r="J95" s="121"/>
      <c r="K95" s="121"/>
      <c r="L95" s="121"/>
      <c r="M95" s="121"/>
      <c r="N95" s="121"/>
      <c r="O95" s="121"/>
      <c r="P95" s="121"/>
      <c r="Q95" s="109">
        <v>80150010904</v>
      </c>
      <c r="R95" s="109">
        <v>80150010904</v>
      </c>
    </row>
    <row r="96" spans="1:18" x14ac:dyDescent="0.2">
      <c r="A96" s="114"/>
      <c r="B96" s="104"/>
      <c r="C96" s="109" t="s">
        <v>846</v>
      </c>
      <c r="D96" s="108">
        <f t="shared" si="3"/>
        <v>1.196</v>
      </c>
      <c r="E96" s="108">
        <f t="shared" si="4"/>
        <v>1.236</v>
      </c>
      <c r="F96" s="108">
        <v>0.04</v>
      </c>
      <c r="G96" s="121">
        <v>196</v>
      </c>
      <c r="H96" s="110" t="s">
        <v>4</v>
      </c>
      <c r="I96" s="121"/>
      <c r="J96" s="121"/>
      <c r="K96" s="121"/>
      <c r="L96" s="121"/>
      <c r="M96" s="121"/>
      <c r="N96" s="121"/>
      <c r="O96" s="121"/>
      <c r="P96" s="121"/>
      <c r="Q96" s="109">
        <v>80150010904</v>
      </c>
      <c r="R96" s="109">
        <v>80150010904</v>
      </c>
    </row>
    <row r="97" spans="1:18" x14ac:dyDescent="0.2">
      <c r="A97" s="100">
        <v>68</v>
      </c>
      <c r="B97" s="101" t="s">
        <v>98</v>
      </c>
      <c r="C97" s="109" t="s">
        <v>848</v>
      </c>
      <c r="D97" s="108">
        <v>0</v>
      </c>
      <c r="E97" s="108">
        <f t="shared" si="4"/>
        <v>0.46</v>
      </c>
      <c r="F97" s="108">
        <v>0.46</v>
      </c>
      <c r="G97" s="121">
        <v>3220</v>
      </c>
      <c r="H97" s="110" t="s">
        <v>4</v>
      </c>
      <c r="I97" s="121"/>
      <c r="J97" s="121"/>
      <c r="K97" s="121"/>
      <c r="L97" s="121"/>
      <c r="M97" s="121"/>
      <c r="N97" s="121"/>
      <c r="O97" s="121"/>
      <c r="P97" s="121">
        <v>1290</v>
      </c>
      <c r="Q97" s="109">
        <v>80150023738</v>
      </c>
      <c r="R97" s="109">
        <v>80150023738</v>
      </c>
    </row>
    <row r="98" spans="1:18" x14ac:dyDescent="0.2">
      <c r="A98" s="103"/>
      <c r="B98" s="104"/>
      <c r="C98" s="109" t="s">
        <v>848</v>
      </c>
      <c r="D98" s="108">
        <f t="shared" si="3"/>
        <v>0.46</v>
      </c>
      <c r="E98" s="108">
        <f t="shared" si="4"/>
        <v>1.08</v>
      </c>
      <c r="F98" s="108">
        <v>0.62</v>
      </c>
      <c r="G98" s="121">
        <v>4340</v>
      </c>
      <c r="H98" s="110" t="s">
        <v>4</v>
      </c>
      <c r="I98" s="121"/>
      <c r="J98" s="121"/>
      <c r="K98" s="121"/>
      <c r="L98" s="121"/>
      <c r="M98" s="121"/>
      <c r="N98" s="121"/>
      <c r="O98" s="121"/>
      <c r="P98" s="121">
        <v>1274</v>
      </c>
      <c r="Q98" s="109">
        <v>80150023738</v>
      </c>
      <c r="R98" s="109">
        <v>80150023236</v>
      </c>
    </row>
    <row r="99" spans="1:18" ht="22.5" x14ac:dyDescent="0.2">
      <c r="A99" s="115">
        <v>69</v>
      </c>
      <c r="B99" s="500" t="s">
        <v>95</v>
      </c>
      <c r="C99" s="109" t="s">
        <v>846</v>
      </c>
      <c r="D99" s="108">
        <v>0</v>
      </c>
      <c r="E99" s="108">
        <f t="shared" si="4"/>
        <v>0.18</v>
      </c>
      <c r="F99" s="108">
        <v>0.18</v>
      </c>
      <c r="G99" s="121">
        <v>1350</v>
      </c>
      <c r="H99" s="110" t="s">
        <v>4</v>
      </c>
      <c r="I99" s="121"/>
      <c r="J99" s="121"/>
      <c r="K99" s="121"/>
      <c r="L99" s="121"/>
      <c r="M99" s="121"/>
      <c r="N99" s="121"/>
      <c r="O99" s="121"/>
      <c r="P99" s="121">
        <v>628</v>
      </c>
      <c r="Q99" s="109">
        <v>80150024030</v>
      </c>
      <c r="R99" s="109">
        <v>80150024030</v>
      </c>
    </row>
    <row r="100" spans="1:18" x14ac:dyDescent="0.2">
      <c r="A100" s="114">
        <v>70</v>
      </c>
      <c r="B100" s="104" t="s">
        <v>93</v>
      </c>
      <c r="C100" s="124" t="s">
        <v>846</v>
      </c>
      <c r="D100" s="108">
        <v>0</v>
      </c>
      <c r="E100" s="108">
        <f t="shared" si="4"/>
        <v>0.18</v>
      </c>
      <c r="F100" s="108">
        <v>0.18</v>
      </c>
      <c r="G100" s="121">
        <v>900</v>
      </c>
      <c r="H100" s="110" t="s">
        <v>0</v>
      </c>
      <c r="I100" s="121"/>
      <c r="J100" s="121"/>
      <c r="K100" s="121"/>
      <c r="L100" s="121"/>
      <c r="M100" s="121"/>
      <c r="N100" s="121"/>
      <c r="O100" s="121"/>
      <c r="P100" s="121"/>
      <c r="Q100" s="112">
        <v>80150010009</v>
      </c>
      <c r="R100" s="109">
        <v>80150010008</v>
      </c>
    </row>
    <row r="101" spans="1:18" x14ac:dyDescent="0.2">
      <c r="A101" s="118">
        <v>71</v>
      </c>
      <c r="B101" s="101" t="s">
        <v>94</v>
      </c>
      <c r="C101" s="484" t="s">
        <v>846</v>
      </c>
      <c r="D101" s="108">
        <v>0</v>
      </c>
      <c r="E101" s="108">
        <f t="shared" si="4"/>
        <v>0.12</v>
      </c>
      <c r="F101" s="108">
        <v>0.12</v>
      </c>
      <c r="G101" s="385">
        <v>540</v>
      </c>
      <c r="H101" s="110" t="s">
        <v>0</v>
      </c>
      <c r="I101" s="385"/>
      <c r="J101" s="385"/>
      <c r="K101" s="385"/>
      <c r="L101" s="385"/>
      <c r="M101" s="385"/>
      <c r="N101" s="385"/>
      <c r="O101" s="385"/>
      <c r="P101" s="385"/>
      <c r="Q101" s="109">
        <v>80150020001</v>
      </c>
      <c r="R101" s="109">
        <v>80150022126</v>
      </c>
    </row>
    <row r="102" spans="1:18" x14ac:dyDescent="0.2">
      <c r="A102" s="125"/>
      <c r="B102" s="122"/>
      <c r="C102" s="484" t="s">
        <v>846</v>
      </c>
      <c r="D102" s="108">
        <v>0.24</v>
      </c>
      <c r="E102" s="108">
        <f t="shared" si="4"/>
        <v>0.29499999999999998</v>
      </c>
      <c r="F102" s="108">
        <v>5.5E-2</v>
      </c>
      <c r="G102" s="385">
        <v>633</v>
      </c>
      <c r="H102" s="110" t="s">
        <v>0</v>
      </c>
      <c r="I102" s="385"/>
      <c r="J102" s="385"/>
      <c r="K102" s="385"/>
      <c r="L102" s="385"/>
      <c r="M102" s="385"/>
      <c r="N102" s="385"/>
      <c r="O102" s="385"/>
      <c r="P102" s="385"/>
      <c r="Q102" s="109">
        <v>80150020001</v>
      </c>
      <c r="R102" s="109">
        <v>80150020001</v>
      </c>
    </row>
    <row r="103" spans="1:18" x14ac:dyDescent="0.2">
      <c r="A103" s="114"/>
      <c r="B103" s="126" t="s">
        <v>391</v>
      </c>
      <c r="C103" s="484" t="s">
        <v>846</v>
      </c>
      <c r="D103" s="108">
        <v>0</v>
      </c>
      <c r="E103" s="108">
        <f t="shared" si="4"/>
        <v>0.14499999999999999</v>
      </c>
      <c r="F103" s="108">
        <v>0.14499999999999999</v>
      </c>
      <c r="G103" s="121">
        <v>653</v>
      </c>
      <c r="H103" s="110" t="s">
        <v>0</v>
      </c>
      <c r="I103" s="121"/>
      <c r="J103" s="121"/>
      <c r="K103" s="121"/>
      <c r="L103" s="121"/>
      <c r="M103" s="121"/>
      <c r="N103" s="121"/>
      <c r="O103" s="121"/>
      <c r="P103" s="121"/>
      <c r="Q103" s="109">
        <v>80150020001</v>
      </c>
      <c r="R103" s="109">
        <v>80150020001</v>
      </c>
    </row>
    <row r="104" spans="1:18" x14ac:dyDescent="0.2">
      <c r="A104" s="115">
        <v>72</v>
      </c>
      <c r="B104" s="107" t="s">
        <v>92</v>
      </c>
      <c r="C104" s="109" t="s">
        <v>846</v>
      </c>
      <c r="D104" s="108">
        <v>0</v>
      </c>
      <c r="E104" s="108">
        <f t="shared" si="4"/>
        <v>0.14499999999999999</v>
      </c>
      <c r="F104" s="108">
        <v>0.14499999999999999</v>
      </c>
      <c r="G104" s="121">
        <v>725</v>
      </c>
      <c r="H104" s="110" t="s">
        <v>1213</v>
      </c>
      <c r="I104" s="121"/>
      <c r="J104" s="121"/>
      <c r="K104" s="121"/>
      <c r="L104" s="121"/>
      <c r="M104" s="121"/>
      <c r="N104" s="121"/>
      <c r="O104" s="121"/>
      <c r="P104" s="121"/>
      <c r="Q104" s="109">
        <v>80150032070</v>
      </c>
      <c r="R104" s="109">
        <v>80150032070</v>
      </c>
    </row>
    <row r="105" spans="1:18" x14ac:dyDescent="0.2">
      <c r="A105" s="115">
        <v>73</v>
      </c>
      <c r="B105" s="107" t="s">
        <v>89</v>
      </c>
      <c r="C105" s="109" t="s">
        <v>846</v>
      </c>
      <c r="D105" s="108">
        <v>0</v>
      </c>
      <c r="E105" s="108">
        <f t="shared" si="4"/>
        <v>0.23499999999999999</v>
      </c>
      <c r="F105" s="108">
        <v>0.23499999999999999</v>
      </c>
      <c r="G105" s="121">
        <v>1410</v>
      </c>
      <c r="H105" s="110" t="s">
        <v>4</v>
      </c>
      <c r="I105" s="121"/>
      <c r="J105" s="121"/>
      <c r="K105" s="121"/>
      <c r="L105" s="121"/>
      <c r="M105" s="121"/>
      <c r="N105" s="121"/>
      <c r="O105" s="121"/>
      <c r="P105" s="121">
        <v>218</v>
      </c>
      <c r="Q105" s="109">
        <v>80150031639</v>
      </c>
      <c r="R105" s="109">
        <v>80150031639</v>
      </c>
    </row>
    <row r="106" spans="1:18" x14ac:dyDescent="0.2">
      <c r="A106" s="115">
        <v>74</v>
      </c>
      <c r="B106" s="120" t="s">
        <v>88</v>
      </c>
      <c r="C106" s="111" t="s">
        <v>848</v>
      </c>
      <c r="D106" s="108">
        <v>0</v>
      </c>
      <c r="E106" s="108">
        <f t="shared" si="4"/>
        <v>0.38</v>
      </c>
      <c r="F106" s="108">
        <v>0.38</v>
      </c>
      <c r="G106" s="121">
        <v>2280</v>
      </c>
      <c r="H106" s="110" t="s">
        <v>4</v>
      </c>
      <c r="I106" s="121"/>
      <c r="J106" s="121"/>
      <c r="K106" s="121"/>
      <c r="L106" s="121"/>
      <c r="M106" s="121"/>
      <c r="N106" s="121"/>
      <c r="O106" s="121"/>
      <c r="P106" s="121">
        <v>1662</v>
      </c>
      <c r="Q106" s="109">
        <v>80150023051</v>
      </c>
      <c r="R106" s="109">
        <v>80150023051</v>
      </c>
    </row>
    <row r="107" spans="1:18" x14ac:dyDescent="0.2">
      <c r="A107" s="115">
        <v>75</v>
      </c>
      <c r="B107" s="107" t="s">
        <v>87</v>
      </c>
      <c r="C107" s="109" t="s">
        <v>846</v>
      </c>
      <c r="D107" s="108">
        <v>0</v>
      </c>
      <c r="E107" s="108">
        <f t="shared" si="4"/>
        <v>0.16500000000000001</v>
      </c>
      <c r="F107" s="108">
        <v>0.16500000000000001</v>
      </c>
      <c r="G107" s="121">
        <v>662</v>
      </c>
      <c r="H107" s="110" t="s">
        <v>1213</v>
      </c>
      <c r="I107" s="121"/>
      <c r="J107" s="121"/>
      <c r="K107" s="121"/>
      <c r="L107" s="121"/>
      <c r="M107" s="121"/>
      <c r="N107" s="121"/>
      <c r="O107" s="121"/>
      <c r="P107" s="121"/>
      <c r="Q107" s="109">
        <v>80150031357</v>
      </c>
      <c r="R107" s="109">
        <v>80150031357</v>
      </c>
    </row>
    <row r="108" spans="1:18" x14ac:dyDescent="0.2">
      <c r="A108" s="115">
        <v>76</v>
      </c>
      <c r="B108" s="101" t="s">
        <v>86</v>
      </c>
      <c r="C108" s="109" t="s">
        <v>846</v>
      </c>
      <c r="D108" s="108">
        <v>0</v>
      </c>
      <c r="E108" s="108">
        <f t="shared" si="4"/>
        <v>0.22</v>
      </c>
      <c r="F108" s="108">
        <v>0.22</v>
      </c>
      <c r="G108" s="121">
        <v>1320</v>
      </c>
      <c r="H108" s="110" t="s">
        <v>0</v>
      </c>
      <c r="I108" s="121"/>
      <c r="J108" s="121"/>
      <c r="K108" s="121"/>
      <c r="L108" s="121"/>
      <c r="M108" s="121"/>
      <c r="N108" s="121"/>
      <c r="O108" s="121"/>
      <c r="P108" s="121"/>
      <c r="Q108" s="109">
        <v>80150040316</v>
      </c>
      <c r="R108" s="109">
        <v>80150040210</v>
      </c>
    </row>
    <row r="109" spans="1:18" x14ac:dyDescent="0.2">
      <c r="A109" s="103"/>
      <c r="B109" s="104"/>
      <c r="C109" s="109" t="s">
        <v>846</v>
      </c>
      <c r="D109" s="108">
        <f t="shared" si="3"/>
        <v>0.22</v>
      </c>
      <c r="E109" s="108">
        <f t="shared" si="4"/>
        <v>1.2449999999999999</v>
      </c>
      <c r="F109" s="108">
        <v>1.0249999999999999</v>
      </c>
      <c r="G109" s="121">
        <v>7175</v>
      </c>
      <c r="H109" s="110" t="s">
        <v>4</v>
      </c>
      <c r="I109" s="121"/>
      <c r="J109" s="121"/>
      <c r="K109" s="121"/>
      <c r="L109" s="121"/>
      <c r="M109" s="121"/>
      <c r="N109" s="121"/>
      <c r="O109" s="121"/>
      <c r="P109" s="121"/>
      <c r="Q109" s="109">
        <v>80150040316</v>
      </c>
      <c r="R109" s="109">
        <v>80150040316</v>
      </c>
    </row>
    <row r="110" spans="1:18" x14ac:dyDescent="0.2">
      <c r="A110" s="118">
        <v>77</v>
      </c>
      <c r="B110" s="101" t="s">
        <v>85</v>
      </c>
      <c r="C110" s="109" t="s">
        <v>846</v>
      </c>
      <c r="D110" s="108">
        <v>0</v>
      </c>
      <c r="E110" s="108">
        <f t="shared" si="4"/>
        <v>9.5000000000000001E-2</v>
      </c>
      <c r="F110" s="108">
        <v>9.5000000000000001E-2</v>
      </c>
      <c r="G110" s="121">
        <v>380</v>
      </c>
      <c r="H110" s="110" t="s">
        <v>1213</v>
      </c>
      <c r="I110" s="121"/>
      <c r="J110" s="121"/>
      <c r="K110" s="121"/>
      <c r="L110" s="121"/>
      <c r="M110" s="121"/>
      <c r="N110" s="121"/>
      <c r="O110" s="121"/>
      <c r="P110" s="121"/>
      <c r="Q110" s="109">
        <v>80150024774</v>
      </c>
      <c r="R110" s="109">
        <v>80150024774</v>
      </c>
    </row>
    <row r="111" spans="1:18" x14ac:dyDescent="0.2">
      <c r="A111" s="125"/>
      <c r="B111" s="122"/>
      <c r="C111" s="109" t="s">
        <v>848</v>
      </c>
      <c r="D111" s="108">
        <f t="shared" si="3"/>
        <v>9.5000000000000001E-2</v>
      </c>
      <c r="E111" s="108">
        <f t="shared" si="4"/>
        <v>0.44499999999999995</v>
      </c>
      <c r="F111" s="108">
        <v>0.35</v>
      </c>
      <c r="G111" s="121">
        <v>2450</v>
      </c>
      <c r="H111" s="110" t="s">
        <v>4</v>
      </c>
      <c r="I111" s="121"/>
      <c r="J111" s="121"/>
      <c r="K111" s="121"/>
      <c r="L111" s="121"/>
      <c r="M111" s="121"/>
      <c r="N111" s="121"/>
      <c r="O111" s="121"/>
      <c r="P111" s="121">
        <v>540</v>
      </c>
      <c r="Q111" s="109">
        <v>80150024811</v>
      </c>
      <c r="R111" s="109">
        <v>80150024811</v>
      </c>
    </row>
    <row r="112" spans="1:18" x14ac:dyDescent="0.2">
      <c r="A112" s="125"/>
      <c r="B112" s="122"/>
      <c r="C112" s="109" t="s">
        <v>846</v>
      </c>
      <c r="D112" s="108">
        <f t="shared" si="3"/>
        <v>0.44499999999999995</v>
      </c>
      <c r="E112" s="108">
        <f t="shared" si="4"/>
        <v>0.62199999999999989</v>
      </c>
      <c r="F112" s="108">
        <v>0.17699999999999999</v>
      </c>
      <c r="G112" s="121">
        <v>531</v>
      </c>
      <c r="H112" s="110" t="s">
        <v>0</v>
      </c>
      <c r="I112" s="121"/>
      <c r="J112" s="121"/>
      <c r="K112" s="121"/>
      <c r="L112" s="121"/>
      <c r="M112" s="121"/>
      <c r="N112" s="121"/>
      <c r="O112" s="121"/>
      <c r="P112" s="121"/>
      <c r="Q112" s="109">
        <v>80150024811</v>
      </c>
      <c r="R112" s="109">
        <v>80150024811</v>
      </c>
    </row>
    <row r="113" spans="1:18" x14ac:dyDescent="0.2">
      <c r="A113" s="114"/>
      <c r="B113" s="104"/>
      <c r="C113" s="109" t="s">
        <v>846</v>
      </c>
      <c r="D113" s="108">
        <f t="shared" si="3"/>
        <v>0.62199999999999989</v>
      </c>
      <c r="E113" s="108">
        <f t="shared" si="4"/>
        <v>1.0269999999999999</v>
      </c>
      <c r="F113" s="108">
        <v>0.40500000000000003</v>
      </c>
      <c r="G113" s="121">
        <v>1215</v>
      </c>
      <c r="H113" s="110" t="s">
        <v>0</v>
      </c>
      <c r="I113" s="121"/>
      <c r="J113" s="121"/>
      <c r="K113" s="121"/>
      <c r="L113" s="121"/>
      <c r="M113" s="121"/>
      <c r="N113" s="121"/>
      <c r="O113" s="121"/>
      <c r="P113" s="121"/>
      <c r="Q113" s="109">
        <v>80150020002</v>
      </c>
      <c r="R113" s="109">
        <v>80150020037</v>
      </c>
    </row>
    <row r="114" spans="1:18" x14ac:dyDescent="0.2">
      <c r="A114" s="118">
        <v>78</v>
      </c>
      <c r="B114" s="101" t="s">
        <v>84</v>
      </c>
      <c r="C114" s="109" t="s">
        <v>848</v>
      </c>
      <c r="D114" s="108">
        <v>0</v>
      </c>
      <c r="E114" s="108">
        <f t="shared" si="4"/>
        <v>0.2</v>
      </c>
      <c r="F114" s="108">
        <v>0.2</v>
      </c>
      <c r="G114" s="121">
        <v>1200</v>
      </c>
      <c r="H114" s="110" t="s">
        <v>4</v>
      </c>
      <c r="I114" s="121"/>
      <c r="J114" s="121"/>
      <c r="K114" s="121"/>
      <c r="L114" s="121"/>
      <c r="M114" s="121"/>
      <c r="N114" s="121"/>
      <c r="O114" s="121"/>
      <c r="P114" s="121">
        <v>169</v>
      </c>
      <c r="Q114" s="109">
        <v>80150023050</v>
      </c>
      <c r="R114" s="109">
        <v>80150023050</v>
      </c>
    </row>
    <row r="115" spans="1:18" x14ac:dyDescent="0.2">
      <c r="A115" s="125"/>
      <c r="B115" s="122"/>
      <c r="C115" s="109" t="s">
        <v>848</v>
      </c>
      <c r="D115" s="108">
        <f t="shared" si="3"/>
        <v>0.2</v>
      </c>
      <c r="E115" s="108">
        <f t="shared" si="4"/>
        <v>0.47000000000000003</v>
      </c>
      <c r="F115" s="108">
        <v>0.27</v>
      </c>
      <c r="G115" s="121">
        <v>1755</v>
      </c>
      <c r="H115" s="110" t="s">
        <v>4</v>
      </c>
      <c r="I115" s="121"/>
      <c r="J115" s="121"/>
      <c r="K115" s="121"/>
      <c r="L115" s="121"/>
      <c r="M115" s="121"/>
      <c r="N115" s="121"/>
      <c r="O115" s="121"/>
      <c r="P115" s="121">
        <v>393</v>
      </c>
      <c r="Q115" s="109">
        <v>80150023050</v>
      </c>
      <c r="R115" s="109">
        <v>80150021731</v>
      </c>
    </row>
    <row r="116" spans="1:18" x14ac:dyDescent="0.2">
      <c r="A116" s="114"/>
      <c r="B116" s="126"/>
      <c r="C116" s="109" t="s">
        <v>848</v>
      </c>
      <c r="D116" s="108">
        <f t="shared" si="3"/>
        <v>0.47000000000000003</v>
      </c>
      <c r="E116" s="108">
        <f t="shared" si="4"/>
        <v>0.56000000000000005</v>
      </c>
      <c r="F116" s="108">
        <v>0.09</v>
      </c>
      <c r="G116" s="121">
        <v>585</v>
      </c>
      <c r="H116" s="110" t="s">
        <v>4</v>
      </c>
      <c r="I116" s="121"/>
      <c r="J116" s="121"/>
      <c r="K116" s="121"/>
      <c r="L116" s="121"/>
      <c r="M116" s="121"/>
      <c r="N116" s="121"/>
      <c r="O116" s="121"/>
      <c r="P116" s="121">
        <v>367</v>
      </c>
      <c r="Q116" s="109">
        <v>80150023050</v>
      </c>
      <c r="R116" s="109">
        <v>80150021730</v>
      </c>
    </row>
    <row r="117" spans="1:18" x14ac:dyDescent="0.2">
      <c r="A117" s="114">
        <v>79</v>
      </c>
      <c r="B117" s="104" t="s">
        <v>83</v>
      </c>
      <c r="C117" s="124" t="s">
        <v>846</v>
      </c>
      <c r="D117" s="108">
        <v>0</v>
      </c>
      <c r="E117" s="108">
        <f t="shared" si="4"/>
        <v>0.245</v>
      </c>
      <c r="F117" s="108">
        <v>0.245</v>
      </c>
      <c r="G117" s="121">
        <v>1348</v>
      </c>
      <c r="H117" s="110" t="s">
        <v>0</v>
      </c>
      <c r="I117" s="121"/>
      <c r="J117" s="121"/>
      <c r="K117" s="121"/>
      <c r="L117" s="121"/>
      <c r="M117" s="121"/>
      <c r="N117" s="121"/>
      <c r="O117" s="121"/>
      <c r="P117" s="121"/>
      <c r="Q117" s="109">
        <v>80150024771</v>
      </c>
      <c r="R117" s="109">
        <v>80150024771</v>
      </c>
    </row>
    <row r="118" spans="1:18" ht="13.5" customHeight="1" x14ac:dyDescent="0.2">
      <c r="A118" s="114">
        <v>80</v>
      </c>
      <c r="B118" s="104" t="s">
        <v>235</v>
      </c>
      <c r="C118" s="124" t="s">
        <v>846</v>
      </c>
      <c r="D118" s="108">
        <v>0</v>
      </c>
      <c r="E118" s="108">
        <v>0.16</v>
      </c>
      <c r="F118" s="108">
        <v>0.16</v>
      </c>
      <c r="G118" s="121">
        <v>800</v>
      </c>
      <c r="H118" s="110" t="s">
        <v>4</v>
      </c>
      <c r="I118" s="121"/>
      <c r="J118" s="121"/>
      <c r="K118" s="121"/>
      <c r="L118" s="121"/>
      <c r="M118" s="121"/>
      <c r="N118" s="121"/>
      <c r="O118" s="121"/>
      <c r="P118" s="121"/>
      <c r="Q118" s="386">
        <v>80150030701043</v>
      </c>
      <c r="R118" s="387" t="s">
        <v>236</v>
      </c>
    </row>
    <row r="119" spans="1:18" x14ac:dyDescent="0.2">
      <c r="A119" s="114">
        <v>81</v>
      </c>
      <c r="B119" s="107" t="s">
        <v>90</v>
      </c>
      <c r="C119" s="109" t="s">
        <v>848</v>
      </c>
      <c r="D119" s="108">
        <v>0</v>
      </c>
      <c r="E119" s="108">
        <f t="shared" si="4"/>
        <v>0.69499999999999995</v>
      </c>
      <c r="F119" s="108">
        <v>0.69499999999999995</v>
      </c>
      <c r="G119" s="121">
        <v>4170</v>
      </c>
      <c r="H119" s="110" t="s">
        <v>4</v>
      </c>
      <c r="I119" s="121"/>
      <c r="J119" s="121"/>
      <c r="K119" s="121"/>
      <c r="L119" s="121"/>
      <c r="M119" s="121"/>
      <c r="N119" s="121"/>
      <c r="O119" s="121"/>
      <c r="P119" s="121">
        <v>2185</v>
      </c>
      <c r="Q119" s="109">
        <v>80150023049</v>
      </c>
      <c r="R119" s="109">
        <v>80150023049</v>
      </c>
    </row>
    <row r="120" spans="1:18" x14ac:dyDescent="0.2">
      <c r="A120" s="114">
        <v>82</v>
      </c>
      <c r="B120" s="107" t="s">
        <v>82</v>
      </c>
      <c r="C120" s="109" t="s">
        <v>846</v>
      </c>
      <c r="D120" s="108">
        <v>0</v>
      </c>
      <c r="E120" s="108">
        <f t="shared" si="4"/>
        <v>0.105</v>
      </c>
      <c r="F120" s="108">
        <v>0.105</v>
      </c>
      <c r="G120" s="121">
        <v>473</v>
      </c>
      <c r="H120" s="110" t="s">
        <v>1213</v>
      </c>
      <c r="I120" s="121"/>
      <c r="J120" s="121"/>
      <c r="K120" s="121"/>
      <c r="L120" s="121"/>
      <c r="M120" s="121"/>
      <c r="N120" s="121"/>
      <c r="O120" s="121"/>
      <c r="P120" s="121"/>
      <c r="Q120" s="109">
        <v>80150031091</v>
      </c>
      <c r="R120" s="109">
        <v>80150031091</v>
      </c>
    </row>
    <row r="121" spans="1:18" x14ac:dyDescent="0.2">
      <c r="A121" s="114">
        <v>83</v>
      </c>
      <c r="B121" s="120" t="s">
        <v>81</v>
      </c>
      <c r="C121" s="111" t="s">
        <v>848</v>
      </c>
      <c r="D121" s="108">
        <v>0</v>
      </c>
      <c r="E121" s="108">
        <f t="shared" si="4"/>
        <v>1.1499999999999999</v>
      </c>
      <c r="F121" s="108">
        <v>1.1499999999999999</v>
      </c>
      <c r="G121" s="121">
        <v>6900</v>
      </c>
      <c r="H121" s="110" t="s">
        <v>4</v>
      </c>
      <c r="I121" s="121"/>
      <c r="J121" s="121"/>
      <c r="K121" s="121"/>
      <c r="L121" s="121"/>
      <c r="M121" s="121"/>
      <c r="N121" s="121"/>
      <c r="O121" s="121"/>
      <c r="P121" s="121">
        <v>2918</v>
      </c>
      <c r="Q121" s="109">
        <v>80150021903</v>
      </c>
      <c r="R121" s="109">
        <v>80150021903</v>
      </c>
    </row>
    <row r="122" spans="1:18" x14ac:dyDescent="0.2">
      <c r="A122" s="114">
        <v>84</v>
      </c>
      <c r="B122" s="107" t="s">
        <v>80</v>
      </c>
      <c r="C122" s="109" t="s">
        <v>846</v>
      </c>
      <c r="D122" s="108">
        <v>0</v>
      </c>
      <c r="E122" s="108">
        <f t="shared" si="4"/>
        <v>0.28999999999999998</v>
      </c>
      <c r="F122" s="108">
        <v>0.28999999999999998</v>
      </c>
      <c r="G122" s="121">
        <v>1450</v>
      </c>
      <c r="H122" s="110" t="s">
        <v>0</v>
      </c>
      <c r="I122" s="121"/>
      <c r="J122" s="121"/>
      <c r="K122" s="121"/>
      <c r="L122" s="121"/>
      <c r="M122" s="121"/>
      <c r="N122" s="121"/>
      <c r="O122" s="121"/>
      <c r="P122" s="121"/>
      <c r="Q122" s="109">
        <v>80150032068</v>
      </c>
      <c r="R122" s="109">
        <v>80150032068</v>
      </c>
    </row>
    <row r="123" spans="1:18" x14ac:dyDescent="0.2">
      <c r="A123" s="114">
        <v>85</v>
      </c>
      <c r="B123" s="107" t="s">
        <v>79</v>
      </c>
      <c r="C123" s="109" t="s">
        <v>846</v>
      </c>
      <c r="D123" s="108">
        <v>0</v>
      </c>
      <c r="E123" s="108">
        <v>0.17199999999999999</v>
      </c>
      <c r="F123" s="108">
        <v>0.17199999999999999</v>
      </c>
      <c r="G123" s="121">
        <v>687</v>
      </c>
      <c r="H123" s="110" t="s">
        <v>1213</v>
      </c>
      <c r="I123" s="121"/>
      <c r="J123" s="121"/>
      <c r="K123" s="121"/>
      <c r="L123" s="121"/>
      <c r="M123" s="121"/>
      <c r="N123" s="121"/>
      <c r="O123" s="121"/>
      <c r="P123" s="121"/>
      <c r="Q123" s="109">
        <v>80150023650</v>
      </c>
      <c r="R123" s="109">
        <v>80150023650</v>
      </c>
    </row>
    <row r="124" spans="1:18" x14ac:dyDescent="0.2">
      <c r="A124" s="114">
        <v>86</v>
      </c>
      <c r="B124" s="107" t="s">
        <v>78</v>
      </c>
      <c r="C124" s="109" t="s">
        <v>846</v>
      </c>
      <c r="D124" s="108">
        <v>0</v>
      </c>
      <c r="E124" s="108">
        <f t="shared" si="4"/>
        <v>6.5000000000000002E-2</v>
      </c>
      <c r="F124" s="108">
        <v>6.5000000000000002E-2</v>
      </c>
      <c r="G124" s="121">
        <v>273</v>
      </c>
      <c r="H124" s="110" t="s">
        <v>4</v>
      </c>
      <c r="I124" s="121"/>
      <c r="J124" s="121"/>
      <c r="K124" s="121"/>
      <c r="L124" s="121"/>
      <c r="M124" s="121"/>
      <c r="N124" s="121"/>
      <c r="O124" s="121"/>
      <c r="P124" s="121"/>
      <c r="Q124" s="109">
        <v>80150024024</v>
      </c>
      <c r="R124" s="109">
        <v>80150024024</v>
      </c>
    </row>
    <row r="125" spans="1:18" x14ac:dyDescent="0.2">
      <c r="A125" s="114">
        <v>87</v>
      </c>
      <c r="B125" s="107" t="s">
        <v>77</v>
      </c>
      <c r="C125" s="109" t="s">
        <v>846</v>
      </c>
      <c r="D125" s="108">
        <v>0</v>
      </c>
      <c r="E125" s="108">
        <f t="shared" si="4"/>
        <v>0.34499999999999997</v>
      </c>
      <c r="F125" s="108">
        <v>0.34499999999999997</v>
      </c>
      <c r="G125" s="121">
        <v>2760</v>
      </c>
      <c r="H125" s="110" t="s">
        <v>4</v>
      </c>
      <c r="I125" s="121"/>
      <c r="J125" s="121"/>
      <c r="K125" s="121"/>
      <c r="L125" s="121"/>
      <c r="M125" s="121"/>
      <c r="N125" s="121"/>
      <c r="O125" s="121"/>
      <c r="P125" s="121"/>
      <c r="Q125" s="109">
        <v>80150040443</v>
      </c>
      <c r="R125" s="109">
        <v>80150040443</v>
      </c>
    </row>
    <row r="126" spans="1:18" x14ac:dyDescent="0.2">
      <c r="A126" s="114">
        <v>88</v>
      </c>
      <c r="B126" s="107" t="s">
        <v>205</v>
      </c>
      <c r="C126" s="109" t="s">
        <v>846</v>
      </c>
      <c r="D126" s="108">
        <v>0</v>
      </c>
      <c r="E126" s="108">
        <f t="shared" si="4"/>
        <v>6.5000000000000002E-2</v>
      </c>
      <c r="F126" s="108">
        <v>6.5000000000000002E-2</v>
      </c>
      <c r="G126" s="121">
        <v>390</v>
      </c>
      <c r="H126" s="110" t="s">
        <v>0</v>
      </c>
      <c r="I126" s="121"/>
      <c r="J126" s="121"/>
      <c r="K126" s="121"/>
      <c r="L126" s="121"/>
      <c r="M126" s="121"/>
      <c r="N126" s="121"/>
      <c r="O126" s="121"/>
      <c r="P126" s="121"/>
      <c r="Q126" s="109">
        <v>80150023078</v>
      </c>
      <c r="R126" s="109">
        <v>80150023078</v>
      </c>
    </row>
    <row r="127" spans="1:18" x14ac:dyDescent="0.2">
      <c r="A127" s="114">
        <v>89</v>
      </c>
      <c r="B127" s="107" t="s">
        <v>76</v>
      </c>
      <c r="C127" s="109" t="s">
        <v>846</v>
      </c>
      <c r="D127" s="108">
        <v>0</v>
      </c>
      <c r="E127" s="108">
        <f t="shared" si="4"/>
        <v>0.45</v>
      </c>
      <c r="F127" s="108">
        <v>0.45</v>
      </c>
      <c r="G127" s="121">
        <v>2025</v>
      </c>
      <c r="H127" s="110" t="s">
        <v>0</v>
      </c>
      <c r="I127" s="121"/>
      <c r="J127" s="121"/>
      <c r="K127" s="121"/>
      <c r="L127" s="121"/>
      <c r="M127" s="121"/>
      <c r="N127" s="121"/>
      <c r="O127" s="121"/>
      <c r="P127" s="121">
        <v>1201</v>
      </c>
      <c r="Q127" s="109">
        <v>80150021130</v>
      </c>
      <c r="R127" s="109">
        <v>80150021130</v>
      </c>
    </row>
    <row r="128" spans="1:18" x14ac:dyDescent="0.2">
      <c r="A128" s="114">
        <v>90</v>
      </c>
      <c r="B128" s="120" t="s">
        <v>392</v>
      </c>
      <c r="C128" s="111" t="s">
        <v>846</v>
      </c>
      <c r="D128" s="108">
        <v>0</v>
      </c>
      <c r="E128" s="108">
        <f t="shared" si="4"/>
        <v>0.32400000000000001</v>
      </c>
      <c r="F128" s="108">
        <v>0.32400000000000001</v>
      </c>
      <c r="G128" s="121">
        <v>2300</v>
      </c>
      <c r="H128" s="110" t="s">
        <v>4</v>
      </c>
      <c r="I128" s="121"/>
      <c r="J128" s="121"/>
      <c r="K128" s="121"/>
      <c r="L128" s="121"/>
      <c r="M128" s="121"/>
      <c r="N128" s="121"/>
      <c r="O128" s="121"/>
      <c r="P128" s="121">
        <v>582.19000000000005</v>
      </c>
      <c r="Q128" s="109">
        <v>80150030092</v>
      </c>
      <c r="R128" s="109">
        <v>80150030092</v>
      </c>
    </row>
    <row r="129" spans="1:18" x14ac:dyDescent="0.2">
      <c r="A129" s="114">
        <v>91</v>
      </c>
      <c r="B129" s="101" t="s">
        <v>75</v>
      </c>
      <c r="C129" s="483" t="s">
        <v>846</v>
      </c>
      <c r="D129" s="108">
        <v>0</v>
      </c>
      <c r="E129" s="108">
        <f t="shared" si="4"/>
        <v>9.2999999999999999E-2</v>
      </c>
      <c r="F129" s="108">
        <v>9.2999999999999999E-2</v>
      </c>
      <c r="G129" s="121">
        <v>512</v>
      </c>
      <c r="H129" s="110" t="s">
        <v>0</v>
      </c>
      <c r="I129" s="121"/>
      <c r="J129" s="121"/>
      <c r="K129" s="121"/>
      <c r="L129" s="121"/>
      <c r="M129" s="121"/>
      <c r="N129" s="121"/>
      <c r="O129" s="121"/>
      <c r="P129" s="121"/>
      <c r="Q129" s="109">
        <v>80150022366</v>
      </c>
      <c r="R129" s="109">
        <v>80150022366</v>
      </c>
    </row>
    <row r="130" spans="1:18" x14ac:dyDescent="0.2">
      <c r="A130" s="103"/>
      <c r="B130" s="104"/>
      <c r="C130" s="483" t="s">
        <v>846</v>
      </c>
      <c r="D130" s="108">
        <f t="shared" ref="D130:D167" si="5">E129</f>
        <v>9.2999999999999999E-2</v>
      </c>
      <c r="E130" s="108">
        <f t="shared" si="4"/>
        <v>0.41400000000000003</v>
      </c>
      <c r="F130" s="108">
        <v>0.32100000000000001</v>
      </c>
      <c r="G130" s="121">
        <v>1284</v>
      </c>
      <c r="H130" s="110" t="s">
        <v>0</v>
      </c>
      <c r="I130" s="121"/>
      <c r="J130" s="121"/>
      <c r="K130" s="121"/>
      <c r="L130" s="121"/>
      <c r="M130" s="121"/>
      <c r="N130" s="121"/>
      <c r="O130" s="121"/>
      <c r="P130" s="121"/>
      <c r="Q130" s="109">
        <v>80150022366</v>
      </c>
      <c r="R130" s="109">
        <v>80150022366</v>
      </c>
    </row>
    <row r="131" spans="1:18" x14ac:dyDescent="0.2">
      <c r="A131" s="115">
        <v>92</v>
      </c>
      <c r="B131" s="107" t="s">
        <v>74</v>
      </c>
      <c r="C131" s="483" t="s">
        <v>846</v>
      </c>
      <c r="D131" s="108">
        <v>0</v>
      </c>
      <c r="E131" s="108">
        <f t="shared" si="4"/>
        <v>0.31</v>
      </c>
      <c r="F131" s="108">
        <v>0.31</v>
      </c>
      <c r="G131" s="121">
        <v>2015</v>
      </c>
      <c r="H131" s="110" t="s">
        <v>4</v>
      </c>
      <c r="I131" s="121"/>
      <c r="J131" s="121"/>
      <c r="K131" s="121"/>
      <c r="L131" s="121"/>
      <c r="M131" s="121"/>
      <c r="N131" s="121"/>
      <c r="O131" s="121"/>
      <c r="P131" s="121"/>
      <c r="Q131" s="109">
        <v>80150040318</v>
      </c>
      <c r="R131" s="109">
        <v>80150040318</v>
      </c>
    </row>
    <row r="132" spans="1:18" x14ac:dyDescent="0.2">
      <c r="A132" s="100">
        <v>93</v>
      </c>
      <c r="B132" s="101" t="s">
        <v>73</v>
      </c>
      <c r="C132" s="483" t="s">
        <v>846</v>
      </c>
      <c r="D132" s="108">
        <v>0</v>
      </c>
      <c r="E132" s="108">
        <f t="shared" si="4"/>
        <v>0.41</v>
      </c>
      <c r="F132" s="108">
        <v>0.41</v>
      </c>
      <c r="G132" s="121">
        <v>1722</v>
      </c>
      <c r="H132" s="110" t="s">
        <v>4</v>
      </c>
      <c r="I132" s="121"/>
      <c r="J132" s="121"/>
      <c r="K132" s="121"/>
      <c r="L132" s="121"/>
      <c r="M132" s="121"/>
      <c r="N132" s="121"/>
      <c r="O132" s="121"/>
      <c r="P132" s="121"/>
      <c r="Q132" s="109">
        <v>80150010903</v>
      </c>
      <c r="R132" s="109">
        <v>80150010903</v>
      </c>
    </row>
    <row r="133" spans="1:18" x14ac:dyDescent="0.2">
      <c r="A133" s="103"/>
      <c r="B133" s="104"/>
      <c r="C133" s="483" t="s">
        <v>846</v>
      </c>
      <c r="D133" s="108">
        <f>E132</f>
        <v>0.41</v>
      </c>
      <c r="E133" s="108">
        <f t="shared" si="4"/>
        <v>0.79499999999999993</v>
      </c>
      <c r="F133" s="108">
        <v>0.38500000000000001</v>
      </c>
      <c r="G133" s="121">
        <v>1398</v>
      </c>
      <c r="H133" s="110" t="s">
        <v>0</v>
      </c>
      <c r="I133" s="121"/>
      <c r="J133" s="121"/>
      <c r="K133" s="121"/>
      <c r="L133" s="121"/>
      <c r="M133" s="121"/>
      <c r="N133" s="121"/>
      <c r="O133" s="121"/>
      <c r="P133" s="121"/>
      <c r="Q133" s="109">
        <v>80150010903</v>
      </c>
      <c r="R133" s="109">
        <v>80150010903</v>
      </c>
    </row>
    <row r="134" spans="1:18" x14ac:dyDescent="0.2">
      <c r="A134" s="100">
        <v>94</v>
      </c>
      <c r="B134" s="101" t="s">
        <v>72</v>
      </c>
      <c r="C134" s="483" t="s">
        <v>846</v>
      </c>
      <c r="D134" s="108">
        <v>0</v>
      </c>
      <c r="E134" s="108">
        <f t="shared" si="4"/>
        <v>0.45500000000000002</v>
      </c>
      <c r="F134" s="108">
        <v>0.45500000000000002</v>
      </c>
      <c r="G134" s="121">
        <v>3280</v>
      </c>
      <c r="H134" s="110" t="s">
        <v>154</v>
      </c>
      <c r="I134" s="121"/>
      <c r="J134" s="121"/>
      <c r="K134" s="121"/>
      <c r="L134" s="121"/>
      <c r="M134" s="121"/>
      <c r="N134" s="121"/>
      <c r="O134" s="121"/>
      <c r="P134" s="121"/>
      <c r="Q134" s="109">
        <v>80150022368</v>
      </c>
      <c r="R134" s="109">
        <v>80150022368</v>
      </c>
    </row>
    <row r="135" spans="1:18" x14ac:dyDescent="0.2">
      <c r="A135" s="100">
        <v>95</v>
      </c>
      <c r="B135" s="101" t="s">
        <v>71</v>
      </c>
      <c r="C135" s="483" t="s">
        <v>846</v>
      </c>
      <c r="D135" s="108">
        <v>0</v>
      </c>
      <c r="E135" s="108">
        <v>0.32500000000000001</v>
      </c>
      <c r="F135" s="108">
        <v>0.32500000000000001</v>
      </c>
      <c r="G135" s="121">
        <v>2275</v>
      </c>
      <c r="H135" s="110" t="s">
        <v>4</v>
      </c>
      <c r="I135" s="121"/>
      <c r="J135" s="121"/>
      <c r="K135" s="121"/>
      <c r="L135" s="121"/>
      <c r="M135" s="121"/>
      <c r="N135" s="121"/>
      <c r="O135" s="121"/>
      <c r="P135" s="121">
        <v>111</v>
      </c>
      <c r="Q135" s="109">
        <v>80150032359</v>
      </c>
      <c r="R135" s="109">
        <v>80150032359</v>
      </c>
    </row>
    <row r="136" spans="1:18" x14ac:dyDescent="0.2">
      <c r="A136" s="100">
        <v>96</v>
      </c>
      <c r="B136" s="101" t="s">
        <v>70</v>
      </c>
      <c r="C136" s="483" t="s">
        <v>846</v>
      </c>
      <c r="D136" s="108">
        <v>6.5000000000000002E-2</v>
      </c>
      <c r="E136" s="108">
        <f t="shared" ref="E136:E198" si="6">D136+F136</f>
        <v>0.22</v>
      </c>
      <c r="F136" s="108">
        <v>0.155</v>
      </c>
      <c r="G136" s="121">
        <v>620</v>
      </c>
      <c r="H136" s="110" t="s">
        <v>1213</v>
      </c>
      <c r="I136" s="121"/>
      <c r="J136" s="121"/>
      <c r="K136" s="121"/>
      <c r="L136" s="121"/>
      <c r="M136" s="121"/>
      <c r="N136" s="121"/>
      <c r="O136" s="121"/>
      <c r="P136" s="121"/>
      <c r="Q136" s="109">
        <v>80150030936</v>
      </c>
      <c r="R136" s="109">
        <v>80150030936</v>
      </c>
    </row>
    <row r="137" spans="1:18" x14ac:dyDescent="0.2">
      <c r="A137" s="103"/>
      <c r="B137" s="104"/>
      <c r="C137" s="483" t="s">
        <v>846</v>
      </c>
      <c r="D137" s="108">
        <f t="shared" si="5"/>
        <v>0.22</v>
      </c>
      <c r="E137" s="108">
        <f t="shared" si="6"/>
        <v>0.32</v>
      </c>
      <c r="F137" s="108">
        <v>0.1</v>
      </c>
      <c r="G137" s="121">
        <v>403</v>
      </c>
      <c r="H137" s="110" t="s">
        <v>1213</v>
      </c>
      <c r="I137" s="121"/>
      <c r="J137" s="121"/>
      <c r="K137" s="121"/>
      <c r="L137" s="121"/>
      <c r="M137" s="121"/>
      <c r="N137" s="121"/>
      <c r="O137" s="121"/>
      <c r="P137" s="121"/>
      <c r="Q137" s="109">
        <v>80150030936</v>
      </c>
      <c r="R137" s="109">
        <v>80150030937</v>
      </c>
    </row>
    <row r="138" spans="1:18" x14ac:dyDescent="0.2">
      <c r="A138" s="115">
        <v>97</v>
      </c>
      <c r="B138" s="107" t="s">
        <v>69</v>
      </c>
      <c r="C138" s="109" t="s">
        <v>848</v>
      </c>
      <c r="D138" s="108">
        <v>0</v>
      </c>
      <c r="E138" s="108">
        <f t="shared" si="6"/>
        <v>0.625</v>
      </c>
      <c r="F138" s="108">
        <v>0.625</v>
      </c>
      <c r="G138" s="121">
        <v>3245</v>
      </c>
      <c r="H138" s="110" t="s">
        <v>4</v>
      </c>
      <c r="I138" s="121"/>
      <c r="J138" s="121"/>
      <c r="K138" s="121"/>
      <c r="L138" s="121"/>
      <c r="M138" s="121"/>
      <c r="N138" s="121"/>
      <c r="O138" s="121"/>
      <c r="P138" s="121">
        <v>950</v>
      </c>
      <c r="Q138" s="109">
        <v>80150020810</v>
      </c>
      <c r="R138" s="109">
        <v>80150020810</v>
      </c>
    </row>
    <row r="139" spans="1:18" x14ac:dyDescent="0.2">
      <c r="A139" s="118">
        <v>98</v>
      </c>
      <c r="B139" s="101" t="s">
        <v>68</v>
      </c>
      <c r="C139" s="109" t="s">
        <v>848</v>
      </c>
      <c r="D139" s="108">
        <v>0</v>
      </c>
      <c r="E139" s="108">
        <f t="shared" si="6"/>
        <v>0.12</v>
      </c>
      <c r="F139" s="108">
        <v>0.12</v>
      </c>
      <c r="G139" s="121">
        <v>684</v>
      </c>
      <c r="H139" s="110" t="s">
        <v>4</v>
      </c>
      <c r="I139" s="121"/>
      <c r="J139" s="121"/>
      <c r="K139" s="121"/>
      <c r="L139" s="121"/>
      <c r="M139" s="121"/>
      <c r="N139" s="121"/>
      <c r="O139" s="121"/>
      <c r="P139" s="121">
        <v>162</v>
      </c>
      <c r="Q139" s="109">
        <v>80150030427</v>
      </c>
      <c r="R139" s="109">
        <v>80150023838</v>
      </c>
    </row>
    <row r="140" spans="1:18" x14ac:dyDescent="0.2">
      <c r="A140" s="125"/>
      <c r="B140" s="122"/>
      <c r="C140" s="109" t="s">
        <v>848</v>
      </c>
      <c r="D140" s="108">
        <f t="shared" si="5"/>
        <v>0.12</v>
      </c>
      <c r="E140" s="108">
        <f t="shared" si="6"/>
        <v>0.435</v>
      </c>
      <c r="F140" s="108">
        <v>0.315</v>
      </c>
      <c r="G140" s="121">
        <v>1796</v>
      </c>
      <c r="H140" s="110" t="s">
        <v>4</v>
      </c>
      <c r="I140" s="121"/>
      <c r="J140" s="121"/>
      <c r="K140" s="121"/>
      <c r="L140" s="121"/>
      <c r="M140" s="121"/>
      <c r="N140" s="121"/>
      <c r="O140" s="121"/>
      <c r="P140" s="121">
        <v>427</v>
      </c>
      <c r="Q140" s="109">
        <v>80150030427</v>
      </c>
      <c r="R140" s="109">
        <v>80150030427</v>
      </c>
    </row>
    <row r="141" spans="1:18" x14ac:dyDescent="0.2">
      <c r="A141" s="114"/>
      <c r="B141" s="104"/>
      <c r="C141" s="109" t="s">
        <v>848</v>
      </c>
      <c r="D141" s="108">
        <f t="shared" si="5"/>
        <v>0.435</v>
      </c>
      <c r="E141" s="108">
        <f t="shared" si="6"/>
        <v>0.82499999999999996</v>
      </c>
      <c r="F141" s="108">
        <v>0.39</v>
      </c>
      <c r="G141" s="121">
        <v>2925</v>
      </c>
      <c r="H141" s="110" t="s">
        <v>4</v>
      </c>
      <c r="I141" s="121"/>
      <c r="J141" s="121"/>
      <c r="K141" s="121"/>
      <c r="L141" s="121"/>
      <c r="M141" s="121"/>
      <c r="N141" s="121"/>
      <c r="O141" s="121"/>
      <c r="P141" s="121">
        <v>468</v>
      </c>
      <c r="Q141" s="109">
        <v>80150030427</v>
      </c>
      <c r="R141" s="109">
        <v>80150032356</v>
      </c>
    </row>
    <row r="142" spans="1:18" x14ac:dyDescent="0.2">
      <c r="A142" s="100">
        <v>99</v>
      </c>
      <c r="B142" s="101" t="s">
        <v>67</v>
      </c>
      <c r="C142" s="109" t="s">
        <v>848</v>
      </c>
      <c r="D142" s="108">
        <v>0</v>
      </c>
      <c r="E142" s="108">
        <f t="shared" si="6"/>
        <v>0.34499999999999997</v>
      </c>
      <c r="F142" s="108">
        <v>0.34499999999999997</v>
      </c>
      <c r="G142" s="121">
        <v>2415</v>
      </c>
      <c r="H142" s="110" t="s">
        <v>4</v>
      </c>
      <c r="I142" s="121"/>
      <c r="J142" s="121"/>
      <c r="K142" s="121"/>
      <c r="L142" s="121"/>
      <c r="M142" s="121"/>
      <c r="N142" s="121"/>
      <c r="O142" s="121"/>
      <c r="P142" s="121"/>
      <c r="Q142" s="109">
        <v>80150024608</v>
      </c>
      <c r="R142" s="109">
        <v>80150024608</v>
      </c>
    </row>
    <row r="143" spans="1:18" x14ac:dyDescent="0.2">
      <c r="A143" s="103"/>
      <c r="B143" s="104"/>
      <c r="C143" s="109" t="s">
        <v>848</v>
      </c>
      <c r="D143" s="108">
        <f t="shared" si="5"/>
        <v>0.34499999999999997</v>
      </c>
      <c r="E143" s="108">
        <f t="shared" si="6"/>
        <v>0.62</v>
      </c>
      <c r="F143" s="108">
        <v>0.27500000000000002</v>
      </c>
      <c r="G143" s="121">
        <v>1925</v>
      </c>
      <c r="H143" s="110" t="s">
        <v>4</v>
      </c>
      <c r="I143" s="121"/>
      <c r="J143" s="121"/>
      <c r="K143" s="121"/>
      <c r="L143" s="121"/>
      <c r="M143" s="121"/>
      <c r="N143" s="121"/>
      <c r="O143" s="121"/>
      <c r="P143" s="121"/>
      <c r="Q143" s="261" t="s">
        <v>421</v>
      </c>
      <c r="R143" s="109">
        <v>80940030320</v>
      </c>
    </row>
    <row r="144" spans="1:18" x14ac:dyDescent="0.2">
      <c r="A144" s="119">
        <v>100</v>
      </c>
      <c r="B144" s="120" t="s">
        <v>66</v>
      </c>
      <c r="C144" s="111" t="s">
        <v>846</v>
      </c>
      <c r="D144" s="108">
        <v>0</v>
      </c>
      <c r="E144" s="108">
        <f t="shared" si="6"/>
        <v>0.57999999999999996</v>
      </c>
      <c r="F144" s="108">
        <v>0.57999999999999996</v>
      </c>
      <c r="G144" s="121">
        <v>2320</v>
      </c>
      <c r="H144" s="110" t="s">
        <v>0</v>
      </c>
      <c r="I144" s="121"/>
      <c r="J144" s="121"/>
      <c r="K144" s="121"/>
      <c r="L144" s="121"/>
      <c r="M144" s="121"/>
      <c r="N144" s="121"/>
      <c r="O144" s="121"/>
      <c r="P144" s="121"/>
      <c r="Q144" s="109">
        <v>80150022975</v>
      </c>
      <c r="R144" s="109">
        <v>80150022975</v>
      </c>
    </row>
    <row r="145" spans="1:18" x14ac:dyDescent="0.2">
      <c r="A145" s="115">
        <v>101</v>
      </c>
      <c r="B145" s="107" t="s">
        <v>64</v>
      </c>
      <c r="C145" s="109" t="s">
        <v>846</v>
      </c>
      <c r="D145" s="108">
        <v>0</v>
      </c>
      <c r="E145" s="108">
        <f t="shared" si="6"/>
        <v>0.26500000000000001</v>
      </c>
      <c r="F145" s="108">
        <v>0.26500000000000001</v>
      </c>
      <c r="G145" s="121">
        <v>1060</v>
      </c>
      <c r="H145" s="110" t="s">
        <v>0</v>
      </c>
      <c r="I145" s="121"/>
      <c r="J145" s="121"/>
      <c r="K145" s="121"/>
      <c r="L145" s="121"/>
      <c r="M145" s="121"/>
      <c r="N145" s="121"/>
      <c r="O145" s="121"/>
      <c r="P145" s="121"/>
      <c r="Q145" s="109">
        <v>80150022828</v>
      </c>
      <c r="R145" s="109">
        <v>80150022828</v>
      </c>
    </row>
    <row r="146" spans="1:18" x14ac:dyDescent="0.2">
      <c r="A146" s="100">
        <v>102</v>
      </c>
      <c r="B146" s="101" t="s">
        <v>65</v>
      </c>
      <c r="C146" s="109" t="s">
        <v>848</v>
      </c>
      <c r="D146" s="108">
        <v>0</v>
      </c>
      <c r="E146" s="108">
        <f t="shared" si="6"/>
        <v>0.29499999999999998</v>
      </c>
      <c r="F146" s="108">
        <v>0.29499999999999998</v>
      </c>
      <c r="G146" s="121">
        <v>1770</v>
      </c>
      <c r="H146" s="110" t="s">
        <v>4</v>
      </c>
      <c r="I146" s="121"/>
      <c r="J146" s="121"/>
      <c r="K146" s="121"/>
      <c r="L146" s="121"/>
      <c r="M146" s="121"/>
      <c r="N146" s="121"/>
      <c r="O146" s="121"/>
      <c r="P146" s="121">
        <v>339</v>
      </c>
      <c r="Q146" s="109">
        <v>80150023234</v>
      </c>
      <c r="R146" s="109">
        <v>80150023234</v>
      </c>
    </row>
    <row r="147" spans="1:18" x14ac:dyDescent="0.2">
      <c r="A147" s="103"/>
      <c r="B147" s="104"/>
      <c r="C147" s="109" t="s">
        <v>848</v>
      </c>
      <c r="D147" s="108">
        <f t="shared" si="5"/>
        <v>0.29499999999999998</v>
      </c>
      <c r="E147" s="108">
        <f t="shared" si="6"/>
        <v>0.42499999999999999</v>
      </c>
      <c r="F147" s="108">
        <v>0.13</v>
      </c>
      <c r="G147" s="121">
        <v>650</v>
      </c>
      <c r="H147" s="110" t="s">
        <v>154</v>
      </c>
      <c r="I147" s="121"/>
      <c r="J147" s="121"/>
      <c r="K147" s="121"/>
      <c r="L147" s="121"/>
      <c r="M147" s="121"/>
      <c r="N147" s="121"/>
      <c r="O147" s="121"/>
      <c r="P147" s="121"/>
      <c r="Q147" s="109">
        <v>80150023234</v>
      </c>
      <c r="R147" s="109">
        <v>80150023234</v>
      </c>
    </row>
    <row r="148" spans="1:18" x14ac:dyDescent="0.2">
      <c r="A148" s="115">
        <v>103</v>
      </c>
      <c r="B148" s="107" t="s">
        <v>63</v>
      </c>
      <c r="C148" s="109" t="s">
        <v>846</v>
      </c>
      <c r="D148" s="108">
        <v>0</v>
      </c>
      <c r="E148" s="108">
        <v>0.25</v>
      </c>
      <c r="F148" s="108">
        <v>0.25</v>
      </c>
      <c r="G148" s="121">
        <v>1375</v>
      </c>
      <c r="H148" s="110" t="s">
        <v>4</v>
      </c>
      <c r="I148" s="121"/>
      <c r="J148" s="121"/>
      <c r="K148" s="121"/>
      <c r="L148" s="121"/>
      <c r="M148" s="121"/>
      <c r="N148" s="121"/>
      <c r="O148" s="121"/>
      <c r="P148" s="121">
        <v>348</v>
      </c>
      <c r="Q148" s="109">
        <v>80150022437</v>
      </c>
      <c r="R148" s="109">
        <v>80150022437</v>
      </c>
    </row>
    <row r="149" spans="1:18" x14ac:dyDescent="0.2">
      <c r="A149" s="100">
        <v>104</v>
      </c>
      <c r="B149" s="101" t="s">
        <v>62</v>
      </c>
      <c r="C149" s="109" t="s">
        <v>846</v>
      </c>
      <c r="D149" s="108">
        <v>0</v>
      </c>
      <c r="E149" s="108">
        <f t="shared" si="6"/>
        <v>0.128</v>
      </c>
      <c r="F149" s="108">
        <v>0.128</v>
      </c>
      <c r="G149" s="121">
        <v>512</v>
      </c>
      <c r="H149" s="110" t="s">
        <v>4</v>
      </c>
      <c r="I149" s="121"/>
      <c r="J149" s="121"/>
      <c r="K149" s="121"/>
      <c r="L149" s="121"/>
      <c r="M149" s="121"/>
      <c r="N149" s="121"/>
      <c r="O149" s="121"/>
      <c r="P149" s="121"/>
      <c r="Q149" s="109">
        <v>80150031848</v>
      </c>
      <c r="R149" s="109">
        <v>80150031848</v>
      </c>
    </row>
    <row r="150" spans="1:18" x14ac:dyDescent="0.2">
      <c r="A150" s="103"/>
      <c r="B150" s="104"/>
      <c r="C150" s="109" t="s">
        <v>846</v>
      </c>
      <c r="D150" s="108">
        <f t="shared" si="5"/>
        <v>0.128</v>
      </c>
      <c r="E150" s="108">
        <f t="shared" si="6"/>
        <v>0.27300000000000002</v>
      </c>
      <c r="F150" s="108">
        <v>0.14499999999999999</v>
      </c>
      <c r="G150" s="121">
        <v>580</v>
      </c>
      <c r="H150" s="110" t="s">
        <v>0</v>
      </c>
      <c r="I150" s="121"/>
      <c r="J150" s="121"/>
      <c r="K150" s="121"/>
      <c r="L150" s="121"/>
      <c r="M150" s="121"/>
      <c r="N150" s="121"/>
      <c r="O150" s="121"/>
      <c r="P150" s="121"/>
      <c r="Q150" s="109">
        <v>80150031848</v>
      </c>
      <c r="R150" s="109">
        <v>80150031848</v>
      </c>
    </row>
    <row r="151" spans="1:18" x14ac:dyDescent="0.2">
      <c r="A151" s="100">
        <v>105</v>
      </c>
      <c r="B151" s="101" t="s">
        <v>61</v>
      </c>
      <c r="C151" s="109" t="s">
        <v>848</v>
      </c>
      <c r="D151" s="108">
        <v>0</v>
      </c>
      <c r="E151" s="108">
        <f t="shared" si="6"/>
        <v>0.51</v>
      </c>
      <c r="F151" s="108">
        <v>0.51</v>
      </c>
      <c r="G151" s="121">
        <v>3060</v>
      </c>
      <c r="H151" s="110" t="s">
        <v>4</v>
      </c>
      <c r="I151" s="121"/>
      <c r="J151" s="121"/>
      <c r="K151" s="121"/>
      <c r="L151" s="121"/>
      <c r="M151" s="121"/>
      <c r="N151" s="121"/>
      <c r="O151" s="121"/>
      <c r="P151" s="121">
        <v>881</v>
      </c>
      <c r="Q151" s="109">
        <v>80150023441</v>
      </c>
      <c r="R151" s="109">
        <v>80150023441</v>
      </c>
    </row>
    <row r="152" spans="1:18" x14ac:dyDescent="0.2">
      <c r="A152" s="103"/>
      <c r="B152" s="104"/>
      <c r="C152" s="109" t="s">
        <v>848</v>
      </c>
      <c r="D152" s="108">
        <f t="shared" si="5"/>
        <v>0.51</v>
      </c>
      <c r="E152" s="108">
        <f t="shared" si="6"/>
        <v>0.58499999999999996</v>
      </c>
      <c r="F152" s="108">
        <v>7.4999999999999997E-2</v>
      </c>
      <c r="G152" s="121">
        <v>360</v>
      </c>
      <c r="H152" s="110" t="s">
        <v>4</v>
      </c>
      <c r="I152" s="121"/>
      <c r="J152" s="121"/>
      <c r="K152" s="121"/>
      <c r="L152" s="121"/>
      <c r="M152" s="121"/>
      <c r="N152" s="121"/>
      <c r="O152" s="121"/>
      <c r="P152" s="121"/>
      <c r="Q152" s="109">
        <v>80150023234</v>
      </c>
      <c r="R152" s="109">
        <v>80150023234</v>
      </c>
    </row>
    <row r="153" spans="1:18" x14ac:dyDescent="0.2">
      <c r="A153" s="100">
        <v>106</v>
      </c>
      <c r="B153" s="101" t="s">
        <v>60</v>
      </c>
      <c r="C153" s="109" t="s">
        <v>848</v>
      </c>
      <c r="D153" s="108">
        <v>0</v>
      </c>
      <c r="E153" s="108">
        <f t="shared" si="6"/>
        <v>1.385</v>
      </c>
      <c r="F153" s="108">
        <v>1.385</v>
      </c>
      <c r="G153" s="121">
        <v>8310</v>
      </c>
      <c r="H153" s="110" t="s">
        <v>4</v>
      </c>
      <c r="I153" s="121"/>
      <c r="J153" s="121"/>
      <c r="K153" s="121"/>
      <c r="L153" s="121"/>
      <c r="M153" s="121"/>
      <c r="N153" s="121"/>
      <c r="O153" s="121"/>
      <c r="P153" s="121">
        <v>228</v>
      </c>
      <c r="Q153" s="109">
        <v>80150023903</v>
      </c>
      <c r="R153" s="109">
        <v>80150023903</v>
      </c>
    </row>
    <row r="154" spans="1:18" x14ac:dyDescent="0.2">
      <c r="A154" s="103"/>
      <c r="B154" s="104"/>
      <c r="C154" s="109" t="s">
        <v>846</v>
      </c>
      <c r="D154" s="108">
        <f t="shared" si="5"/>
        <v>1.385</v>
      </c>
      <c r="E154" s="108">
        <f t="shared" si="6"/>
        <v>2.2549999999999999</v>
      </c>
      <c r="F154" s="108">
        <v>0.87</v>
      </c>
      <c r="G154" s="121">
        <v>3480</v>
      </c>
      <c r="H154" s="110" t="s">
        <v>0</v>
      </c>
      <c r="I154" s="121"/>
      <c r="J154" s="121"/>
      <c r="K154" s="121"/>
      <c r="L154" s="121"/>
      <c r="M154" s="121"/>
      <c r="N154" s="121"/>
      <c r="O154" s="121"/>
      <c r="P154" s="121"/>
      <c r="Q154" s="109">
        <v>80150023903</v>
      </c>
      <c r="R154" s="109">
        <v>80150023903</v>
      </c>
    </row>
    <row r="155" spans="1:18" x14ac:dyDescent="0.2">
      <c r="A155" s="100">
        <v>107</v>
      </c>
      <c r="B155" s="101" t="s">
        <v>59</v>
      </c>
      <c r="C155" s="109" t="s">
        <v>846</v>
      </c>
      <c r="D155" s="108">
        <v>0</v>
      </c>
      <c r="E155" s="108">
        <f t="shared" si="6"/>
        <v>0.26500000000000001</v>
      </c>
      <c r="F155" s="108">
        <v>0.26500000000000001</v>
      </c>
      <c r="G155" s="121">
        <v>1193</v>
      </c>
      <c r="H155" s="110" t="s">
        <v>0</v>
      </c>
      <c r="I155" s="121"/>
      <c r="J155" s="121"/>
      <c r="K155" s="121"/>
      <c r="L155" s="121"/>
      <c r="M155" s="121"/>
      <c r="N155" s="121"/>
      <c r="O155" s="121"/>
      <c r="P155" s="121"/>
      <c r="Q155" s="109">
        <v>80150032066</v>
      </c>
      <c r="R155" s="109">
        <v>80150032066</v>
      </c>
    </row>
    <row r="156" spans="1:18" x14ac:dyDescent="0.2">
      <c r="A156" s="103"/>
      <c r="B156" s="104"/>
      <c r="C156" s="109" t="s">
        <v>846</v>
      </c>
      <c r="D156" s="108">
        <f t="shared" si="5"/>
        <v>0.26500000000000001</v>
      </c>
      <c r="E156" s="108">
        <f t="shared" si="6"/>
        <v>0.29500000000000004</v>
      </c>
      <c r="F156" s="108">
        <v>0.03</v>
      </c>
      <c r="G156" s="121">
        <v>150</v>
      </c>
      <c r="H156" s="110" t="s">
        <v>4</v>
      </c>
      <c r="I156" s="121"/>
      <c r="J156" s="121"/>
      <c r="K156" s="121"/>
      <c r="L156" s="121"/>
      <c r="M156" s="121"/>
      <c r="N156" s="121"/>
      <c r="O156" s="121"/>
      <c r="P156" s="121"/>
      <c r="Q156" s="109">
        <v>80150032066</v>
      </c>
      <c r="R156" s="109">
        <v>80150032066</v>
      </c>
    </row>
    <row r="157" spans="1:18" x14ac:dyDescent="0.2">
      <c r="A157" s="115">
        <v>108</v>
      </c>
      <c r="B157" s="107" t="s">
        <v>58</v>
      </c>
      <c r="C157" s="109" t="s">
        <v>846</v>
      </c>
      <c r="D157" s="108">
        <v>0</v>
      </c>
      <c r="E157" s="108">
        <f t="shared" si="6"/>
        <v>0.33</v>
      </c>
      <c r="F157" s="108">
        <v>0.33</v>
      </c>
      <c r="G157" s="121">
        <v>1320</v>
      </c>
      <c r="H157" s="110" t="s">
        <v>1213</v>
      </c>
      <c r="I157" s="121"/>
      <c r="J157" s="121"/>
      <c r="K157" s="121"/>
      <c r="L157" s="121"/>
      <c r="M157" s="121"/>
      <c r="N157" s="121"/>
      <c r="O157" s="121"/>
      <c r="P157" s="121"/>
      <c r="Q157" s="112">
        <v>80150031089</v>
      </c>
      <c r="R157" s="109">
        <v>80150031089</v>
      </c>
    </row>
    <row r="158" spans="1:18" x14ac:dyDescent="0.2">
      <c r="A158" s="100">
        <v>109</v>
      </c>
      <c r="B158" s="101" t="s">
        <v>57</v>
      </c>
      <c r="C158" s="109" t="s">
        <v>846</v>
      </c>
      <c r="D158" s="108">
        <v>0</v>
      </c>
      <c r="E158" s="108">
        <f t="shared" si="6"/>
        <v>0.26</v>
      </c>
      <c r="F158" s="108">
        <v>0.26</v>
      </c>
      <c r="G158" s="121">
        <v>1300</v>
      </c>
      <c r="H158" s="110" t="s">
        <v>0</v>
      </c>
      <c r="I158" s="121"/>
      <c r="J158" s="121"/>
      <c r="K158" s="121"/>
      <c r="L158" s="121"/>
      <c r="M158" s="121"/>
      <c r="N158" s="121"/>
      <c r="O158" s="121"/>
      <c r="P158" s="121"/>
      <c r="Q158" s="112">
        <v>80150023739</v>
      </c>
      <c r="R158" s="109">
        <v>80150023739</v>
      </c>
    </row>
    <row r="159" spans="1:18" x14ac:dyDescent="0.2">
      <c r="A159" s="103"/>
      <c r="B159" s="104"/>
      <c r="C159" s="109" t="s">
        <v>846</v>
      </c>
      <c r="D159" s="108">
        <f t="shared" si="5"/>
        <v>0.26</v>
      </c>
      <c r="E159" s="108">
        <f t="shared" si="6"/>
        <v>0.44</v>
      </c>
      <c r="F159" s="108">
        <v>0.18</v>
      </c>
      <c r="G159" s="121">
        <v>900</v>
      </c>
      <c r="H159" s="110" t="s">
        <v>0</v>
      </c>
      <c r="I159" s="121"/>
      <c r="J159" s="121"/>
      <c r="K159" s="121"/>
      <c r="L159" s="121"/>
      <c r="M159" s="121"/>
      <c r="N159" s="121"/>
      <c r="O159" s="121"/>
      <c r="P159" s="121"/>
      <c r="Q159" s="112">
        <v>80150023739</v>
      </c>
      <c r="R159" s="109">
        <v>80150023237</v>
      </c>
    </row>
    <row r="160" spans="1:18" x14ac:dyDescent="0.2">
      <c r="A160" s="100">
        <v>110</v>
      </c>
      <c r="B160" s="101" t="s">
        <v>56</v>
      </c>
      <c r="C160" s="109" t="s">
        <v>846</v>
      </c>
      <c r="D160" s="108">
        <v>0</v>
      </c>
      <c r="E160" s="108">
        <f t="shared" si="6"/>
        <v>0.3</v>
      </c>
      <c r="F160" s="108">
        <v>0.3</v>
      </c>
      <c r="G160" s="121">
        <v>1050</v>
      </c>
      <c r="H160" s="110" t="s">
        <v>0</v>
      </c>
      <c r="I160" s="388"/>
      <c r="J160" s="388"/>
      <c r="K160" s="388"/>
      <c r="L160" s="388"/>
      <c r="M160" s="388"/>
      <c r="N160" s="388"/>
      <c r="O160" s="388"/>
      <c r="P160" s="388"/>
      <c r="Q160" s="109">
        <v>80150021129</v>
      </c>
      <c r="R160" s="109">
        <v>80150021129</v>
      </c>
    </row>
    <row r="161" spans="1:18" x14ac:dyDescent="0.2">
      <c r="A161" s="103"/>
      <c r="B161" s="104"/>
      <c r="C161" s="109" t="s">
        <v>846</v>
      </c>
      <c r="D161" s="108">
        <f t="shared" si="5"/>
        <v>0.3</v>
      </c>
      <c r="E161" s="108">
        <f t="shared" si="6"/>
        <v>0.44599999999999995</v>
      </c>
      <c r="F161" s="108">
        <v>0.14599999999999999</v>
      </c>
      <c r="G161" s="121">
        <v>876</v>
      </c>
      <c r="H161" s="110" t="s">
        <v>154</v>
      </c>
      <c r="I161" s="121"/>
      <c r="J161" s="121"/>
      <c r="K161" s="121"/>
      <c r="L161" s="121"/>
      <c r="M161" s="121"/>
      <c r="N161" s="121"/>
      <c r="O161" s="121"/>
      <c r="P161" s="121">
        <v>364</v>
      </c>
      <c r="Q161" s="109">
        <v>80150021129</v>
      </c>
      <c r="R161" s="109">
        <v>80150021129</v>
      </c>
    </row>
    <row r="162" spans="1:18" x14ac:dyDescent="0.2">
      <c r="A162" s="119">
        <v>111</v>
      </c>
      <c r="B162" s="120" t="s">
        <v>55</v>
      </c>
      <c r="C162" s="111" t="s">
        <v>848</v>
      </c>
      <c r="D162" s="108">
        <v>0</v>
      </c>
      <c r="E162" s="108">
        <f t="shared" si="6"/>
        <v>1.4950000000000001</v>
      </c>
      <c r="F162" s="108">
        <v>1.4950000000000001</v>
      </c>
      <c r="G162" s="121">
        <v>10345</v>
      </c>
      <c r="H162" s="110" t="s">
        <v>4</v>
      </c>
      <c r="I162" s="121"/>
      <c r="J162" s="121"/>
      <c r="K162" s="121"/>
      <c r="L162" s="121"/>
      <c r="M162" s="121"/>
      <c r="N162" s="121"/>
      <c r="O162" s="121"/>
      <c r="P162" s="121">
        <v>5074</v>
      </c>
      <c r="Q162" s="109">
        <v>80150023324</v>
      </c>
      <c r="R162" s="109">
        <v>80150023324</v>
      </c>
    </row>
    <row r="163" spans="1:18" x14ac:dyDescent="0.2">
      <c r="A163" s="118">
        <v>112</v>
      </c>
      <c r="B163" s="101" t="s">
        <v>54</v>
      </c>
      <c r="C163" s="111" t="s">
        <v>846</v>
      </c>
      <c r="D163" s="108">
        <v>0</v>
      </c>
      <c r="E163" s="108">
        <f t="shared" si="6"/>
        <v>0.30499999999999999</v>
      </c>
      <c r="F163" s="108">
        <v>0.30499999999999999</v>
      </c>
      <c r="G163" s="121">
        <v>1220</v>
      </c>
      <c r="H163" s="110" t="s">
        <v>0</v>
      </c>
      <c r="I163" s="121"/>
      <c r="J163" s="121"/>
      <c r="K163" s="121"/>
      <c r="L163" s="121"/>
      <c r="M163" s="121"/>
      <c r="N163" s="121"/>
      <c r="O163" s="121"/>
      <c r="P163" s="121"/>
      <c r="Q163" s="109">
        <v>80150022981</v>
      </c>
      <c r="R163" s="109">
        <v>80150022981</v>
      </c>
    </row>
    <row r="164" spans="1:18" x14ac:dyDescent="0.2">
      <c r="A164" s="119">
        <v>113</v>
      </c>
      <c r="B164" s="107" t="s">
        <v>53</v>
      </c>
      <c r="C164" s="109" t="s">
        <v>846</v>
      </c>
      <c r="D164" s="108">
        <v>0</v>
      </c>
      <c r="E164" s="108">
        <f t="shared" si="6"/>
        <v>0.12</v>
      </c>
      <c r="F164" s="108">
        <v>0.12</v>
      </c>
      <c r="G164" s="121">
        <v>360</v>
      </c>
      <c r="H164" s="110" t="s">
        <v>0</v>
      </c>
      <c r="I164" s="121"/>
      <c r="J164" s="121"/>
      <c r="K164" s="121"/>
      <c r="L164" s="121"/>
      <c r="M164" s="121"/>
      <c r="N164" s="121"/>
      <c r="O164" s="121"/>
      <c r="P164" s="121"/>
      <c r="Q164" s="112">
        <v>80150020065</v>
      </c>
      <c r="R164" s="109">
        <v>80150010004</v>
      </c>
    </row>
    <row r="165" spans="1:18" x14ac:dyDescent="0.2">
      <c r="A165" s="118">
        <v>114</v>
      </c>
      <c r="B165" s="120" t="s">
        <v>52</v>
      </c>
      <c r="C165" s="111" t="s">
        <v>846</v>
      </c>
      <c r="D165" s="108">
        <v>0</v>
      </c>
      <c r="E165" s="108">
        <f t="shared" si="6"/>
        <v>0.12</v>
      </c>
      <c r="F165" s="108">
        <v>0.12</v>
      </c>
      <c r="G165" s="121">
        <v>360</v>
      </c>
      <c r="H165" s="110" t="s">
        <v>0</v>
      </c>
      <c r="I165" s="121"/>
      <c r="J165" s="121"/>
      <c r="K165" s="121"/>
      <c r="L165" s="121"/>
      <c r="M165" s="121"/>
      <c r="N165" s="121"/>
      <c r="O165" s="121"/>
      <c r="P165" s="121"/>
      <c r="Q165" s="112">
        <v>80150031423</v>
      </c>
      <c r="R165" s="109">
        <v>80150031423</v>
      </c>
    </row>
    <row r="166" spans="1:18" x14ac:dyDescent="0.2">
      <c r="A166" s="119">
        <v>115</v>
      </c>
      <c r="B166" s="101" t="s">
        <v>218</v>
      </c>
      <c r="C166" s="483" t="s">
        <v>846</v>
      </c>
      <c r="D166" s="108">
        <v>0</v>
      </c>
      <c r="E166" s="108">
        <f t="shared" si="6"/>
        <v>7.0000000000000007E-2</v>
      </c>
      <c r="F166" s="108">
        <v>7.0000000000000007E-2</v>
      </c>
      <c r="G166" s="121">
        <v>645</v>
      </c>
      <c r="H166" s="110" t="s">
        <v>4</v>
      </c>
      <c r="I166" s="121"/>
      <c r="J166" s="121"/>
      <c r="K166" s="121"/>
      <c r="L166" s="121"/>
      <c r="M166" s="121"/>
      <c r="N166" s="121"/>
      <c r="O166" s="121"/>
      <c r="P166" s="121"/>
      <c r="Q166" s="112">
        <v>80150020106</v>
      </c>
      <c r="R166" s="109">
        <v>80150020103</v>
      </c>
    </row>
    <row r="167" spans="1:18" x14ac:dyDescent="0.2">
      <c r="A167" s="103"/>
      <c r="B167" s="104"/>
      <c r="C167" s="483" t="s">
        <v>846</v>
      </c>
      <c r="D167" s="108">
        <f t="shared" si="5"/>
        <v>7.0000000000000007E-2</v>
      </c>
      <c r="E167" s="108">
        <f t="shared" si="6"/>
        <v>0.17</v>
      </c>
      <c r="F167" s="108">
        <v>0.1</v>
      </c>
      <c r="G167" s="121">
        <v>450</v>
      </c>
      <c r="H167" s="110" t="s">
        <v>0</v>
      </c>
      <c r="I167" s="121"/>
      <c r="J167" s="121"/>
      <c r="K167" s="121"/>
      <c r="L167" s="121"/>
      <c r="M167" s="121"/>
      <c r="N167" s="121"/>
      <c r="O167" s="121"/>
      <c r="P167" s="121"/>
      <c r="Q167" s="112">
        <v>80150020106</v>
      </c>
      <c r="R167" s="109">
        <v>80150020103</v>
      </c>
    </row>
    <row r="168" spans="1:18" x14ac:dyDescent="0.2">
      <c r="A168" s="100">
        <v>116</v>
      </c>
      <c r="B168" s="101" t="s">
        <v>51</v>
      </c>
      <c r="C168" s="111" t="s">
        <v>848</v>
      </c>
      <c r="D168" s="108">
        <v>0</v>
      </c>
      <c r="E168" s="108">
        <f t="shared" si="6"/>
        <v>3.2730000000000001</v>
      </c>
      <c r="F168" s="108">
        <v>3.2730000000000001</v>
      </c>
      <c r="G168" s="121">
        <v>22362</v>
      </c>
      <c r="H168" s="110" t="s">
        <v>4</v>
      </c>
      <c r="I168" s="121"/>
      <c r="J168" s="121"/>
      <c r="K168" s="121"/>
      <c r="L168" s="121"/>
      <c r="M168" s="121"/>
      <c r="N168" s="121"/>
      <c r="O168" s="121"/>
      <c r="P168" s="121">
        <v>6110</v>
      </c>
      <c r="Q168" s="109">
        <v>80150031416</v>
      </c>
      <c r="R168" s="109">
        <v>80150031416</v>
      </c>
    </row>
    <row r="169" spans="1:18" x14ac:dyDescent="0.2">
      <c r="A169" s="103"/>
      <c r="B169" s="127" t="s">
        <v>393</v>
      </c>
      <c r="C169" s="109" t="s">
        <v>846</v>
      </c>
      <c r="D169" s="108">
        <v>0</v>
      </c>
      <c r="E169" s="108">
        <f t="shared" si="6"/>
        <v>0.27500000000000002</v>
      </c>
      <c r="F169" s="108">
        <v>0.27500000000000002</v>
      </c>
      <c r="G169" s="121">
        <v>1375</v>
      </c>
      <c r="H169" s="110" t="s">
        <v>4</v>
      </c>
      <c r="I169" s="121"/>
      <c r="J169" s="121"/>
      <c r="K169" s="121"/>
      <c r="L169" s="121"/>
      <c r="M169" s="121"/>
      <c r="N169" s="121"/>
      <c r="O169" s="121"/>
      <c r="P169" s="121"/>
      <c r="Q169" s="109">
        <v>80150031416</v>
      </c>
      <c r="R169" s="109">
        <v>80150031416</v>
      </c>
    </row>
    <row r="170" spans="1:18" x14ac:dyDescent="0.2">
      <c r="A170" s="115">
        <v>117</v>
      </c>
      <c r="B170" s="107" t="s">
        <v>50</v>
      </c>
      <c r="C170" s="109" t="s">
        <v>846</v>
      </c>
      <c r="D170" s="108">
        <v>0</v>
      </c>
      <c r="E170" s="108">
        <f t="shared" si="6"/>
        <v>0.19500000000000001</v>
      </c>
      <c r="F170" s="108">
        <v>0.19500000000000001</v>
      </c>
      <c r="G170" s="121">
        <v>975</v>
      </c>
      <c r="H170" s="110" t="s">
        <v>0</v>
      </c>
      <c r="I170" s="121"/>
      <c r="J170" s="121"/>
      <c r="K170" s="121"/>
      <c r="L170" s="121"/>
      <c r="M170" s="121"/>
      <c r="N170" s="121"/>
      <c r="O170" s="121"/>
      <c r="P170" s="121"/>
      <c r="Q170" s="109">
        <v>80150022980</v>
      </c>
      <c r="R170" s="109">
        <v>80150022980</v>
      </c>
    </row>
    <row r="171" spans="1:18" x14ac:dyDescent="0.2">
      <c r="A171" s="115">
        <v>118</v>
      </c>
      <c r="B171" s="107" t="s">
        <v>49</v>
      </c>
      <c r="C171" s="109" t="s">
        <v>846</v>
      </c>
      <c r="D171" s="108">
        <v>0</v>
      </c>
      <c r="E171" s="108">
        <v>0.25600000000000001</v>
      </c>
      <c r="F171" s="108">
        <v>0.25600000000000001</v>
      </c>
      <c r="G171" s="121">
        <v>1076</v>
      </c>
      <c r="H171" s="110" t="s">
        <v>1213</v>
      </c>
      <c r="I171" s="121"/>
      <c r="J171" s="121"/>
      <c r="K171" s="121"/>
      <c r="L171" s="121"/>
      <c r="M171" s="121"/>
      <c r="N171" s="121"/>
      <c r="O171" s="121"/>
      <c r="P171" s="121"/>
      <c r="Q171" s="109">
        <v>80150020972</v>
      </c>
      <c r="R171" s="109">
        <v>80150020972</v>
      </c>
    </row>
    <row r="172" spans="1:18" x14ac:dyDescent="0.2">
      <c r="A172" s="115">
        <v>119</v>
      </c>
      <c r="B172" s="101" t="s">
        <v>48</v>
      </c>
      <c r="C172" s="109" t="s">
        <v>845</v>
      </c>
      <c r="D172" s="108">
        <v>0</v>
      </c>
      <c r="E172" s="108">
        <f t="shared" si="6"/>
        <v>0.245</v>
      </c>
      <c r="F172" s="108">
        <v>0.245</v>
      </c>
      <c r="G172" s="121">
        <v>1103</v>
      </c>
      <c r="H172" s="110" t="s">
        <v>4</v>
      </c>
      <c r="I172" s="121"/>
      <c r="J172" s="121"/>
      <c r="K172" s="121"/>
      <c r="L172" s="121"/>
      <c r="M172" s="121"/>
      <c r="N172" s="121"/>
      <c r="O172" s="121"/>
      <c r="P172" s="121">
        <v>101</v>
      </c>
      <c r="Q172" s="109">
        <v>80150030560</v>
      </c>
      <c r="R172" s="109">
        <v>80150030560</v>
      </c>
    </row>
    <row r="173" spans="1:18" x14ac:dyDescent="0.2">
      <c r="A173" s="103"/>
      <c r="B173" s="104"/>
      <c r="C173" s="124" t="s">
        <v>846</v>
      </c>
      <c r="D173" s="108">
        <f t="shared" ref="D173:D207" si="7">E172</f>
        <v>0.245</v>
      </c>
      <c r="E173" s="108">
        <f t="shared" si="6"/>
        <v>0.30499999999999999</v>
      </c>
      <c r="F173" s="108">
        <v>0.06</v>
      </c>
      <c r="G173" s="121">
        <v>210</v>
      </c>
      <c r="H173" s="110" t="s">
        <v>0</v>
      </c>
      <c r="I173" s="121"/>
      <c r="J173" s="121"/>
      <c r="K173" s="121"/>
      <c r="L173" s="121"/>
      <c r="M173" s="121"/>
      <c r="N173" s="121"/>
      <c r="O173" s="121"/>
      <c r="P173" s="121"/>
      <c r="Q173" s="109">
        <v>80150030560</v>
      </c>
      <c r="R173" s="109">
        <v>80150031940</v>
      </c>
    </row>
    <row r="174" spans="1:18" x14ac:dyDescent="0.2">
      <c r="A174" s="115">
        <v>120</v>
      </c>
      <c r="B174" s="107" t="s">
        <v>45</v>
      </c>
      <c r="C174" s="109" t="s">
        <v>846</v>
      </c>
      <c r="D174" s="108">
        <v>0</v>
      </c>
      <c r="E174" s="108">
        <f t="shared" si="6"/>
        <v>0.15</v>
      </c>
      <c r="F174" s="108">
        <v>0.15</v>
      </c>
      <c r="G174" s="121">
        <v>675</v>
      </c>
      <c r="H174" s="110" t="s">
        <v>0</v>
      </c>
      <c r="I174" s="121"/>
      <c r="J174" s="121"/>
      <c r="K174" s="121"/>
      <c r="L174" s="121"/>
      <c r="M174" s="121"/>
      <c r="N174" s="121"/>
      <c r="O174" s="121"/>
      <c r="P174" s="121"/>
      <c r="Q174" s="109">
        <v>80150031188</v>
      </c>
      <c r="R174" s="109">
        <v>80150031188</v>
      </c>
    </row>
    <row r="175" spans="1:18" x14ac:dyDescent="0.2">
      <c r="A175" s="115">
        <v>121</v>
      </c>
      <c r="B175" s="107" t="s">
        <v>44</v>
      </c>
      <c r="C175" s="109" t="s">
        <v>846</v>
      </c>
      <c r="D175" s="108">
        <v>0</v>
      </c>
      <c r="E175" s="108">
        <f t="shared" si="6"/>
        <v>0.47</v>
      </c>
      <c r="F175" s="108">
        <v>0.47</v>
      </c>
      <c r="G175" s="121">
        <v>2256</v>
      </c>
      <c r="H175" s="110" t="s">
        <v>4</v>
      </c>
      <c r="I175" s="121"/>
      <c r="J175" s="121"/>
      <c r="K175" s="121"/>
      <c r="L175" s="121"/>
      <c r="M175" s="121"/>
      <c r="N175" s="121"/>
      <c r="O175" s="121"/>
      <c r="P175" s="121"/>
      <c r="Q175" s="109">
        <v>80150030330</v>
      </c>
      <c r="R175" s="109">
        <v>80150030330</v>
      </c>
    </row>
    <row r="176" spans="1:18" x14ac:dyDescent="0.2">
      <c r="A176" s="115">
        <v>122</v>
      </c>
      <c r="B176" s="107" t="s">
        <v>46</v>
      </c>
      <c r="C176" s="109" t="s">
        <v>846</v>
      </c>
      <c r="D176" s="108">
        <v>0</v>
      </c>
      <c r="E176" s="108">
        <f t="shared" si="6"/>
        <v>0.125</v>
      </c>
      <c r="F176" s="108">
        <v>0.125</v>
      </c>
      <c r="G176" s="121">
        <v>375</v>
      </c>
      <c r="H176" s="110" t="s">
        <v>0</v>
      </c>
      <c r="I176" s="121"/>
      <c r="J176" s="121"/>
      <c r="K176" s="121"/>
      <c r="L176" s="121"/>
      <c r="M176" s="121"/>
      <c r="N176" s="121"/>
      <c r="O176" s="121"/>
      <c r="P176" s="121"/>
      <c r="Q176" s="109">
        <v>80150024219</v>
      </c>
      <c r="R176" s="109">
        <v>80150024219</v>
      </c>
    </row>
    <row r="177" spans="1:18" x14ac:dyDescent="0.2">
      <c r="A177" s="115">
        <v>123</v>
      </c>
      <c r="B177" s="120" t="s">
        <v>43</v>
      </c>
      <c r="C177" s="111" t="s">
        <v>848</v>
      </c>
      <c r="D177" s="108">
        <v>0</v>
      </c>
      <c r="E177" s="108">
        <f t="shared" si="6"/>
        <v>0.53500000000000003</v>
      </c>
      <c r="F177" s="108">
        <v>0.53500000000000003</v>
      </c>
      <c r="G177" s="121">
        <v>4922</v>
      </c>
      <c r="H177" s="110" t="s">
        <v>4</v>
      </c>
      <c r="I177" s="121"/>
      <c r="J177" s="121"/>
      <c r="K177" s="121"/>
      <c r="L177" s="121"/>
      <c r="M177" s="121"/>
      <c r="N177" s="121"/>
      <c r="O177" s="121"/>
      <c r="P177" s="121">
        <v>1210</v>
      </c>
      <c r="Q177" s="109">
        <v>80150030143</v>
      </c>
      <c r="R177" s="109">
        <v>80150030143</v>
      </c>
    </row>
    <row r="178" spans="1:18" x14ac:dyDescent="0.2">
      <c r="A178" s="115">
        <v>124</v>
      </c>
      <c r="B178" s="107" t="s">
        <v>42</v>
      </c>
      <c r="C178" s="109" t="s">
        <v>845</v>
      </c>
      <c r="D178" s="108">
        <v>0</v>
      </c>
      <c r="E178" s="108">
        <f t="shared" si="6"/>
        <v>0.30499999999999999</v>
      </c>
      <c r="F178" s="108">
        <v>0.30499999999999999</v>
      </c>
      <c r="G178" s="121">
        <v>1220</v>
      </c>
      <c r="H178" s="110" t="s">
        <v>0</v>
      </c>
      <c r="I178" s="121"/>
      <c r="J178" s="121"/>
      <c r="K178" s="121"/>
      <c r="L178" s="121"/>
      <c r="M178" s="121"/>
      <c r="N178" s="121"/>
      <c r="O178" s="121"/>
      <c r="P178" s="121"/>
      <c r="Q178" s="109">
        <v>80150031087</v>
      </c>
      <c r="R178" s="109">
        <v>80150031087</v>
      </c>
    </row>
    <row r="179" spans="1:18" x14ac:dyDescent="0.2">
      <c r="A179" s="115">
        <v>125</v>
      </c>
      <c r="B179" s="107" t="s">
        <v>41</v>
      </c>
      <c r="C179" s="109" t="s">
        <v>845</v>
      </c>
      <c r="D179" s="108">
        <v>0</v>
      </c>
      <c r="E179" s="108">
        <f t="shared" si="6"/>
        <v>0.375</v>
      </c>
      <c r="F179" s="108">
        <v>0.375</v>
      </c>
      <c r="G179" s="121">
        <v>1688</v>
      </c>
      <c r="H179" s="110" t="s">
        <v>0</v>
      </c>
      <c r="I179" s="121"/>
      <c r="J179" s="121"/>
      <c r="K179" s="121"/>
      <c r="L179" s="121"/>
      <c r="M179" s="121"/>
      <c r="N179" s="121"/>
      <c r="O179" s="121"/>
      <c r="P179" s="121"/>
      <c r="Q179" s="109">
        <v>80150023649</v>
      </c>
      <c r="R179" s="109">
        <v>80150023649</v>
      </c>
    </row>
    <row r="180" spans="1:18" x14ac:dyDescent="0.2">
      <c r="A180" s="115">
        <v>126</v>
      </c>
      <c r="B180" s="120" t="s">
        <v>40</v>
      </c>
      <c r="C180" s="111" t="s">
        <v>848</v>
      </c>
      <c r="D180" s="108">
        <v>0</v>
      </c>
      <c r="E180" s="108">
        <f t="shared" si="6"/>
        <v>0.92</v>
      </c>
      <c r="F180" s="108">
        <v>0.92</v>
      </c>
      <c r="G180" s="121">
        <v>4600</v>
      </c>
      <c r="H180" s="110" t="s">
        <v>4</v>
      </c>
      <c r="I180" s="121"/>
      <c r="J180" s="121"/>
      <c r="K180" s="121"/>
      <c r="L180" s="121"/>
      <c r="M180" s="121"/>
      <c r="N180" s="121"/>
      <c r="O180" s="121"/>
      <c r="P180" s="121"/>
      <c r="Q180" s="109">
        <v>80150030423</v>
      </c>
      <c r="R180" s="109">
        <v>80150030423</v>
      </c>
    </row>
    <row r="181" spans="1:18" ht="22.5" x14ac:dyDescent="0.2">
      <c r="A181" s="115">
        <v>127</v>
      </c>
      <c r="B181" s="497" t="s">
        <v>47</v>
      </c>
      <c r="C181" s="109" t="s">
        <v>848</v>
      </c>
      <c r="D181" s="381">
        <v>0</v>
      </c>
      <c r="E181" s="381">
        <f t="shared" si="6"/>
        <v>0.13</v>
      </c>
      <c r="F181" s="381">
        <v>0.13</v>
      </c>
      <c r="G181" s="121">
        <v>780</v>
      </c>
      <c r="H181" s="110" t="s">
        <v>4</v>
      </c>
      <c r="I181" s="121"/>
      <c r="J181" s="121"/>
      <c r="K181" s="121"/>
      <c r="L181" s="121"/>
      <c r="M181" s="121"/>
      <c r="N181" s="121"/>
      <c r="O181" s="121"/>
      <c r="P181" s="121">
        <v>233</v>
      </c>
      <c r="Q181" s="109">
        <v>80150030424</v>
      </c>
      <c r="R181" s="109">
        <v>80150020036</v>
      </c>
    </row>
    <row r="182" spans="1:18" x14ac:dyDescent="0.2">
      <c r="A182" s="113"/>
      <c r="B182" s="122"/>
      <c r="C182" s="109" t="s">
        <v>848</v>
      </c>
      <c r="D182" s="108">
        <f t="shared" si="7"/>
        <v>0.13</v>
      </c>
      <c r="E182" s="108">
        <f t="shared" si="6"/>
        <v>0.51</v>
      </c>
      <c r="F182" s="108">
        <v>0.38</v>
      </c>
      <c r="G182" s="121">
        <v>2280</v>
      </c>
      <c r="H182" s="110" t="s">
        <v>4</v>
      </c>
      <c r="I182" s="121"/>
      <c r="J182" s="121"/>
      <c r="K182" s="121"/>
      <c r="L182" s="121"/>
      <c r="M182" s="121"/>
      <c r="N182" s="121"/>
      <c r="O182" s="121"/>
      <c r="P182" s="121">
        <v>756</v>
      </c>
      <c r="Q182" s="112">
        <v>80150030424</v>
      </c>
      <c r="R182" s="109">
        <v>80150031853</v>
      </c>
    </row>
    <row r="183" spans="1:18" x14ac:dyDescent="0.2">
      <c r="A183" s="103"/>
      <c r="B183" s="104"/>
      <c r="C183" s="109" t="s">
        <v>848</v>
      </c>
      <c r="D183" s="108">
        <f t="shared" si="7"/>
        <v>0.51</v>
      </c>
      <c r="E183" s="108">
        <f t="shared" si="6"/>
        <v>0.91999999999999993</v>
      </c>
      <c r="F183" s="108">
        <v>0.41</v>
      </c>
      <c r="G183" s="121">
        <v>2460</v>
      </c>
      <c r="H183" s="110" t="s">
        <v>4</v>
      </c>
      <c r="I183" s="121"/>
      <c r="J183" s="121"/>
      <c r="K183" s="121"/>
      <c r="L183" s="121"/>
      <c r="M183" s="121"/>
      <c r="N183" s="121"/>
      <c r="O183" s="121"/>
      <c r="P183" s="121"/>
      <c r="Q183" s="112">
        <v>80150030424</v>
      </c>
      <c r="R183" s="109">
        <v>80150030424</v>
      </c>
    </row>
    <row r="184" spans="1:18" x14ac:dyDescent="0.2">
      <c r="A184" s="119">
        <v>128</v>
      </c>
      <c r="B184" s="120" t="s">
        <v>39</v>
      </c>
      <c r="C184" s="111" t="s">
        <v>846</v>
      </c>
      <c r="D184" s="108">
        <v>0.19</v>
      </c>
      <c r="E184" s="108">
        <f t="shared" si="6"/>
        <v>0.47000000000000003</v>
      </c>
      <c r="F184" s="108">
        <v>0.28000000000000003</v>
      </c>
      <c r="G184" s="121">
        <v>1120</v>
      </c>
      <c r="H184" s="110" t="s">
        <v>0</v>
      </c>
      <c r="I184" s="121"/>
      <c r="J184" s="121"/>
      <c r="K184" s="121"/>
      <c r="L184" s="121"/>
      <c r="M184" s="121"/>
      <c r="N184" s="121"/>
      <c r="O184" s="121"/>
      <c r="P184" s="121"/>
      <c r="Q184" s="112">
        <v>80150022129</v>
      </c>
      <c r="R184" s="109">
        <v>80150020971</v>
      </c>
    </row>
    <row r="185" spans="1:18" x14ac:dyDescent="0.2">
      <c r="A185" s="100">
        <v>129</v>
      </c>
      <c r="B185" s="101" t="s">
        <v>38</v>
      </c>
      <c r="C185" s="109" t="s">
        <v>846</v>
      </c>
      <c r="D185" s="108">
        <v>0</v>
      </c>
      <c r="E185" s="108">
        <f t="shared" si="6"/>
        <v>0.17499999999999999</v>
      </c>
      <c r="F185" s="108">
        <v>0.17499999999999999</v>
      </c>
      <c r="G185" s="121">
        <v>1068</v>
      </c>
      <c r="H185" s="110" t="s">
        <v>4</v>
      </c>
      <c r="I185" s="121"/>
      <c r="J185" s="121"/>
      <c r="K185" s="121"/>
      <c r="L185" s="121"/>
      <c r="M185" s="121"/>
      <c r="N185" s="121"/>
      <c r="O185" s="121"/>
      <c r="P185" s="121">
        <v>164</v>
      </c>
      <c r="Q185" s="112">
        <v>80150020029</v>
      </c>
      <c r="R185" s="109">
        <v>80150022818</v>
      </c>
    </row>
    <row r="186" spans="1:18" x14ac:dyDescent="0.2">
      <c r="A186" s="103"/>
      <c r="B186" s="104"/>
      <c r="C186" s="109" t="s">
        <v>846</v>
      </c>
      <c r="D186" s="108">
        <v>0.34499999999999997</v>
      </c>
      <c r="E186" s="108">
        <f t="shared" si="6"/>
        <v>0.41499999999999998</v>
      </c>
      <c r="F186" s="108">
        <v>7.0000000000000007E-2</v>
      </c>
      <c r="G186" s="121">
        <v>427</v>
      </c>
      <c r="H186" s="110" t="s">
        <v>4</v>
      </c>
      <c r="I186" s="121"/>
      <c r="J186" s="121"/>
      <c r="K186" s="121"/>
      <c r="L186" s="121"/>
      <c r="M186" s="121"/>
      <c r="N186" s="121"/>
      <c r="O186" s="121"/>
      <c r="P186" s="121">
        <v>126</v>
      </c>
      <c r="Q186" s="112">
        <v>80150020029</v>
      </c>
      <c r="R186" s="109">
        <v>80150020029</v>
      </c>
    </row>
    <row r="187" spans="1:18" x14ac:dyDescent="0.2">
      <c r="A187" s="100">
        <v>130</v>
      </c>
      <c r="B187" s="101" t="s">
        <v>37</v>
      </c>
      <c r="C187" s="109" t="s">
        <v>846</v>
      </c>
      <c r="D187" s="108">
        <v>0</v>
      </c>
      <c r="E187" s="108">
        <f t="shared" si="6"/>
        <v>0.28999999999999998</v>
      </c>
      <c r="F187" s="108">
        <v>0.28999999999999998</v>
      </c>
      <c r="G187" s="121">
        <v>987</v>
      </c>
      <c r="H187" s="110" t="s">
        <v>1213</v>
      </c>
      <c r="I187" s="121"/>
      <c r="J187" s="121"/>
      <c r="K187" s="121"/>
      <c r="L187" s="121"/>
      <c r="M187" s="121"/>
      <c r="N187" s="121"/>
      <c r="O187" s="121"/>
      <c r="P187" s="121"/>
      <c r="Q187" s="109">
        <v>80150031356</v>
      </c>
      <c r="R187" s="109">
        <v>80150031356</v>
      </c>
    </row>
    <row r="188" spans="1:18" x14ac:dyDescent="0.2">
      <c r="A188" s="118">
        <v>131</v>
      </c>
      <c r="B188" s="101" t="s">
        <v>3</v>
      </c>
      <c r="C188" s="109" t="s">
        <v>846</v>
      </c>
      <c r="D188" s="108">
        <v>0</v>
      </c>
      <c r="E188" s="108">
        <v>0.14199999999999999</v>
      </c>
      <c r="F188" s="108">
        <v>0.14199999999999999</v>
      </c>
      <c r="G188" s="121">
        <v>584</v>
      </c>
      <c r="H188" s="110" t="s">
        <v>1213</v>
      </c>
      <c r="I188" s="121"/>
      <c r="J188" s="121"/>
      <c r="K188" s="121"/>
      <c r="L188" s="121"/>
      <c r="M188" s="121"/>
      <c r="N188" s="121"/>
      <c r="O188" s="121"/>
      <c r="P188" s="121"/>
      <c r="Q188" s="112">
        <v>80150030933</v>
      </c>
      <c r="R188" s="109">
        <v>80150030933</v>
      </c>
    </row>
    <row r="189" spans="1:18" x14ac:dyDescent="0.2">
      <c r="A189" s="125"/>
      <c r="B189" s="122"/>
      <c r="C189" s="109" t="s">
        <v>846</v>
      </c>
      <c r="D189" s="108">
        <v>0.38</v>
      </c>
      <c r="E189" s="108">
        <f t="shared" si="6"/>
        <v>0.54500000000000004</v>
      </c>
      <c r="F189" s="108">
        <v>0.16500000000000001</v>
      </c>
      <c r="G189" s="121">
        <v>660</v>
      </c>
      <c r="H189" s="110" t="s">
        <v>4</v>
      </c>
      <c r="I189" s="121"/>
      <c r="J189" s="121"/>
      <c r="K189" s="121"/>
      <c r="L189" s="121"/>
      <c r="M189" s="121"/>
      <c r="N189" s="121"/>
      <c r="O189" s="121"/>
      <c r="P189" s="121"/>
      <c r="Q189" s="112">
        <v>80150030933</v>
      </c>
      <c r="R189" s="109">
        <v>80150031361</v>
      </c>
    </row>
    <row r="190" spans="1:18" x14ac:dyDescent="0.2">
      <c r="A190" s="114"/>
      <c r="B190" s="104"/>
      <c r="C190" s="109" t="s">
        <v>846</v>
      </c>
      <c r="D190" s="108">
        <f t="shared" si="7"/>
        <v>0.54500000000000004</v>
      </c>
      <c r="E190" s="108">
        <f t="shared" si="6"/>
        <v>0.91100000000000003</v>
      </c>
      <c r="F190" s="108">
        <v>0.36599999999999999</v>
      </c>
      <c r="G190" s="121">
        <v>1464</v>
      </c>
      <c r="H190" s="110" t="s">
        <v>0</v>
      </c>
      <c r="I190" s="121"/>
      <c r="J190" s="121"/>
      <c r="K190" s="121"/>
      <c r="L190" s="121"/>
      <c r="M190" s="121"/>
      <c r="N190" s="121"/>
      <c r="O190" s="121"/>
      <c r="P190" s="121"/>
      <c r="Q190" s="112">
        <v>80150030933</v>
      </c>
      <c r="R190" s="109">
        <v>80150031361</v>
      </c>
    </row>
    <row r="191" spans="1:18" x14ac:dyDescent="0.2">
      <c r="A191" s="115">
        <v>132</v>
      </c>
      <c r="B191" s="107" t="s">
        <v>36</v>
      </c>
      <c r="C191" s="109" t="s">
        <v>846</v>
      </c>
      <c r="D191" s="108">
        <v>0</v>
      </c>
      <c r="E191" s="108">
        <f t="shared" si="6"/>
        <v>0.27</v>
      </c>
      <c r="F191" s="108">
        <v>0.27</v>
      </c>
      <c r="G191" s="121">
        <v>1080</v>
      </c>
      <c r="H191" s="110" t="s">
        <v>0</v>
      </c>
      <c r="I191" s="121"/>
      <c r="J191" s="121"/>
      <c r="K191" s="121"/>
      <c r="L191" s="121"/>
      <c r="M191" s="121"/>
      <c r="N191" s="121"/>
      <c r="O191" s="121"/>
      <c r="P191" s="121"/>
      <c r="Q191" s="109">
        <v>80150032139</v>
      </c>
      <c r="R191" s="109">
        <v>80150032139</v>
      </c>
    </row>
    <row r="192" spans="1:18" x14ac:dyDescent="0.2">
      <c r="A192" s="119">
        <v>133</v>
      </c>
      <c r="B192" s="120" t="s">
        <v>35</v>
      </c>
      <c r="C192" s="111" t="s">
        <v>846</v>
      </c>
      <c r="D192" s="108">
        <v>0</v>
      </c>
      <c r="E192" s="108">
        <f t="shared" si="6"/>
        <v>0.17</v>
      </c>
      <c r="F192" s="108">
        <v>0.17</v>
      </c>
      <c r="G192" s="121">
        <v>510</v>
      </c>
      <c r="H192" s="110" t="s">
        <v>0</v>
      </c>
      <c r="I192" s="121"/>
      <c r="J192" s="121"/>
      <c r="K192" s="121"/>
      <c r="L192" s="121"/>
      <c r="M192" s="121"/>
      <c r="N192" s="121"/>
      <c r="O192" s="121"/>
      <c r="P192" s="121"/>
      <c r="Q192" s="109">
        <v>80150024526</v>
      </c>
      <c r="R192" s="109">
        <v>80150024526</v>
      </c>
    </row>
    <row r="193" spans="1:18" x14ac:dyDescent="0.2">
      <c r="A193" s="115">
        <v>134</v>
      </c>
      <c r="B193" s="107" t="s">
        <v>394</v>
      </c>
      <c r="C193" s="109"/>
      <c r="D193" s="108">
        <v>0</v>
      </c>
      <c r="E193" s="108">
        <f t="shared" si="6"/>
        <v>0</v>
      </c>
      <c r="F193" s="108">
        <v>0</v>
      </c>
      <c r="G193" s="121">
        <v>0</v>
      </c>
      <c r="H193" s="110"/>
      <c r="I193" s="121"/>
      <c r="J193" s="121"/>
      <c r="K193" s="121"/>
      <c r="L193" s="121"/>
      <c r="M193" s="121"/>
      <c r="N193" s="121"/>
      <c r="O193" s="121"/>
      <c r="P193" s="121"/>
      <c r="Q193" s="109">
        <v>80150022128</v>
      </c>
      <c r="R193" s="109">
        <v>80150022128</v>
      </c>
    </row>
    <row r="194" spans="1:18" x14ac:dyDescent="0.2">
      <c r="A194" s="119">
        <v>135</v>
      </c>
      <c r="B194" s="107" t="s">
        <v>34</v>
      </c>
      <c r="C194" s="109" t="s">
        <v>848</v>
      </c>
      <c r="D194" s="108">
        <v>0</v>
      </c>
      <c r="E194" s="108">
        <f t="shared" si="6"/>
        <v>0.5</v>
      </c>
      <c r="F194" s="108">
        <v>0.5</v>
      </c>
      <c r="G194" s="121">
        <v>3100</v>
      </c>
      <c r="H194" s="110" t="s">
        <v>4</v>
      </c>
      <c r="I194" s="121"/>
      <c r="J194" s="121"/>
      <c r="K194" s="121"/>
      <c r="L194" s="121"/>
      <c r="M194" s="121"/>
      <c r="N194" s="121"/>
      <c r="O194" s="121"/>
      <c r="P194" s="121">
        <v>1028</v>
      </c>
      <c r="Q194" s="109">
        <v>80150022257</v>
      </c>
      <c r="R194" s="109">
        <v>80150022257</v>
      </c>
    </row>
    <row r="195" spans="1:18" x14ac:dyDescent="0.2">
      <c r="A195" s="115">
        <v>136</v>
      </c>
      <c r="B195" s="107" t="s">
        <v>33</v>
      </c>
      <c r="C195" s="109" t="s">
        <v>846</v>
      </c>
      <c r="D195" s="108">
        <v>0</v>
      </c>
      <c r="E195" s="108">
        <f t="shared" si="6"/>
        <v>0.115</v>
      </c>
      <c r="F195" s="108">
        <v>0.115</v>
      </c>
      <c r="G195" s="121">
        <v>345</v>
      </c>
      <c r="H195" s="110" t="s">
        <v>1213</v>
      </c>
      <c r="I195" s="121"/>
      <c r="J195" s="121"/>
      <c r="K195" s="121"/>
      <c r="L195" s="121"/>
      <c r="M195" s="121"/>
      <c r="N195" s="121"/>
      <c r="O195" s="121"/>
      <c r="P195" s="121"/>
      <c r="Q195" s="109">
        <v>80150020969</v>
      </c>
      <c r="R195" s="109">
        <v>80150020969</v>
      </c>
    </row>
    <row r="196" spans="1:18" x14ac:dyDescent="0.2">
      <c r="A196" s="119">
        <v>137</v>
      </c>
      <c r="B196" s="107" t="s">
        <v>32</v>
      </c>
      <c r="C196" s="109" t="s">
        <v>846</v>
      </c>
      <c r="D196" s="108">
        <v>0</v>
      </c>
      <c r="E196" s="108">
        <f t="shared" si="6"/>
        <v>7.0000000000000007E-2</v>
      </c>
      <c r="F196" s="108">
        <v>7.0000000000000007E-2</v>
      </c>
      <c r="G196" s="121">
        <v>245</v>
      </c>
      <c r="H196" s="110" t="s">
        <v>0</v>
      </c>
      <c r="I196" s="121"/>
      <c r="J196" s="121"/>
      <c r="K196" s="121"/>
      <c r="L196" s="121"/>
      <c r="M196" s="121"/>
      <c r="N196" s="121"/>
      <c r="O196" s="121"/>
      <c r="P196" s="121"/>
      <c r="Q196" s="109">
        <v>80150022261</v>
      </c>
      <c r="R196" s="109">
        <v>80150022261</v>
      </c>
    </row>
    <row r="197" spans="1:18" x14ac:dyDescent="0.2">
      <c r="A197" s="115">
        <v>138</v>
      </c>
      <c r="B197" s="101" t="s">
        <v>31</v>
      </c>
      <c r="C197" s="109" t="s">
        <v>846</v>
      </c>
      <c r="D197" s="108">
        <v>0</v>
      </c>
      <c r="E197" s="108">
        <f t="shared" si="6"/>
        <v>9.4E-2</v>
      </c>
      <c r="F197" s="108">
        <v>9.4E-2</v>
      </c>
      <c r="G197" s="121">
        <v>329</v>
      </c>
      <c r="H197" s="110" t="s">
        <v>0</v>
      </c>
      <c r="I197" s="121"/>
      <c r="J197" s="121"/>
      <c r="K197" s="121"/>
      <c r="L197" s="121"/>
      <c r="M197" s="121"/>
      <c r="N197" s="121"/>
      <c r="O197" s="121"/>
      <c r="P197" s="121"/>
      <c r="Q197" s="112">
        <v>80150031095</v>
      </c>
      <c r="R197" s="109">
        <v>80150031095</v>
      </c>
    </row>
    <row r="198" spans="1:18" x14ac:dyDescent="0.2">
      <c r="A198" s="125"/>
      <c r="B198" s="122"/>
      <c r="C198" s="109" t="s">
        <v>846</v>
      </c>
      <c r="D198" s="108">
        <f t="shared" si="7"/>
        <v>9.4E-2</v>
      </c>
      <c r="E198" s="108">
        <f t="shared" si="6"/>
        <v>0.11699999999999999</v>
      </c>
      <c r="F198" s="108">
        <v>2.3E-2</v>
      </c>
      <c r="G198" s="121">
        <v>81</v>
      </c>
      <c r="H198" s="110" t="s">
        <v>4</v>
      </c>
      <c r="I198" s="121"/>
      <c r="J198" s="121"/>
      <c r="K198" s="121"/>
      <c r="L198" s="121"/>
      <c r="M198" s="121"/>
      <c r="N198" s="121"/>
      <c r="O198" s="121"/>
      <c r="P198" s="121"/>
      <c r="Q198" s="112">
        <v>80150031095</v>
      </c>
      <c r="R198" s="109">
        <v>80150031095</v>
      </c>
    </row>
    <row r="199" spans="1:18" x14ac:dyDescent="0.2">
      <c r="A199" s="125"/>
      <c r="B199" s="122"/>
      <c r="C199" s="109" t="s">
        <v>846</v>
      </c>
      <c r="D199" s="108">
        <f t="shared" si="7"/>
        <v>0.11699999999999999</v>
      </c>
      <c r="E199" s="108">
        <f t="shared" ref="E199:E245" si="8">D199+F199</f>
        <v>0.182</v>
      </c>
      <c r="F199" s="108">
        <v>6.5000000000000002E-2</v>
      </c>
      <c r="G199" s="121">
        <v>228</v>
      </c>
      <c r="H199" s="110" t="s">
        <v>0</v>
      </c>
      <c r="I199" s="121"/>
      <c r="J199" s="121"/>
      <c r="K199" s="121"/>
      <c r="L199" s="121"/>
      <c r="M199" s="121"/>
      <c r="N199" s="121"/>
      <c r="O199" s="121"/>
      <c r="P199" s="121"/>
      <c r="Q199" s="112">
        <v>80150031095</v>
      </c>
      <c r="R199" s="109">
        <v>80150031094</v>
      </c>
    </row>
    <row r="200" spans="1:18" x14ac:dyDescent="0.2">
      <c r="A200" s="114"/>
      <c r="B200" s="104"/>
      <c r="C200" s="109" t="s">
        <v>846</v>
      </c>
      <c r="D200" s="108">
        <f t="shared" si="7"/>
        <v>0.182</v>
      </c>
      <c r="E200" s="108">
        <f t="shared" si="8"/>
        <v>0.247</v>
      </c>
      <c r="F200" s="108">
        <v>6.5000000000000002E-2</v>
      </c>
      <c r="G200" s="121">
        <v>228</v>
      </c>
      <c r="H200" s="110" t="s">
        <v>0</v>
      </c>
      <c r="I200" s="121"/>
      <c r="J200" s="121"/>
      <c r="K200" s="121"/>
      <c r="L200" s="121"/>
      <c r="M200" s="121"/>
      <c r="N200" s="121"/>
      <c r="O200" s="121"/>
      <c r="P200" s="121"/>
      <c r="Q200" s="112">
        <v>80150031095</v>
      </c>
      <c r="R200" s="109">
        <v>80150031092</v>
      </c>
    </row>
    <row r="201" spans="1:18" x14ac:dyDescent="0.2">
      <c r="A201" s="100">
        <v>139</v>
      </c>
      <c r="B201" s="101" t="s">
        <v>30</v>
      </c>
      <c r="C201" s="109" t="s">
        <v>845</v>
      </c>
      <c r="D201" s="108">
        <v>0</v>
      </c>
      <c r="E201" s="108">
        <f t="shared" si="8"/>
        <v>0.28999999999999998</v>
      </c>
      <c r="F201" s="108">
        <v>0.28999999999999998</v>
      </c>
      <c r="G201" s="121">
        <v>1740</v>
      </c>
      <c r="H201" s="110" t="s">
        <v>4</v>
      </c>
      <c r="I201" s="121"/>
      <c r="J201" s="121"/>
      <c r="K201" s="121"/>
      <c r="L201" s="121"/>
      <c r="M201" s="121"/>
      <c r="N201" s="121"/>
      <c r="O201" s="121"/>
      <c r="P201" s="121"/>
      <c r="Q201" s="112">
        <v>80150030047</v>
      </c>
      <c r="R201" s="109">
        <v>80150030046</v>
      </c>
    </row>
    <row r="202" spans="1:18" x14ac:dyDescent="0.2">
      <c r="A202" s="103"/>
      <c r="B202" s="104"/>
      <c r="C202" s="109" t="s">
        <v>845</v>
      </c>
      <c r="D202" s="108">
        <v>0.57499999999999996</v>
      </c>
      <c r="E202" s="108">
        <f t="shared" si="8"/>
        <v>0.97499999999999998</v>
      </c>
      <c r="F202" s="108">
        <v>0.4</v>
      </c>
      <c r="G202" s="121">
        <v>2400</v>
      </c>
      <c r="H202" s="110" t="s">
        <v>4</v>
      </c>
      <c r="I202" s="121"/>
      <c r="J202" s="121"/>
      <c r="K202" s="121"/>
      <c r="L202" s="121"/>
      <c r="M202" s="121"/>
      <c r="N202" s="121"/>
      <c r="O202" s="121"/>
      <c r="P202" s="121"/>
      <c r="Q202" s="112">
        <v>80150030047</v>
      </c>
      <c r="R202" s="109">
        <v>80150030141</v>
      </c>
    </row>
    <row r="203" spans="1:18" x14ac:dyDescent="0.2">
      <c r="A203" s="118">
        <v>140</v>
      </c>
      <c r="B203" s="101" t="s">
        <v>29</v>
      </c>
      <c r="C203" s="109" t="s">
        <v>846</v>
      </c>
      <c r="D203" s="108">
        <v>0</v>
      </c>
      <c r="E203" s="108">
        <f t="shared" si="8"/>
        <v>0.89</v>
      </c>
      <c r="F203" s="108">
        <v>0.89</v>
      </c>
      <c r="G203" s="121">
        <v>5340</v>
      </c>
      <c r="H203" s="110" t="s">
        <v>4</v>
      </c>
      <c r="I203" s="121"/>
      <c r="J203" s="121"/>
      <c r="K203" s="121"/>
      <c r="L203" s="121"/>
      <c r="M203" s="121"/>
      <c r="N203" s="121"/>
      <c r="O203" s="121"/>
      <c r="P203" s="121">
        <v>1773</v>
      </c>
      <c r="Q203" s="112">
        <v>80150032363</v>
      </c>
      <c r="R203" s="109">
        <v>80150031533</v>
      </c>
    </row>
    <row r="204" spans="1:18" x14ac:dyDescent="0.2">
      <c r="A204" s="125"/>
      <c r="B204" s="122"/>
      <c r="C204" s="109" t="s">
        <v>846</v>
      </c>
      <c r="D204" s="108">
        <f t="shared" si="7"/>
        <v>0.89</v>
      </c>
      <c r="E204" s="108">
        <f t="shared" si="8"/>
        <v>1.35</v>
      </c>
      <c r="F204" s="108">
        <v>0.46</v>
      </c>
      <c r="G204" s="121">
        <v>2530</v>
      </c>
      <c r="H204" s="110" t="s">
        <v>1213</v>
      </c>
      <c r="I204" s="121"/>
      <c r="J204" s="121"/>
      <c r="K204" s="121"/>
      <c r="L204" s="121"/>
      <c r="M204" s="121"/>
      <c r="N204" s="121"/>
      <c r="O204" s="121"/>
      <c r="P204" s="121"/>
      <c r="Q204" s="112">
        <v>80150032363</v>
      </c>
      <c r="R204" s="109">
        <v>80150031541</v>
      </c>
    </row>
    <row r="205" spans="1:18" x14ac:dyDescent="0.2">
      <c r="A205" s="125"/>
      <c r="B205" s="122"/>
      <c r="C205" s="109" t="s">
        <v>846</v>
      </c>
      <c r="D205" s="108">
        <f t="shared" si="7"/>
        <v>1.35</v>
      </c>
      <c r="E205" s="108">
        <f t="shared" si="8"/>
        <v>1.7200000000000002</v>
      </c>
      <c r="F205" s="108">
        <v>0.37</v>
      </c>
      <c r="G205" s="121">
        <v>1665</v>
      </c>
      <c r="H205" s="110" t="s">
        <v>4</v>
      </c>
      <c r="I205" s="121"/>
      <c r="J205" s="121"/>
      <c r="K205" s="121"/>
      <c r="L205" s="121"/>
      <c r="M205" s="121"/>
      <c r="N205" s="121"/>
      <c r="O205" s="121"/>
      <c r="P205" s="121"/>
      <c r="Q205" s="112">
        <v>80150032363</v>
      </c>
      <c r="R205" s="109">
        <v>80150031542</v>
      </c>
    </row>
    <row r="206" spans="1:18" x14ac:dyDescent="0.2">
      <c r="A206" s="125"/>
      <c r="B206" s="122"/>
      <c r="C206" s="109" t="s">
        <v>846</v>
      </c>
      <c r="D206" s="108">
        <f t="shared" si="7"/>
        <v>1.7200000000000002</v>
      </c>
      <c r="E206" s="108">
        <f t="shared" si="8"/>
        <v>2.2400000000000002</v>
      </c>
      <c r="F206" s="108">
        <v>0.52</v>
      </c>
      <c r="G206" s="121">
        <v>2860</v>
      </c>
      <c r="H206" s="110" t="s">
        <v>1213</v>
      </c>
      <c r="I206" s="121"/>
      <c r="J206" s="121"/>
      <c r="K206" s="121"/>
      <c r="L206" s="121"/>
      <c r="M206" s="121"/>
      <c r="N206" s="121"/>
      <c r="O206" s="121"/>
      <c r="P206" s="121"/>
      <c r="Q206" s="112">
        <v>80150032363</v>
      </c>
      <c r="R206" s="109">
        <v>80150031542</v>
      </c>
    </row>
    <row r="207" spans="1:18" x14ac:dyDescent="0.2">
      <c r="A207" s="114"/>
      <c r="B207" s="104"/>
      <c r="C207" s="109" t="s">
        <v>846</v>
      </c>
      <c r="D207" s="108">
        <f t="shared" si="7"/>
        <v>2.2400000000000002</v>
      </c>
      <c r="E207" s="108">
        <f t="shared" si="8"/>
        <v>2.7550000000000003</v>
      </c>
      <c r="F207" s="108">
        <v>0.51500000000000001</v>
      </c>
      <c r="G207" s="121">
        <v>2374</v>
      </c>
      <c r="H207" s="110" t="s">
        <v>1213</v>
      </c>
      <c r="I207" s="121"/>
      <c r="J207" s="121"/>
      <c r="K207" s="121"/>
      <c r="L207" s="121"/>
      <c r="M207" s="121"/>
      <c r="N207" s="121"/>
      <c r="O207" s="121"/>
      <c r="P207" s="121">
        <v>270</v>
      </c>
      <c r="Q207" s="112">
        <v>80150032363</v>
      </c>
      <c r="R207" s="109">
        <v>80150032363</v>
      </c>
    </row>
    <row r="208" spans="1:18" x14ac:dyDescent="0.2">
      <c r="A208" s="119">
        <v>141</v>
      </c>
      <c r="B208" s="120" t="s">
        <v>28</v>
      </c>
      <c r="C208" s="111" t="s">
        <v>848</v>
      </c>
      <c r="D208" s="108">
        <v>0</v>
      </c>
      <c r="E208" s="108">
        <f t="shared" si="8"/>
        <v>1.7350000000000001</v>
      </c>
      <c r="F208" s="108">
        <v>1.7350000000000001</v>
      </c>
      <c r="G208" s="121">
        <v>10178</v>
      </c>
      <c r="H208" s="110" t="s">
        <v>4</v>
      </c>
      <c r="I208" s="121"/>
      <c r="J208" s="121"/>
      <c r="K208" s="121"/>
      <c r="L208" s="121"/>
      <c r="M208" s="121"/>
      <c r="N208" s="121"/>
      <c r="O208" s="121"/>
      <c r="P208" s="121">
        <v>4378</v>
      </c>
      <c r="Q208" s="109">
        <v>80150024218</v>
      </c>
      <c r="R208" s="109">
        <v>80150024218</v>
      </c>
    </row>
    <row r="209" spans="1:18" x14ac:dyDescent="0.2">
      <c r="A209" s="115">
        <v>142</v>
      </c>
      <c r="B209" s="107" t="s">
        <v>27</v>
      </c>
      <c r="C209" s="109" t="s">
        <v>846</v>
      </c>
      <c r="D209" s="108">
        <v>0</v>
      </c>
      <c r="E209" s="108">
        <f t="shared" si="8"/>
        <v>0.27</v>
      </c>
      <c r="F209" s="108">
        <v>0.27</v>
      </c>
      <c r="G209" s="121">
        <v>1080</v>
      </c>
      <c r="H209" s="110" t="s">
        <v>0</v>
      </c>
      <c r="I209" s="121"/>
      <c r="J209" s="121"/>
      <c r="K209" s="121"/>
      <c r="L209" s="121"/>
      <c r="M209" s="121"/>
      <c r="N209" s="121"/>
      <c r="O209" s="121"/>
      <c r="P209" s="121"/>
      <c r="Q209" s="109">
        <v>80150031358</v>
      </c>
      <c r="R209" s="109">
        <v>80150031358</v>
      </c>
    </row>
    <row r="210" spans="1:18" x14ac:dyDescent="0.2">
      <c r="A210" s="119">
        <v>143</v>
      </c>
      <c r="B210" s="107" t="s">
        <v>26</v>
      </c>
      <c r="C210" s="109" t="s">
        <v>848</v>
      </c>
      <c r="D210" s="108">
        <v>0</v>
      </c>
      <c r="E210" s="108">
        <f t="shared" si="8"/>
        <v>1.27</v>
      </c>
      <c r="F210" s="108">
        <v>1.27</v>
      </c>
      <c r="G210" s="121">
        <v>8132</v>
      </c>
      <c r="H210" s="110" t="s">
        <v>4</v>
      </c>
      <c r="I210" s="121"/>
      <c r="J210" s="121"/>
      <c r="K210" s="121"/>
      <c r="L210" s="121"/>
      <c r="M210" s="121"/>
      <c r="N210" s="121"/>
      <c r="O210" s="121"/>
      <c r="P210" s="121">
        <v>3861</v>
      </c>
      <c r="Q210" s="109">
        <v>80150021128</v>
      </c>
      <c r="R210" s="109">
        <v>80150021128</v>
      </c>
    </row>
    <row r="211" spans="1:18" x14ac:dyDescent="0.2">
      <c r="A211" s="115">
        <v>144</v>
      </c>
      <c r="B211" s="107" t="s">
        <v>25</v>
      </c>
      <c r="C211" s="109" t="s">
        <v>846</v>
      </c>
      <c r="D211" s="108">
        <v>0</v>
      </c>
      <c r="E211" s="108">
        <f t="shared" si="8"/>
        <v>0.2</v>
      </c>
      <c r="F211" s="108">
        <v>0.2</v>
      </c>
      <c r="G211" s="121">
        <v>860</v>
      </c>
      <c r="H211" s="110" t="s">
        <v>4</v>
      </c>
      <c r="I211" s="121"/>
      <c r="J211" s="121"/>
      <c r="K211" s="121"/>
      <c r="L211" s="121"/>
      <c r="M211" s="121"/>
      <c r="N211" s="121"/>
      <c r="O211" s="121"/>
      <c r="P211" s="121"/>
      <c r="Q211" s="109">
        <v>80150030234</v>
      </c>
      <c r="R211" s="109">
        <v>80150030234</v>
      </c>
    </row>
    <row r="212" spans="1:18" x14ac:dyDescent="0.2">
      <c r="A212" s="119">
        <v>145</v>
      </c>
      <c r="B212" s="107" t="s">
        <v>24</v>
      </c>
      <c r="C212" s="109" t="s">
        <v>846</v>
      </c>
      <c r="D212" s="108">
        <v>0</v>
      </c>
      <c r="E212" s="108">
        <f t="shared" si="8"/>
        <v>0.14000000000000001</v>
      </c>
      <c r="F212" s="108">
        <v>0.14000000000000001</v>
      </c>
      <c r="G212" s="121">
        <v>420</v>
      </c>
      <c r="H212" s="110" t="s">
        <v>1213</v>
      </c>
      <c r="I212" s="121"/>
      <c r="J212" s="121"/>
      <c r="K212" s="121"/>
      <c r="L212" s="121"/>
      <c r="M212" s="121"/>
      <c r="N212" s="121"/>
      <c r="O212" s="121"/>
      <c r="P212" s="121"/>
      <c r="Q212" s="109">
        <v>80150020970</v>
      </c>
      <c r="R212" s="109">
        <v>80150020970</v>
      </c>
    </row>
    <row r="213" spans="1:18" x14ac:dyDescent="0.2">
      <c r="A213" s="115">
        <v>146</v>
      </c>
      <c r="B213" s="107" t="s">
        <v>23</v>
      </c>
      <c r="C213" s="109" t="s">
        <v>846</v>
      </c>
      <c r="D213" s="108">
        <v>0</v>
      </c>
      <c r="E213" s="108">
        <f t="shared" si="8"/>
        <v>0.15</v>
      </c>
      <c r="F213" s="108">
        <v>0.15</v>
      </c>
      <c r="G213" s="121">
        <v>600</v>
      </c>
      <c r="H213" s="110" t="s">
        <v>0</v>
      </c>
      <c r="I213" s="121"/>
      <c r="J213" s="121"/>
      <c r="K213" s="121"/>
      <c r="L213" s="121"/>
      <c r="M213" s="121"/>
      <c r="N213" s="121"/>
      <c r="O213" s="121"/>
      <c r="P213" s="121"/>
      <c r="Q213" s="109">
        <v>80150022979</v>
      </c>
      <c r="R213" s="109">
        <v>80150022979</v>
      </c>
    </row>
    <row r="214" spans="1:18" x14ac:dyDescent="0.2">
      <c r="A214" s="119">
        <v>147</v>
      </c>
      <c r="B214" s="107" t="s">
        <v>22</v>
      </c>
      <c r="C214" s="109" t="s">
        <v>846</v>
      </c>
      <c r="D214" s="108">
        <v>0</v>
      </c>
      <c r="E214" s="108">
        <f t="shared" si="8"/>
        <v>0.28000000000000003</v>
      </c>
      <c r="F214" s="108">
        <v>0.28000000000000003</v>
      </c>
      <c r="G214" s="121">
        <v>1120</v>
      </c>
      <c r="H214" s="110" t="s">
        <v>4</v>
      </c>
      <c r="I214" s="121"/>
      <c r="J214" s="121"/>
      <c r="K214" s="121"/>
      <c r="L214" s="121"/>
      <c r="M214" s="121"/>
      <c r="N214" s="121"/>
      <c r="O214" s="121"/>
      <c r="P214" s="121"/>
      <c r="Q214" s="109">
        <v>80150032067</v>
      </c>
      <c r="R214" s="109">
        <v>80150032067</v>
      </c>
    </row>
    <row r="215" spans="1:18" x14ac:dyDescent="0.2">
      <c r="A215" s="115">
        <v>148</v>
      </c>
      <c r="B215" s="101" t="s">
        <v>21</v>
      </c>
      <c r="C215" s="109" t="s">
        <v>846</v>
      </c>
      <c r="D215" s="108">
        <v>0</v>
      </c>
      <c r="E215" s="108">
        <f t="shared" si="8"/>
        <v>0.105</v>
      </c>
      <c r="F215" s="108">
        <v>0.105</v>
      </c>
      <c r="G215" s="121">
        <v>420</v>
      </c>
      <c r="H215" s="110" t="s">
        <v>4</v>
      </c>
      <c r="I215" s="121"/>
      <c r="J215" s="121"/>
      <c r="K215" s="121"/>
      <c r="L215" s="121"/>
      <c r="M215" s="121"/>
      <c r="N215" s="121"/>
      <c r="O215" s="121"/>
      <c r="P215" s="121">
        <v>20</v>
      </c>
      <c r="Q215" s="109">
        <v>80150031190</v>
      </c>
      <c r="R215" s="109">
        <v>80150031190</v>
      </c>
    </row>
    <row r="216" spans="1:18" x14ac:dyDescent="0.2">
      <c r="A216" s="103"/>
      <c r="B216" s="104"/>
      <c r="C216" s="109" t="s">
        <v>846</v>
      </c>
      <c r="D216" s="108">
        <f t="shared" ref="D216:D245" si="9">E215</f>
        <v>0.105</v>
      </c>
      <c r="E216" s="108">
        <f t="shared" si="8"/>
        <v>0.155</v>
      </c>
      <c r="F216" s="108">
        <v>0.05</v>
      </c>
      <c r="G216" s="121">
        <v>200</v>
      </c>
      <c r="H216" s="110" t="s">
        <v>0</v>
      </c>
      <c r="I216" s="121"/>
      <c r="J216" s="121"/>
      <c r="K216" s="121"/>
      <c r="L216" s="121"/>
      <c r="M216" s="121"/>
      <c r="N216" s="121"/>
      <c r="O216" s="121"/>
      <c r="P216" s="121"/>
      <c r="Q216" s="109">
        <v>80150031190</v>
      </c>
      <c r="R216" s="109">
        <v>80150031190</v>
      </c>
    </row>
    <row r="217" spans="1:18" x14ac:dyDescent="0.2">
      <c r="A217" s="100">
        <v>149</v>
      </c>
      <c r="B217" s="101" t="s">
        <v>20</v>
      </c>
      <c r="C217" s="109" t="s">
        <v>846</v>
      </c>
      <c r="D217" s="108">
        <v>0</v>
      </c>
      <c r="E217" s="108">
        <f t="shared" si="8"/>
        <v>0.08</v>
      </c>
      <c r="F217" s="108">
        <v>0.08</v>
      </c>
      <c r="G217" s="121">
        <v>339</v>
      </c>
      <c r="H217" s="110" t="s">
        <v>1213</v>
      </c>
      <c r="I217" s="121"/>
      <c r="J217" s="121"/>
      <c r="K217" s="121"/>
      <c r="L217" s="121"/>
      <c r="M217" s="121"/>
      <c r="N217" s="121"/>
      <c r="O217" s="121"/>
      <c r="P217" s="121"/>
      <c r="Q217" s="109">
        <v>80150030661</v>
      </c>
      <c r="R217" s="109">
        <v>80150030662</v>
      </c>
    </row>
    <row r="218" spans="1:18" x14ac:dyDescent="0.2">
      <c r="A218" s="103"/>
      <c r="B218" s="104"/>
      <c r="C218" s="109" t="s">
        <v>846</v>
      </c>
      <c r="D218" s="108">
        <f t="shared" si="9"/>
        <v>0.08</v>
      </c>
      <c r="E218" s="108">
        <f t="shared" si="8"/>
        <v>0.17499999999999999</v>
      </c>
      <c r="F218" s="108">
        <v>9.5000000000000001E-2</v>
      </c>
      <c r="G218" s="121">
        <v>379</v>
      </c>
      <c r="H218" s="110" t="s">
        <v>1213</v>
      </c>
      <c r="I218" s="121"/>
      <c r="J218" s="121"/>
      <c r="K218" s="121"/>
      <c r="L218" s="121"/>
      <c r="M218" s="121"/>
      <c r="N218" s="121"/>
      <c r="O218" s="121"/>
      <c r="P218" s="121"/>
      <c r="Q218" s="109">
        <v>80150030661</v>
      </c>
      <c r="R218" s="109">
        <v>80150030661</v>
      </c>
    </row>
    <row r="219" spans="1:18" x14ac:dyDescent="0.2">
      <c r="A219" s="115">
        <v>150</v>
      </c>
      <c r="B219" s="107" t="s">
        <v>395</v>
      </c>
      <c r="C219" s="109" t="s">
        <v>846</v>
      </c>
      <c r="D219" s="108">
        <v>0</v>
      </c>
      <c r="E219" s="108">
        <f t="shared" si="8"/>
        <v>0.54500000000000004</v>
      </c>
      <c r="F219" s="108">
        <v>0.54500000000000004</v>
      </c>
      <c r="G219" s="121">
        <v>2725</v>
      </c>
      <c r="H219" s="110" t="s">
        <v>0</v>
      </c>
      <c r="I219" s="121"/>
      <c r="J219" s="121"/>
      <c r="K219" s="121"/>
      <c r="L219" s="121"/>
      <c r="M219" s="121"/>
      <c r="N219" s="121"/>
      <c r="O219" s="121"/>
      <c r="P219" s="121"/>
      <c r="Q219" s="112">
        <v>80150010924</v>
      </c>
      <c r="R219" s="109">
        <v>80150010924</v>
      </c>
    </row>
    <row r="220" spans="1:18" x14ac:dyDescent="0.2">
      <c r="A220" s="100">
        <v>151</v>
      </c>
      <c r="B220" s="101" t="s">
        <v>396</v>
      </c>
      <c r="C220" s="109" t="s">
        <v>845</v>
      </c>
      <c r="D220" s="108">
        <v>0</v>
      </c>
      <c r="E220" s="108">
        <f t="shared" si="8"/>
        <v>0.185</v>
      </c>
      <c r="F220" s="108">
        <v>0.185</v>
      </c>
      <c r="G220" s="121">
        <v>1110</v>
      </c>
      <c r="H220" s="110" t="s">
        <v>4</v>
      </c>
      <c r="I220" s="121"/>
      <c r="J220" s="121"/>
      <c r="K220" s="121"/>
      <c r="L220" s="121"/>
      <c r="M220" s="121"/>
      <c r="N220" s="121"/>
      <c r="O220" s="121"/>
      <c r="P220" s="121"/>
      <c r="Q220" s="109">
        <v>80150040116</v>
      </c>
      <c r="R220" s="109">
        <v>80150040116</v>
      </c>
    </row>
    <row r="221" spans="1:18" x14ac:dyDescent="0.2">
      <c r="A221" s="103"/>
      <c r="B221" s="104"/>
      <c r="C221" s="109" t="s">
        <v>845</v>
      </c>
      <c r="D221" s="108">
        <f t="shared" si="9"/>
        <v>0.185</v>
      </c>
      <c r="E221" s="108">
        <f t="shared" si="8"/>
        <v>1.0449999999999999</v>
      </c>
      <c r="F221" s="108">
        <v>0.86</v>
      </c>
      <c r="G221" s="121">
        <v>5160</v>
      </c>
      <c r="H221" s="110" t="s">
        <v>4</v>
      </c>
      <c r="I221" s="121"/>
      <c r="J221" s="121"/>
      <c r="K221" s="121"/>
      <c r="L221" s="121"/>
      <c r="M221" s="121"/>
      <c r="N221" s="121"/>
      <c r="O221" s="121"/>
      <c r="P221" s="121"/>
      <c r="Q221" s="112">
        <v>80150040115</v>
      </c>
      <c r="R221" s="109">
        <v>80150040115</v>
      </c>
    </row>
    <row r="222" spans="1:18" x14ac:dyDescent="0.2">
      <c r="A222" s="115">
        <v>152</v>
      </c>
      <c r="B222" s="107" t="s">
        <v>19</v>
      </c>
      <c r="C222" s="109" t="s">
        <v>846</v>
      </c>
      <c r="D222" s="108">
        <v>0</v>
      </c>
      <c r="E222" s="108">
        <f t="shared" si="8"/>
        <v>0.127</v>
      </c>
      <c r="F222" s="108">
        <v>0.127</v>
      </c>
      <c r="G222" s="121">
        <v>511</v>
      </c>
      <c r="H222" s="110" t="s">
        <v>1213</v>
      </c>
      <c r="I222" s="121"/>
      <c r="J222" s="121"/>
      <c r="K222" s="121"/>
      <c r="L222" s="121"/>
      <c r="M222" s="121"/>
      <c r="N222" s="121"/>
      <c r="O222" s="121"/>
      <c r="P222" s="121"/>
      <c r="Q222" s="112">
        <v>80150031191</v>
      </c>
      <c r="R222" s="109">
        <v>80150031191</v>
      </c>
    </row>
    <row r="223" spans="1:18" x14ac:dyDescent="0.2">
      <c r="A223" s="100">
        <v>153</v>
      </c>
      <c r="B223" s="101" t="s">
        <v>18</v>
      </c>
      <c r="C223" s="109" t="s">
        <v>846</v>
      </c>
      <c r="D223" s="108">
        <v>0</v>
      </c>
      <c r="E223" s="108">
        <f t="shared" si="8"/>
        <v>0.14000000000000001</v>
      </c>
      <c r="F223" s="108">
        <v>0.14000000000000001</v>
      </c>
      <c r="G223" s="121">
        <v>560</v>
      </c>
      <c r="H223" s="110" t="s">
        <v>0</v>
      </c>
      <c r="I223" s="121"/>
      <c r="J223" s="121"/>
      <c r="K223" s="121"/>
      <c r="L223" s="121"/>
      <c r="M223" s="121"/>
      <c r="N223" s="121"/>
      <c r="O223" s="121"/>
      <c r="P223" s="121"/>
      <c r="Q223" s="112">
        <v>80150032069</v>
      </c>
      <c r="R223" s="109">
        <v>80150032069</v>
      </c>
    </row>
    <row r="224" spans="1:18" x14ac:dyDescent="0.2">
      <c r="A224" s="103"/>
      <c r="B224" s="104"/>
      <c r="C224" s="109" t="s">
        <v>846</v>
      </c>
      <c r="D224" s="108">
        <f t="shared" si="9"/>
        <v>0.14000000000000001</v>
      </c>
      <c r="E224" s="108">
        <f t="shared" si="8"/>
        <v>0.2</v>
      </c>
      <c r="F224" s="108">
        <v>0.06</v>
      </c>
      <c r="G224" s="121">
        <v>240</v>
      </c>
      <c r="H224" s="110" t="s">
        <v>0</v>
      </c>
      <c r="I224" s="121"/>
      <c r="J224" s="121"/>
      <c r="K224" s="121"/>
      <c r="L224" s="121"/>
      <c r="M224" s="121"/>
      <c r="N224" s="121"/>
      <c r="O224" s="121"/>
      <c r="P224" s="121"/>
      <c r="Q224" s="112">
        <v>80150032071</v>
      </c>
      <c r="R224" s="109">
        <v>80150032071</v>
      </c>
    </row>
    <row r="225" spans="1:18" x14ac:dyDescent="0.2">
      <c r="A225" s="100">
        <v>154</v>
      </c>
      <c r="B225" s="101" t="s">
        <v>17</v>
      </c>
      <c r="C225" s="109" t="s">
        <v>846</v>
      </c>
      <c r="D225" s="108">
        <v>0</v>
      </c>
      <c r="E225" s="108">
        <f t="shared" si="8"/>
        <v>0.14499999999999999</v>
      </c>
      <c r="F225" s="108">
        <v>0.14499999999999999</v>
      </c>
      <c r="G225" s="121">
        <v>711</v>
      </c>
      <c r="H225" s="110" t="s">
        <v>4</v>
      </c>
      <c r="I225" s="121"/>
      <c r="J225" s="121"/>
      <c r="K225" s="121"/>
      <c r="L225" s="121"/>
      <c r="M225" s="121"/>
      <c r="N225" s="121"/>
      <c r="O225" s="121"/>
      <c r="P225" s="121"/>
      <c r="Q225" s="112">
        <v>80150024032</v>
      </c>
      <c r="R225" s="109">
        <v>80150024032</v>
      </c>
    </row>
    <row r="226" spans="1:18" x14ac:dyDescent="0.2">
      <c r="A226" s="103"/>
      <c r="B226" s="104"/>
      <c r="C226" s="109" t="s">
        <v>846</v>
      </c>
      <c r="D226" s="108">
        <f t="shared" si="9"/>
        <v>0.14499999999999999</v>
      </c>
      <c r="E226" s="108">
        <f t="shared" si="8"/>
        <v>0.21999999999999997</v>
      </c>
      <c r="F226" s="108">
        <v>7.4999999999999997E-2</v>
      </c>
      <c r="G226" s="121">
        <v>263</v>
      </c>
      <c r="H226" s="110" t="s">
        <v>154</v>
      </c>
      <c r="I226" s="121"/>
      <c r="J226" s="121"/>
      <c r="K226" s="121"/>
      <c r="L226" s="121"/>
      <c r="M226" s="121"/>
      <c r="N226" s="121"/>
      <c r="O226" s="121"/>
      <c r="P226" s="121"/>
      <c r="Q226" s="112">
        <v>80150024218</v>
      </c>
      <c r="R226" s="109">
        <v>80150024218</v>
      </c>
    </row>
    <row r="227" spans="1:18" x14ac:dyDescent="0.2">
      <c r="A227" s="118">
        <v>155</v>
      </c>
      <c r="B227" s="101" t="s">
        <v>16</v>
      </c>
      <c r="C227" s="109" t="s">
        <v>846</v>
      </c>
      <c r="D227" s="108">
        <v>0</v>
      </c>
      <c r="E227" s="108">
        <f t="shared" si="8"/>
        <v>0.255</v>
      </c>
      <c r="F227" s="108">
        <v>0.255</v>
      </c>
      <c r="G227" s="121">
        <v>1301</v>
      </c>
      <c r="H227" s="110" t="s">
        <v>4</v>
      </c>
      <c r="I227" s="121"/>
      <c r="J227" s="121"/>
      <c r="K227" s="121"/>
      <c r="L227" s="121"/>
      <c r="M227" s="121"/>
      <c r="N227" s="121"/>
      <c r="O227" s="121"/>
      <c r="P227" s="121"/>
      <c r="Q227" s="112">
        <v>80150030331</v>
      </c>
      <c r="R227" s="109">
        <v>80150030331</v>
      </c>
    </row>
    <row r="228" spans="1:18" x14ac:dyDescent="0.2">
      <c r="A228" s="118">
        <v>156</v>
      </c>
      <c r="B228" s="498" t="s">
        <v>228</v>
      </c>
      <c r="C228" s="109" t="s">
        <v>848</v>
      </c>
      <c r="D228" s="108">
        <v>0</v>
      </c>
      <c r="E228" s="108">
        <f t="shared" si="8"/>
        <v>0.34499999999999997</v>
      </c>
      <c r="F228" s="108">
        <v>0.34499999999999997</v>
      </c>
      <c r="G228" s="121">
        <v>2070</v>
      </c>
      <c r="H228" s="110" t="s">
        <v>4</v>
      </c>
      <c r="I228" s="121"/>
      <c r="J228" s="121"/>
      <c r="K228" s="121"/>
      <c r="L228" s="121"/>
      <c r="M228" s="121"/>
      <c r="N228" s="121"/>
      <c r="O228" s="121"/>
      <c r="P228" s="121">
        <v>184</v>
      </c>
      <c r="Q228" s="112">
        <v>80150030728</v>
      </c>
      <c r="R228" s="109">
        <v>80150030728</v>
      </c>
    </row>
    <row r="229" spans="1:18" x14ac:dyDescent="0.2">
      <c r="A229" s="114"/>
      <c r="B229" s="499"/>
      <c r="C229" s="109" t="s">
        <v>848</v>
      </c>
      <c r="D229" s="600">
        <v>0.35</v>
      </c>
      <c r="E229" s="601">
        <v>1.1499999999999999</v>
      </c>
      <c r="F229" s="599">
        <f>E229-D229</f>
        <v>0.79999999999999993</v>
      </c>
      <c r="G229" s="121">
        <f>6*800</f>
        <v>4800</v>
      </c>
      <c r="H229" s="110" t="s">
        <v>4</v>
      </c>
      <c r="I229" s="121"/>
      <c r="J229" s="121"/>
      <c r="K229" s="121"/>
      <c r="L229" s="121"/>
      <c r="M229" s="121"/>
      <c r="N229" s="121"/>
      <c r="O229" s="121"/>
      <c r="P229" s="121"/>
      <c r="Q229" s="19">
        <v>80940040678</v>
      </c>
      <c r="R229" s="19">
        <v>80940040678</v>
      </c>
    </row>
    <row r="230" spans="1:18" x14ac:dyDescent="0.2">
      <c r="A230" s="114">
        <v>157</v>
      </c>
      <c r="B230" s="602" t="s">
        <v>15</v>
      </c>
      <c r="C230" s="111" t="s">
        <v>846</v>
      </c>
      <c r="D230" s="108">
        <v>0</v>
      </c>
      <c r="E230" s="108">
        <f t="shared" si="8"/>
        <v>0.33500000000000002</v>
      </c>
      <c r="F230" s="108">
        <v>0.33500000000000002</v>
      </c>
      <c r="G230" s="121">
        <v>2010</v>
      </c>
      <c r="H230" s="110" t="s">
        <v>4</v>
      </c>
      <c r="I230" s="121"/>
      <c r="J230" s="121"/>
      <c r="K230" s="121"/>
      <c r="L230" s="121"/>
      <c r="M230" s="121"/>
      <c r="N230" s="121"/>
      <c r="O230" s="121"/>
      <c r="P230" s="121">
        <v>710</v>
      </c>
      <c r="Q230" s="112">
        <v>80150032357</v>
      </c>
      <c r="R230" s="109">
        <v>80150032357</v>
      </c>
    </row>
    <row r="231" spans="1:18" x14ac:dyDescent="0.2">
      <c r="A231" s="129">
        <v>158</v>
      </c>
      <c r="B231" s="101" t="s">
        <v>14</v>
      </c>
      <c r="C231" s="109" t="s">
        <v>846</v>
      </c>
      <c r="D231" s="108">
        <v>0</v>
      </c>
      <c r="E231" s="108">
        <f t="shared" si="8"/>
        <v>0.17</v>
      </c>
      <c r="F231" s="108">
        <v>0.17</v>
      </c>
      <c r="G231" s="121">
        <v>748</v>
      </c>
      <c r="H231" s="110" t="s">
        <v>4</v>
      </c>
      <c r="I231" s="121"/>
      <c r="J231" s="121"/>
      <c r="K231" s="121"/>
      <c r="L231" s="121"/>
      <c r="M231" s="121"/>
      <c r="N231" s="121"/>
      <c r="O231" s="121"/>
      <c r="P231" s="121"/>
      <c r="Q231" s="112">
        <v>80150022122</v>
      </c>
      <c r="R231" s="109">
        <v>80150022123</v>
      </c>
    </row>
    <row r="232" spans="1:18" x14ac:dyDescent="0.2">
      <c r="A232" s="125"/>
      <c r="B232" s="122"/>
      <c r="C232" s="109" t="s">
        <v>846</v>
      </c>
      <c r="D232" s="108">
        <f t="shared" si="9"/>
        <v>0.17</v>
      </c>
      <c r="E232" s="108">
        <f t="shared" si="8"/>
        <v>0.32500000000000001</v>
      </c>
      <c r="F232" s="108">
        <v>0.155</v>
      </c>
      <c r="G232" s="121">
        <v>682</v>
      </c>
      <c r="H232" s="110" t="s">
        <v>4</v>
      </c>
      <c r="I232" s="121"/>
      <c r="J232" s="121"/>
      <c r="K232" s="121"/>
      <c r="L232" s="121"/>
      <c r="M232" s="121"/>
      <c r="N232" s="121"/>
      <c r="O232" s="121"/>
      <c r="P232" s="121"/>
      <c r="Q232" s="112">
        <v>80150022122</v>
      </c>
      <c r="R232" s="109">
        <v>80150022120</v>
      </c>
    </row>
    <row r="233" spans="1:18" x14ac:dyDescent="0.2">
      <c r="A233" s="114"/>
      <c r="B233" s="104"/>
      <c r="C233" s="109" t="s">
        <v>846</v>
      </c>
      <c r="D233" s="108">
        <f t="shared" si="9"/>
        <v>0.32500000000000001</v>
      </c>
      <c r="E233" s="108">
        <f t="shared" si="8"/>
        <v>0.46</v>
      </c>
      <c r="F233" s="108">
        <v>0.13500000000000001</v>
      </c>
      <c r="G233" s="121">
        <v>473</v>
      </c>
      <c r="H233" s="110" t="s">
        <v>0</v>
      </c>
      <c r="I233" s="121"/>
      <c r="J233" s="121"/>
      <c r="K233" s="121"/>
      <c r="L233" s="121"/>
      <c r="M233" s="121"/>
      <c r="N233" s="121"/>
      <c r="O233" s="121"/>
      <c r="P233" s="121"/>
      <c r="Q233" s="112">
        <v>80150022122</v>
      </c>
      <c r="R233" s="109">
        <v>80150022122</v>
      </c>
    </row>
    <row r="234" spans="1:18" ht="22.5" x14ac:dyDescent="0.2">
      <c r="A234" s="103">
        <v>159</v>
      </c>
      <c r="B234" s="104" t="s">
        <v>528</v>
      </c>
      <c r="C234" s="109" t="s">
        <v>846</v>
      </c>
      <c r="D234" s="117">
        <v>0</v>
      </c>
      <c r="E234" s="117">
        <v>0.16600000000000001</v>
      </c>
      <c r="F234" s="117">
        <v>0.16600000000000001</v>
      </c>
      <c r="G234" s="767">
        <v>930</v>
      </c>
      <c r="H234" s="768" t="s">
        <v>154</v>
      </c>
      <c r="I234" s="121"/>
      <c r="J234" s="121"/>
      <c r="K234" s="121"/>
      <c r="L234" s="121"/>
      <c r="M234" s="121"/>
      <c r="N234" s="121"/>
      <c r="O234" s="121"/>
      <c r="P234" s="121"/>
      <c r="Q234" s="769" t="s">
        <v>1245</v>
      </c>
      <c r="R234" s="769" t="s">
        <v>1245</v>
      </c>
    </row>
    <row r="235" spans="1:18" x14ac:dyDescent="0.2">
      <c r="A235" s="115">
        <v>160</v>
      </c>
      <c r="B235" s="107" t="s">
        <v>13</v>
      </c>
      <c r="C235" s="109" t="s">
        <v>846</v>
      </c>
      <c r="D235" s="108">
        <v>0</v>
      </c>
      <c r="E235" s="108">
        <f t="shared" si="8"/>
        <v>0.13500000000000001</v>
      </c>
      <c r="F235" s="108">
        <v>0.13500000000000001</v>
      </c>
      <c r="G235" s="121">
        <v>434</v>
      </c>
      <c r="H235" s="110" t="s">
        <v>1213</v>
      </c>
      <c r="I235" s="121"/>
      <c r="J235" s="121"/>
      <c r="K235" s="121"/>
      <c r="L235" s="121"/>
      <c r="M235" s="121"/>
      <c r="N235" s="121"/>
      <c r="O235" s="121"/>
      <c r="P235" s="121"/>
      <c r="Q235" s="109">
        <v>80150020967</v>
      </c>
      <c r="R235" s="109">
        <v>80150020967</v>
      </c>
    </row>
    <row r="236" spans="1:18" x14ac:dyDescent="0.2">
      <c r="A236" s="115">
        <v>161</v>
      </c>
      <c r="B236" s="107" t="s">
        <v>12</v>
      </c>
      <c r="C236" s="109" t="s">
        <v>846</v>
      </c>
      <c r="D236" s="108">
        <v>0</v>
      </c>
      <c r="E236" s="108">
        <f t="shared" si="8"/>
        <v>0.185</v>
      </c>
      <c r="F236" s="108">
        <v>0.185</v>
      </c>
      <c r="G236" s="121">
        <v>740</v>
      </c>
      <c r="H236" s="110" t="s">
        <v>0</v>
      </c>
      <c r="I236" s="121"/>
      <c r="J236" s="121"/>
      <c r="K236" s="121"/>
      <c r="L236" s="121"/>
      <c r="M236" s="121"/>
      <c r="N236" s="121"/>
      <c r="O236" s="121"/>
      <c r="P236" s="121"/>
      <c r="Q236" s="112">
        <v>80150032071</v>
      </c>
      <c r="R236" s="109">
        <v>80150032071</v>
      </c>
    </row>
    <row r="237" spans="1:18" x14ac:dyDescent="0.2">
      <c r="A237" s="115">
        <v>162</v>
      </c>
      <c r="B237" s="107" t="s">
        <v>11</v>
      </c>
      <c r="C237" s="109" t="s">
        <v>846</v>
      </c>
      <c r="D237" s="108">
        <v>0</v>
      </c>
      <c r="E237" s="108">
        <f t="shared" si="8"/>
        <v>0.12</v>
      </c>
      <c r="F237" s="108">
        <v>0.12</v>
      </c>
      <c r="G237" s="121">
        <v>480</v>
      </c>
      <c r="H237" s="110" t="s">
        <v>0</v>
      </c>
      <c r="I237" s="121"/>
      <c r="J237" s="121"/>
      <c r="K237" s="121"/>
      <c r="L237" s="121"/>
      <c r="M237" s="121"/>
      <c r="N237" s="121"/>
      <c r="O237" s="121"/>
      <c r="P237" s="121"/>
      <c r="Q237" s="112">
        <v>80150022978</v>
      </c>
      <c r="R237" s="109">
        <v>80150022978</v>
      </c>
    </row>
    <row r="238" spans="1:18" x14ac:dyDescent="0.2">
      <c r="A238" s="115">
        <v>163</v>
      </c>
      <c r="B238" s="101" t="s">
        <v>10</v>
      </c>
      <c r="C238" s="109" t="s">
        <v>846</v>
      </c>
      <c r="D238" s="108">
        <v>0</v>
      </c>
      <c r="E238" s="108">
        <f t="shared" si="8"/>
        <v>0.125</v>
      </c>
      <c r="F238" s="108">
        <v>0.125</v>
      </c>
      <c r="G238" s="121">
        <v>438</v>
      </c>
      <c r="H238" s="110" t="s">
        <v>1213</v>
      </c>
      <c r="I238" s="121"/>
      <c r="J238" s="121"/>
      <c r="K238" s="121"/>
      <c r="L238" s="121"/>
      <c r="M238" s="121"/>
      <c r="N238" s="121"/>
      <c r="O238" s="121"/>
      <c r="P238" s="121"/>
      <c r="Q238" s="109">
        <v>80150030561</v>
      </c>
      <c r="R238" s="109">
        <v>80150030561</v>
      </c>
    </row>
    <row r="239" spans="1:18" x14ac:dyDescent="0.2">
      <c r="A239" s="115">
        <v>164</v>
      </c>
      <c r="B239" s="107" t="s">
        <v>9</v>
      </c>
      <c r="C239" s="109" t="s">
        <v>846</v>
      </c>
      <c r="D239" s="108">
        <v>0</v>
      </c>
      <c r="E239" s="108">
        <f t="shared" si="8"/>
        <v>0.13</v>
      </c>
      <c r="F239" s="108">
        <v>0.13</v>
      </c>
      <c r="G239" s="121">
        <v>780</v>
      </c>
      <c r="H239" s="110" t="s">
        <v>4</v>
      </c>
      <c r="I239" s="121"/>
      <c r="J239" s="121"/>
      <c r="K239" s="121"/>
      <c r="L239" s="121"/>
      <c r="M239" s="121"/>
      <c r="N239" s="121"/>
      <c r="O239" s="121"/>
      <c r="P239" s="121">
        <v>396</v>
      </c>
      <c r="Q239" s="109">
        <v>80150023052</v>
      </c>
      <c r="R239" s="109">
        <v>80150023052</v>
      </c>
    </row>
    <row r="240" spans="1:18" x14ac:dyDescent="0.2">
      <c r="A240" s="115">
        <v>165</v>
      </c>
      <c r="B240" s="107" t="s">
        <v>8</v>
      </c>
      <c r="C240" s="109" t="s">
        <v>846</v>
      </c>
      <c r="D240" s="108">
        <v>0</v>
      </c>
      <c r="E240" s="108">
        <f t="shared" si="8"/>
        <v>0.115</v>
      </c>
      <c r="F240" s="108">
        <v>0.115</v>
      </c>
      <c r="G240" s="121">
        <v>469</v>
      </c>
      <c r="H240" s="110" t="s">
        <v>0</v>
      </c>
      <c r="I240" s="121"/>
      <c r="J240" s="121"/>
      <c r="K240" s="121"/>
      <c r="L240" s="121"/>
      <c r="M240" s="121"/>
      <c r="N240" s="121"/>
      <c r="O240" s="121"/>
      <c r="P240" s="121"/>
      <c r="Q240" s="109">
        <v>80150020041</v>
      </c>
      <c r="R240" s="109">
        <v>80150020041</v>
      </c>
    </row>
    <row r="241" spans="1:32" x14ac:dyDescent="0.2">
      <c r="A241" s="118">
        <v>166</v>
      </c>
      <c r="B241" s="101" t="s">
        <v>158</v>
      </c>
      <c r="C241" s="109" t="s">
        <v>846</v>
      </c>
      <c r="D241" s="108">
        <v>0</v>
      </c>
      <c r="E241" s="108">
        <f t="shared" si="8"/>
        <v>0.315</v>
      </c>
      <c r="F241" s="108">
        <v>0.315</v>
      </c>
      <c r="G241" s="121">
        <v>1260</v>
      </c>
      <c r="H241" s="110" t="s">
        <v>1213</v>
      </c>
      <c r="I241" s="121"/>
      <c r="J241" s="121"/>
      <c r="K241" s="121"/>
      <c r="L241" s="121"/>
      <c r="M241" s="121"/>
      <c r="N241" s="121"/>
      <c r="O241" s="121"/>
      <c r="P241" s="121"/>
      <c r="Q241" s="109">
        <v>80150031093</v>
      </c>
      <c r="R241" s="109">
        <v>80150031093</v>
      </c>
    </row>
    <row r="242" spans="1:32" x14ac:dyDescent="0.2">
      <c r="A242" s="125"/>
      <c r="B242" s="122"/>
      <c r="C242" s="109" t="s">
        <v>846</v>
      </c>
      <c r="D242" s="108">
        <f t="shared" si="9"/>
        <v>0.315</v>
      </c>
      <c r="E242" s="108">
        <f t="shared" si="8"/>
        <v>0.495</v>
      </c>
      <c r="F242" s="108">
        <v>0.18</v>
      </c>
      <c r="G242" s="121">
        <v>720</v>
      </c>
      <c r="H242" s="110" t="s">
        <v>0</v>
      </c>
      <c r="I242" s="121"/>
      <c r="J242" s="121"/>
      <c r="K242" s="121"/>
      <c r="L242" s="121"/>
      <c r="M242" s="121"/>
      <c r="N242" s="121"/>
      <c r="O242" s="121"/>
      <c r="P242" s="121"/>
      <c r="Q242" s="109">
        <v>80150031093</v>
      </c>
      <c r="R242" s="109">
        <v>80150031088</v>
      </c>
    </row>
    <row r="243" spans="1:32" x14ac:dyDescent="0.2">
      <c r="A243" s="246"/>
      <c r="B243" s="222"/>
      <c r="C243" s="109" t="s">
        <v>846</v>
      </c>
      <c r="D243" s="389">
        <f t="shared" si="9"/>
        <v>0.495</v>
      </c>
      <c r="E243" s="389">
        <f t="shared" si="8"/>
        <v>0.72299999999999998</v>
      </c>
      <c r="F243" s="389">
        <v>0.22800000000000001</v>
      </c>
      <c r="G243" s="121">
        <v>684</v>
      </c>
      <c r="H243" s="225" t="s">
        <v>4</v>
      </c>
      <c r="I243" s="121"/>
      <c r="J243" s="121"/>
      <c r="K243" s="121"/>
      <c r="L243" s="121"/>
      <c r="M243" s="121"/>
      <c r="N243" s="121"/>
      <c r="O243" s="121"/>
      <c r="P243" s="121"/>
      <c r="Q243" s="389">
        <v>80150031093</v>
      </c>
      <c r="R243" s="389">
        <v>80150031088</v>
      </c>
    </row>
    <row r="244" spans="1:32" x14ac:dyDescent="0.2">
      <c r="A244" s="100">
        <v>167</v>
      </c>
      <c r="B244" s="101" t="s">
        <v>6</v>
      </c>
      <c r="C244" s="109" t="s">
        <v>846</v>
      </c>
      <c r="D244" s="108">
        <v>0</v>
      </c>
      <c r="E244" s="108">
        <f t="shared" si="8"/>
        <v>0.3</v>
      </c>
      <c r="F244" s="108">
        <v>0.3</v>
      </c>
      <c r="G244" s="121">
        <v>1200</v>
      </c>
      <c r="H244" s="110" t="s">
        <v>0</v>
      </c>
      <c r="I244" s="121"/>
      <c r="J244" s="121"/>
      <c r="K244" s="121"/>
      <c r="L244" s="121"/>
      <c r="M244" s="121"/>
      <c r="N244" s="121"/>
      <c r="O244" s="121"/>
      <c r="P244" s="121"/>
      <c r="Q244" s="261" t="s">
        <v>421</v>
      </c>
      <c r="R244" s="109" t="s">
        <v>397</v>
      </c>
    </row>
    <row r="245" spans="1:32" ht="15" x14ac:dyDescent="0.25">
      <c r="A245" s="103"/>
      <c r="B245" s="130" t="s">
        <v>398</v>
      </c>
      <c r="C245" s="109" t="s">
        <v>846</v>
      </c>
      <c r="D245" s="108">
        <f t="shared" si="9"/>
        <v>0.3</v>
      </c>
      <c r="E245" s="108">
        <f t="shared" si="8"/>
        <v>1.1100000000000001</v>
      </c>
      <c r="F245" s="108">
        <v>0.81</v>
      </c>
      <c r="G245" s="121">
        <v>3240</v>
      </c>
      <c r="H245" s="110" t="s">
        <v>0</v>
      </c>
      <c r="I245" s="121"/>
      <c r="J245" s="121"/>
      <c r="K245" s="121"/>
      <c r="L245" s="121"/>
      <c r="M245" s="121"/>
      <c r="N245" s="121"/>
      <c r="O245" s="121"/>
      <c r="P245" s="121"/>
      <c r="Q245" s="112">
        <v>80150010001</v>
      </c>
      <c r="R245" s="109">
        <v>80150010106</v>
      </c>
      <c r="S245"/>
    </row>
    <row r="246" spans="1:32" s="102" customFormat="1" ht="13.5" customHeight="1" x14ac:dyDescent="0.25">
      <c r="A246" s="131"/>
      <c r="B246" s="132" t="s">
        <v>399</v>
      </c>
      <c r="C246" s="490"/>
      <c r="F246" s="133"/>
      <c r="G246" s="133"/>
      <c r="I246" s="134"/>
      <c r="J246" s="135"/>
      <c r="K246" s="135"/>
      <c r="L246" s="135"/>
      <c r="M246" s="135"/>
      <c r="N246" s="135"/>
      <c r="O246" s="135"/>
      <c r="P246" s="135"/>
      <c r="Q246" s="135"/>
      <c r="R246" s="136"/>
      <c r="T246"/>
      <c r="U246"/>
      <c r="V246"/>
      <c r="W246"/>
      <c r="X246"/>
      <c r="Y246"/>
      <c r="Z246"/>
      <c r="AA246" t="s">
        <v>1097</v>
      </c>
      <c r="AB246"/>
      <c r="AC246"/>
      <c r="AD246"/>
      <c r="AE246"/>
      <c r="AF246"/>
    </row>
    <row r="247" spans="1:32" ht="22.5" x14ac:dyDescent="0.2">
      <c r="A247" s="137" t="s">
        <v>400</v>
      </c>
      <c r="B247" s="138"/>
      <c r="C247" s="485"/>
      <c r="D247" s="139"/>
      <c r="E247" s="140"/>
      <c r="F247" s="141">
        <f>SUM(F8:F245)</f>
        <v>72.818999999999974</v>
      </c>
      <c r="G247" s="142">
        <f>SUM(G8:G245)</f>
        <v>385534</v>
      </c>
      <c r="J247" s="144"/>
      <c r="K247" s="145" t="s">
        <v>268</v>
      </c>
      <c r="L247" s="146">
        <f>SUM(L8:L245)</f>
        <v>0</v>
      </c>
      <c r="M247" s="146">
        <f>SUM(M8:M245)</f>
        <v>0</v>
      </c>
      <c r="N247" s="147"/>
      <c r="O247" s="145" t="s">
        <v>269</v>
      </c>
      <c r="P247" s="146">
        <f>SUM(P8:P245)</f>
        <v>59573.19</v>
      </c>
      <c r="Q247" s="147"/>
      <c r="R247" s="147"/>
      <c r="S247" s="628" t="s">
        <v>844</v>
      </c>
      <c r="T247" s="625" t="s">
        <v>1092</v>
      </c>
      <c r="U247" s="625" t="s">
        <v>1093</v>
      </c>
      <c r="V247" s="625" t="s">
        <v>1094</v>
      </c>
      <c r="W247" s="625" t="s">
        <v>1095</v>
      </c>
      <c r="X247" s="625" t="s">
        <v>1096</v>
      </c>
      <c r="Y247" s="627" t="s">
        <v>269</v>
      </c>
      <c r="Z247" s="102"/>
      <c r="AA247" s="625" t="s">
        <v>1092</v>
      </c>
      <c r="AB247" s="625" t="s">
        <v>1093</v>
      </c>
      <c r="AC247" s="625" t="s">
        <v>1094</v>
      </c>
      <c r="AD247" s="625" t="s">
        <v>1095</v>
      </c>
      <c r="AE247" s="625" t="s">
        <v>1096</v>
      </c>
      <c r="AF247" s="627" t="s">
        <v>269</v>
      </c>
    </row>
    <row r="248" spans="1:32" x14ac:dyDescent="0.2">
      <c r="A248" s="148" t="s">
        <v>1214</v>
      </c>
      <c r="B248" s="149"/>
      <c r="C248" s="485"/>
      <c r="D248" s="139"/>
      <c r="E248" s="140"/>
      <c r="F248" s="163">
        <f>SUMIFS(F8:F245,H8:H245,"dubultā virsma")</f>
        <v>8.7050000000000001</v>
      </c>
      <c r="G248" s="192">
        <f>SUMIFS(G211:G246,H211:H246,"dubultā virsma")</f>
        <v>3781</v>
      </c>
      <c r="J248" s="144"/>
      <c r="K248" s="675"/>
      <c r="L248" s="676"/>
      <c r="M248" s="676"/>
      <c r="N248" s="147"/>
      <c r="O248" s="675"/>
      <c r="P248" s="676"/>
      <c r="Q248" s="147"/>
      <c r="R248" s="147"/>
      <c r="S248" s="628"/>
      <c r="T248" s="625" t="s">
        <v>231</v>
      </c>
      <c r="U248" s="625" t="s">
        <v>231</v>
      </c>
      <c r="V248" s="625" t="s">
        <v>231</v>
      </c>
      <c r="W248" s="625" t="s">
        <v>231</v>
      </c>
      <c r="X248" s="625" t="s">
        <v>231</v>
      </c>
      <c r="Y248" s="626" t="s">
        <v>231</v>
      </c>
      <c r="Z248" s="628"/>
      <c r="AA248" s="625" t="s">
        <v>231</v>
      </c>
      <c r="AB248" s="625" t="s">
        <v>231</v>
      </c>
      <c r="AC248" s="625" t="s">
        <v>231</v>
      </c>
      <c r="AD248" s="625" t="s">
        <v>231</v>
      </c>
      <c r="AE248" s="625" t="s">
        <v>231</v>
      </c>
      <c r="AF248" s="626" t="s">
        <v>231</v>
      </c>
    </row>
    <row r="249" spans="1:32" ht="12.75" customHeight="1" x14ac:dyDescent="0.2">
      <c r="A249" s="148" t="s">
        <v>270</v>
      </c>
      <c r="B249" s="149"/>
      <c r="C249" s="486"/>
      <c r="D249" s="150"/>
      <c r="E249" s="151"/>
      <c r="F249" s="152">
        <f>SUMIFS(F8:F245,H8:H245,"melnais")</f>
        <v>40.740000000000016</v>
      </c>
      <c r="G249" s="153">
        <f>SUMIFS(G8:G245,H8:H245,"melnais")</f>
        <v>245023</v>
      </c>
      <c r="J249" s="147"/>
      <c r="K249" s="136"/>
      <c r="L249" s="156"/>
      <c r="M249" s="156"/>
      <c r="N249" s="147"/>
      <c r="O249" s="147"/>
      <c r="P249" s="147"/>
      <c r="Q249" s="147"/>
      <c r="R249" s="147"/>
      <c r="S249" s="616" t="s">
        <v>847</v>
      </c>
      <c r="T249" s="614">
        <f>SUMIFS(F8:F245,C8:C245,"A",H8:H245,"melnais")</f>
        <v>0</v>
      </c>
      <c r="U249" s="614">
        <f>SUMIFS(F8:F245,C8:C245,"A",H8:H245,"dubultā virsma")</f>
        <v>0</v>
      </c>
      <c r="V249" s="614">
        <f>SUMIFS(F8:F245,C8:C245,"A",H8:H245,"bruģis")</f>
        <v>0</v>
      </c>
      <c r="W249" s="614">
        <f>SUMIFS(F8:F245,C8:C245,"A",H8:H245,"grants")</f>
        <v>0</v>
      </c>
      <c r="X249" s="614">
        <f>SUMIFS(F8:F245,C8:C245,"A",H8:H245,"cits segums")</f>
        <v>0</v>
      </c>
      <c r="Y249" s="614">
        <f>SUM(T249:X249)</f>
        <v>0</v>
      </c>
      <c r="Z249" s="616" t="s">
        <v>847</v>
      </c>
      <c r="AA249" s="614">
        <f>SUMIFS(F8:F245,C8:C245,"A",H8:H245,"melnais", Q8:Q245,"Nepiederošs")</f>
        <v>0</v>
      </c>
      <c r="AB249" s="614">
        <f>SUMIFS(F8:F245,C8:C245,"A",H8:H245,"dubultā virsma", Q8:Q245,"Nepiederošs")</f>
        <v>0</v>
      </c>
      <c r="AC249" s="614">
        <f>SUMIFS(F8:F245,C8:C245,"A",H8:H245,"bruģis", Q8:Q245,"Nepiederošs")</f>
        <v>0</v>
      </c>
      <c r="AD249" s="614">
        <f>SUMIFS(F8:F245,C8:C245,"A",H8:H245,"grants", Q8:Q245,"Nepiederošs")</f>
        <v>0</v>
      </c>
      <c r="AE249" s="614">
        <f>SUMIFS(F8:F245,C8:C245,"A",H8:H245,"cits segums", Q8:Q245,"Nepiederošs")</f>
        <v>0</v>
      </c>
      <c r="AF249" s="614">
        <f>SUM(AA249:AE249)</f>
        <v>0</v>
      </c>
    </row>
    <row r="250" spans="1:32" ht="12.75" customHeight="1" x14ac:dyDescent="0.2">
      <c r="A250" s="148" t="s">
        <v>271</v>
      </c>
      <c r="B250" s="149"/>
      <c r="C250" s="486"/>
      <c r="D250" s="150"/>
      <c r="E250" s="151"/>
      <c r="F250" s="157">
        <f>SUMIFS(F8:F245,H8:H245,"bruģis")</f>
        <v>3.6080000000000001</v>
      </c>
      <c r="G250" s="158">
        <f>SUMIFS(G8:G245,H8:H245,"bruģis")</f>
        <v>19546</v>
      </c>
      <c r="J250" s="159"/>
      <c r="K250" s="160"/>
      <c r="L250" s="160"/>
      <c r="M250" s="160"/>
      <c r="N250" s="161"/>
      <c r="O250" s="147"/>
      <c r="P250" s="147"/>
      <c r="Q250" s="147"/>
      <c r="R250" s="147"/>
      <c r="S250" s="617" t="s">
        <v>848</v>
      </c>
      <c r="T250" s="614">
        <f>SUMIFS(F8:F245,C8:C245,"B",H8:H245,"melnais")</f>
        <v>26.027999999999999</v>
      </c>
      <c r="U250" s="614">
        <f>SUMIFS(F8:F245,C8:C245,"B",H8:H245,"dubultā virsma")</f>
        <v>0</v>
      </c>
      <c r="V250" s="614">
        <f>SUMIFS(F8:F245,C8:C245,"B",H8:H245,"bruģis")</f>
        <v>0.13</v>
      </c>
      <c r="W250" s="614">
        <f>SUMIFS(F8:F245,C8:C245,"B",H8:H245,"grants")</f>
        <v>0.46500000000000002</v>
      </c>
      <c r="X250" s="614">
        <f>SUMIFS(F8:F245,C8:C245,"B",H8:H245,"cits segums")</f>
        <v>0</v>
      </c>
      <c r="Y250" s="614">
        <f t="shared" ref="Y250:Y252" si="10">SUM(T250:X250)</f>
        <v>26.622999999999998</v>
      </c>
      <c r="Z250" s="617" t="s">
        <v>848</v>
      </c>
      <c r="AA250" s="614">
        <f>SUMIFS(F8:F245,C8:C245,"B",H8:H245,"melnais", Q8:Q245,"Nepiederošs")</f>
        <v>0</v>
      </c>
      <c r="AB250" s="614">
        <f>SUMIFS(F8:F245,C8:C245,"B",H8:H245,"dubultā virsma", Q8:Q245,"Nepiederošs")</f>
        <v>0</v>
      </c>
      <c r="AC250" s="614">
        <f>SUMIFS(F8:F245,C8:C245,"B",H8:H245,"bruģis", Q8:Q245,"Nepiederošs")</f>
        <v>0</v>
      </c>
      <c r="AD250" s="614">
        <f>SUMIFS(F8:F245,C8:C245,"B",H8:H245,"grants", Q8:Q245,"Nepiederošs")</f>
        <v>0</v>
      </c>
      <c r="AE250" s="614">
        <f>SUMIFS(F8:F245,C8:C245,"B",H8:H245,"cits segums", Q8:Q245,"Nepiederošs")</f>
        <v>0</v>
      </c>
      <c r="AF250" s="614">
        <f t="shared" ref="AF250:AF252" si="11">SUM(AA250:AE250)</f>
        <v>0</v>
      </c>
    </row>
    <row r="251" spans="1:32" ht="12.75" customHeight="1" x14ac:dyDescent="0.2">
      <c r="A251" s="148" t="s">
        <v>272</v>
      </c>
      <c r="B251" s="149"/>
      <c r="C251" s="486"/>
      <c r="D251" s="150"/>
      <c r="E251" s="151"/>
      <c r="F251" s="152">
        <f>SUMIFS(F8:F245,H8:H245,"grants")</f>
        <v>19.690999999999999</v>
      </c>
      <c r="G251" s="153">
        <f>SUMIFS(G8:G245,H8:H245,"grants")</f>
        <v>83223</v>
      </c>
      <c r="J251" s="159"/>
      <c r="K251" s="160"/>
      <c r="L251" s="160"/>
      <c r="M251" s="160"/>
      <c r="N251" s="161"/>
      <c r="O251" s="147"/>
      <c r="P251" s="147"/>
      <c r="Q251" s="147"/>
      <c r="R251" s="147"/>
      <c r="S251" s="615" t="s">
        <v>845</v>
      </c>
      <c r="T251" s="614">
        <f>SUMIFS(F8:F245,C8:C245,"C",H8:H245,"melnais")</f>
        <v>2.5549999999999997</v>
      </c>
      <c r="U251" s="614">
        <f>SUMIFS(F8:F245,C8:C245,"C",H8:H245,"dubultā virsma")</f>
        <v>0</v>
      </c>
      <c r="V251" s="614">
        <f>SUMIFS(F8:F245,C8:C245,"C",H8:H245,"bruģis")</f>
        <v>0</v>
      </c>
      <c r="W251" s="614">
        <f>SUMIFS(F8:F245,C8:C245,"C",H8:H245,"grants")</f>
        <v>0.67999999999999994</v>
      </c>
      <c r="X251" s="614">
        <f>SUMIFS(F8:F245,C8:C245,"C",H8:H245,"cits segums")</f>
        <v>0</v>
      </c>
      <c r="Y251" s="614">
        <f t="shared" si="10"/>
        <v>3.2349999999999994</v>
      </c>
      <c r="Z251" s="615" t="s">
        <v>845</v>
      </c>
      <c r="AA251" s="614">
        <f>SUMIFS(F8:F245,C8:C245,"C",H8:H245,"melnais", Q8:Q245,"Nepiederošs")</f>
        <v>0</v>
      </c>
      <c r="AB251" s="614">
        <f>SUMIFS(F8:F245,C8:C245,"C",H8:H245,"dubultā virsma", Q8:Q245,"Nepiederošs")</f>
        <v>0</v>
      </c>
      <c r="AC251" s="614">
        <f>SUMIFS(F8:F245,C8:C245,"C",H8:H245,"bruģis", Q8:Q245,"Nepiederošs")</f>
        <v>0</v>
      </c>
      <c r="AD251" s="614">
        <f>SUMIFS(F8:F245,C8:C245,"C",H8:H245,"grants", Q8:Q245,"Nepiederošs")</f>
        <v>0</v>
      </c>
      <c r="AE251" s="614">
        <f>SUMIFS(F8:F245,C8:C245,"C",H8:H245,"cits segums", Q8:Q245,"Nepiederošs")</f>
        <v>0</v>
      </c>
      <c r="AF251" s="614">
        <f t="shared" si="11"/>
        <v>0</v>
      </c>
    </row>
    <row r="252" spans="1:32" ht="12.75" customHeight="1" x14ac:dyDescent="0.2">
      <c r="A252" s="148" t="s">
        <v>401</v>
      </c>
      <c r="B252" s="149"/>
      <c r="C252" s="486"/>
      <c r="D252" s="150"/>
      <c r="E252" s="151"/>
      <c r="F252" s="163">
        <f>SUMIFS(F8:F245,H8:H245,"cits segums")</f>
        <v>7.4999999999999997E-2</v>
      </c>
      <c r="G252" s="158">
        <f>SUMIFS(G8:G245,H8:H245,"cits segums")</f>
        <v>225</v>
      </c>
      <c r="J252" s="166"/>
      <c r="K252" s="160"/>
      <c r="L252" s="160"/>
      <c r="M252" s="160"/>
      <c r="N252" s="161"/>
      <c r="O252" s="147"/>
      <c r="P252" s="147"/>
      <c r="Q252" s="147"/>
      <c r="R252" s="147"/>
      <c r="S252" s="616" t="s">
        <v>846</v>
      </c>
      <c r="T252" s="614">
        <f>SUMIFS(F8:F245,C8:C245,"D",H8:H245,"melnais")</f>
        <v>12.157</v>
      </c>
      <c r="U252" s="614">
        <f>SUMIFS(F8:F245,C8:C245,"D",H8:H245,"dubultā virsma")</f>
        <v>8.7050000000000001</v>
      </c>
      <c r="V252" s="614">
        <f>SUMIFS(F8:F245,C8:C245,"D",H8:H245,"bruģis")</f>
        <v>3.4780000000000002</v>
      </c>
      <c r="W252" s="614">
        <f>SUMIFS(F8:F245,C8:C245,"D",H8:H245,"grants")</f>
        <v>18.545999999999989</v>
      </c>
      <c r="X252" s="614">
        <f>SUMIFS(F8:F245,C8:C245,"D",H8:H245,"cits segums")</f>
        <v>7.4999999999999997E-2</v>
      </c>
      <c r="Y252" s="614">
        <f t="shared" si="10"/>
        <v>42.960999999999999</v>
      </c>
      <c r="Z252" s="616" t="s">
        <v>846</v>
      </c>
      <c r="AA252" s="614">
        <f>SUMIFS(F8:F245,C8:C245,"D",H8:H245,"melnais", Q8:Q245,"Nepiederošs")</f>
        <v>0</v>
      </c>
      <c r="AB252" s="614">
        <f>SUMIFS(F8:F245,C8:C245,"D",H8:H245,"dubultā virsma", Q8:Q245,"Nepiederošs")</f>
        <v>0</v>
      </c>
      <c r="AC252" s="614">
        <f>SUMIFS(F8:F245,C8:C245,"D",H8:H245,"bruģis", Q8:Q245,"Nepiederošs")</f>
        <v>0</v>
      </c>
      <c r="AD252" s="614">
        <f>SUMIFS(F8:F245,C8:C245,"D",H8:H245,"grants", Q8:Q245,"Nepiederošs")</f>
        <v>0</v>
      </c>
      <c r="AE252" s="614">
        <f>SUMIFS(F8:F245,C8:C245,"D",H8:H245,"cits segums", Q8:Q245,"Nepiederošs")</f>
        <v>0</v>
      </c>
      <c r="AF252" s="614">
        <f t="shared" si="11"/>
        <v>0</v>
      </c>
    </row>
    <row r="253" spans="1:32" ht="12.75" customHeight="1" x14ac:dyDescent="0.25">
      <c r="A253" s="193"/>
      <c r="B253" s="193"/>
      <c r="C253" s="33"/>
      <c r="D253" s="38"/>
      <c r="E253" s="38"/>
      <c r="F253" s="194"/>
      <c r="G253" s="203"/>
      <c r="H253" s="164"/>
      <c r="I253" s="165"/>
      <c r="J253" s="166"/>
      <c r="K253" s="160"/>
      <c r="L253" s="160"/>
      <c r="M253" s="160"/>
      <c r="N253" s="161"/>
      <c r="O253" s="147"/>
      <c r="P253" s="147"/>
      <c r="Q253" s="147"/>
      <c r="R253" s="147"/>
      <c r="S253"/>
      <c r="T253" s="629">
        <f>SUM(T249:T252)</f>
        <v>40.739999999999995</v>
      </c>
      <c r="U253" s="629">
        <f t="shared" ref="U253" si="12">SUM(U249:U252)</f>
        <v>8.7050000000000001</v>
      </c>
      <c r="V253" s="629">
        <f t="shared" ref="V253" si="13">SUM(V249:V252)</f>
        <v>3.6080000000000001</v>
      </c>
      <c r="W253" s="629">
        <f t="shared" ref="W253" si="14">SUM(W249:W252)</f>
        <v>19.690999999999988</v>
      </c>
      <c r="X253" s="629">
        <f t="shared" ref="X253" si="15">SUM(X249:X252)</f>
        <v>7.4999999999999997E-2</v>
      </c>
      <c r="Y253" s="629">
        <f t="shared" ref="Y253" si="16">SUM(Y249:Y252)</f>
        <v>72.818999999999988</v>
      </c>
      <c r="Z253"/>
      <c r="AA253" s="629">
        <f>SUM(AA249:AA252)</f>
        <v>0</v>
      </c>
      <c r="AB253" s="629">
        <f t="shared" ref="AB253" si="17">SUM(AB249:AB252)</f>
        <v>0</v>
      </c>
      <c r="AC253" s="629">
        <f>SUM(AC249:AC252)</f>
        <v>0</v>
      </c>
      <c r="AD253" s="629">
        <f t="shared" ref="AD253" si="18">SUM(AD249:AD252)</f>
        <v>0</v>
      </c>
      <c r="AE253" s="629">
        <f t="shared" ref="AE253" si="19">SUM(AE249:AE252)</f>
        <v>0</v>
      </c>
      <c r="AF253" s="629">
        <f t="shared" ref="AF253" si="20">SUM(AF249:AF252)</f>
        <v>0</v>
      </c>
    </row>
    <row r="254" spans="1:32" s="38" customFormat="1" ht="15" customHeight="1" x14ac:dyDescent="0.25">
      <c r="A254" s="33"/>
      <c r="C254" s="487"/>
      <c r="D254" s="813" t="s">
        <v>1063</v>
      </c>
      <c r="E254" s="781"/>
      <c r="F254" s="781"/>
      <c r="G254" s="781"/>
      <c r="H254" s="781"/>
      <c r="I254" s="781"/>
      <c r="J254" s="781"/>
      <c r="K254" s="781"/>
      <c r="L254" s="781"/>
      <c r="M254" s="781"/>
      <c r="N254" s="781"/>
      <c r="O254" s="781"/>
      <c r="P254" s="781"/>
      <c r="Q254" s="30"/>
      <c r="R254" s="37"/>
    </row>
    <row r="255" spans="1:32" ht="12.75" customHeight="1" x14ac:dyDescent="0.2">
      <c r="A255" s="818" t="s">
        <v>244</v>
      </c>
      <c r="B255" s="825" t="s">
        <v>388</v>
      </c>
      <c r="C255" s="482"/>
      <c r="D255" s="826" t="s">
        <v>246</v>
      </c>
      <c r="E255" s="827"/>
      <c r="F255" s="827"/>
      <c r="G255" s="827"/>
      <c r="H255" s="827"/>
      <c r="I255" s="827"/>
      <c r="J255" s="827"/>
      <c r="K255" s="827"/>
      <c r="L255" s="827"/>
      <c r="M255" s="827"/>
      <c r="N255" s="827"/>
      <c r="O255" s="827"/>
      <c r="P255" s="828"/>
      <c r="Q255" s="821" t="s">
        <v>247</v>
      </c>
      <c r="R255" s="822"/>
    </row>
    <row r="256" spans="1:32" ht="12.75" customHeight="1" x14ac:dyDescent="0.2">
      <c r="A256" s="818"/>
      <c r="B256" s="825"/>
      <c r="C256" s="410"/>
      <c r="D256" s="816" t="s">
        <v>389</v>
      </c>
      <c r="E256" s="816"/>
      <c r="F256" s="816"/>
      <c r="G256" s="816"/>
      <c r="H256" s="816"/>
      <c r="I256" s="814" t="s">
        <v>249</v>
      </c>
      <c r="J256" s="814"/>
      <c r="K256" s="814"/>
      <c r="L256" s="814"/>
      <c r="M256" s="814"/>
      <c r="N256" s="814"/>
      <c r="O256" s="814"/>
      <c r="P256" s="815" t="s">
        <v>250</v>
      </c>
      <c r="Q256" s="823"/>
      <c r="R256" s="824"/>
    </row>
    <row r="257" spans="1:18" ht="15.2" customHeight="1" x14ac:dyDescent="0.2">
      <c r="A257" s="818"/>
      <c r="B257" s="825"/>
      <c r="C257" s="410"/>
      <c r="D257" s="816" t="s">
        <v>251</v>
      </c>
      <c r="E257" s="816"/>
      <c r="F257" s="817" t="s">
        <v>252</v>
      </c>
      <c r="G257" s="817" t="s">
        <v>257</v>
      </c>
      <c r="H257" s="818" t="s">
        <v>253</v>
      </c>
      <c r="I257" s="819" t="s">
        <v>254</v>
      </c>
      <c r="J257" s="814" t="s">
        <v>255</v>
      </c>
      <c r="K257" s="814"/>
      <c r="L257" s="820" t="s">
        <v>256</v>
      </c>
      <c r="M257" s="820" t="s">
        <v>257</v>
      </c>
      <c r="N257" s="820" t="s">
        <v>258</v>
      </c>
      <c r="O257" s="820" t="s">
        <v>259</v>
      </c>
      <c r="P257" s="809"/>
      <c r="Q257" s="809" t="s">
        <v>260</v>
      </c>
      <c r="R257" s="811" t="s">
        <v>261</v>
      </c>
    </row>
    <row r="258" spans="1:18" ht="33.75" customHeight="1" x14ac:dyDescent="0.2">
      <c r="A258" s="818"/>
      <c r="B258" s="825"/>
      <c r="C258" s="432" t="s">
        <v>844</v>
      </c>
      <c r="D258" s="95" t="s">
        <v>262</v>
      </c>
      <c r="E258" s="95" t="s">
        <v>263</v>
      </c>
      <c r="F258" s="817"/>
      <c r="G258" s="817"/>
      <c r="H258" s="818"/>
      <c r="I258" s="819"/>
      <c r="J258" s="96" t="s">
        <v>231</v>
      </c>
      <c r="K258" s="96" t="s">
        <v>264</v>
      </c>
      <c r="L258" s="820"/>
      <c r="M258" s="820"/>
      <c r="N258" s="820"/>
      <c r="O258" s="820"/>
      <c r="P258" s="810"/>
      <c r="Q258" s="810"/>
      <c r="R258" s="812"/>
    </row>
    <row r="259" spans="1:18" s="99" customFormat="1" ht="12" customHeight="1" x14ac:dyDescent="0.25">
      <c r="A259" s="97">
        <v>1</v>
      </c>
      <c r="B259" s="97">
        <v>2</v>
      </c>
      <c r="C259" s="97"/>
      <c r="D259" s="97">
        <v>3</v>
      </c>
      <c r="E259" s="97">
        <v>4</v>
      </c>
      <c r="F259" s="97">
        <v>5</v>
      </c>
      <c r="G259" s="97">
        <v>6</v>
      </c>
      <c r="H259" s="97">
        <v>7</v>
      </c>
      <c r="I259" s="98">
        <v>8</v>
      </c>
      <c r="J259" s="98">
        <v>9</v>
      </c>
      <c r="K259" s="98">
        <v>10</v>
      </c>
      <c r="L259" s="98">
        <v>11</v>
      </c>
      <c r="M259" s="98">
        <v>12</v>
      </c>
      <c r="N259" s="98">
        <v>13</v>
      </c>
      <c r="O259" s="98">
        <v>14</v>
      </c>
      <c r="P259" s="98">
        <v>15</v>
      </c>
      <c r="Q259" s="98">
        <v>16</v>
      </c>
      <c r="R259" s="97">
        <v>17</v>
      </c>
    </row>
    <row r="260" spans="1:18" x14ac:dyDescent="0.2">
      <c r="A260" s="167">
        <v>1</v>
      </c>
      <c r="B260" s="168" t="s">
        <v>163</v>
      </c>
      <c r="C260" s="175" t="s">
        <v>846</v>
      </c>
      <c r="D260" s="197">
        <v>0</v>
      </c>
      <c r="E260" s="197">
        <f>D260+F260</f>
        <v>9.1999999999999998E-2</v>
      </c>
      <c r="F260" s="197">
        <v>9.1999999999999998E-2</v>
      </c>
      <c r="G260" s="251">
        <v>276</v>
      </c>
      <c r="H260" s="177" t="s">
        <v>0</v>
      </c>
      <c r="I260" s="177"/>
      <c r="J260" s="177"/>
      <c r="K260" s="177"/>
      <c r="L260" s="177"/>
      <c r="M260" s="177"/>
      <c r="N260" s="177"/>
      <c r="O260" s="177"/>
      <c r="P260" s="177"/>
      <c r="Q260" s="175">
        <v>80940040468</v>
      </c>
      <c r="R260" s="175">
        <v>80940040468</v>
      </c>
    </row>
    <row r="261" spans="1:18" x14ac:dyDescent="0.2">
      <c r="A261" s="171"/>
      <c r="B261" s="172"/>
      <c r="C261" s="175" t="s">
        <v>846</v>
      </c>
      <c r="D261" s="197">
        <f>E260</f>
        <v>9.1999999999999998E-2</v>
      </c>
      <c r="E261" s="197">
        <f t="shared" ref="E261:E290" si="21">D261+F261</f>
        <v>0.184</v>
      </c>
      <c r="F261" s="197">
        <v>9.1999999999999998E-2</v>
      </c>
      <c r="G261" s="251">
        <v>276</v>
      </c>
      <c r="H261" s="177" t="s">
        <v>0</v>
      </c>
      <c r="I261" s="177"/>
      <c r="J261" s="177"/>
      <c r="K261" s="177"/>
      <c r="L261" s="177"/>
      <c r="M261" s="177"/>
      <c r="N261" s="177"/>
      <c r="O261" s="177"/>
      <c r="P261" s="177"/>
      <c r="Q261" s="175">
        <v>80940040103</v>
      </c>
      <c r="R261" s="175">
        <v>80940040765</v>
      </c>
    </row>
    <row r="262" spans="1:18" x14ac:dyDescent="0.2">
      <c r="A262" s="171"/>
      <c r="B262" s="172"/>
      <c r="C262" s="175" t="s">
        <v>846</v>
      </c>
      <c r="D262" s="197">
        <f t="shared" ref="D262:D274" si="22">E261</f>
        <v>0.184</v>
      </c>
      <c r="E262" s="197">
        <f t="shared" si="21"/>
        <v>0.27500000000000002</v>
      </c>
      <c r="F262" s="197">
        <v>9.0999999999999998E-2</v>
      </c>
      <c r="G262" s="251">
        <v>273</v>
      </c>
      <c r="H262" s="177" t="s">
        <v>0</v>
      </c>
      <c r="I262" s="177"/>
      <c r="J262" s="177"/>
      <c r="K262" s="177"/>
      <c r="L262" s="177"/>
      <c r="M262" s="177"/>
      <c r="N262" s="177"/>
      <c r="O262" s="177"/>
      <c r="P262" s="177"/>
      <c r="Q262" s="175">
        <v>80940040089</v>
      </c>
      <c r="R262" s="175">
        <v>80940040764</v>
      </c>
    </row>
    <row r="263" spans="1:18" x14ac:dyDescent="0.2">
      <c r="A263" s="173"/>
      <c r="B263" s="174"/>
      <c r="C263" s="175" t="s">
        <v>846</v>
      </c>
      <c r="D263" s="197">
        <f t="shared" si="22"/>
        <v>0.27500000000000002</v>
      </c>
      <c r="E263" s="197">
        <f t="shared" si="21"/>
        <v>0.33</v>
      </c>
      <c r="F263" s="197">
        <v>5.5E-2</v>
      </c>
      <c r="G263" s="251">
        <v>165</v>
      </c>
      <c r="H263" s="177" t="s">
        <v>0</v>
      </c>
      <c r="I263" s="177"/>
      <c r="J263" s="177"/>
      <c r="K263" s="177"/>
      <c r="L263" s="177"/>
      <c r="M263" s="177"/>
      <c r="N263" s="177"/>
      <c r="O263" s="177"/>
      <c r="P263" s="177"/>
      <c r="Q263" s="175">
        <v>80940040460</v>
      </c>
      <c r="R263" s="175">
        <v>80940040460</v>
      </c>
    </row>
    <row r="264" spans="1:18" x14ac:dyDescent="0.2">
      <c r="A264" s="111">
        <v>2</v>
      </c>
      <c r="B264" s="101" t="s">
        <v>164</v>
      </c>
      <c r="C264" s="175" t="s">
        <v>846</v>
      </c>
      <c r="D264" s="108">
        <v>0</v>
      </c>
      <c r="E264" s="108">
        <f t="shared" si="21"/>
        <v>0.54</v>
      </c>
      <c r="F264" s="108">
        <v>0.54</v>
      </c>
      <c r="G264" s="385">
        <v>2430</v>
      </c>
      <c r="H264" s="110" t="s">
        <v>0</v>
      </c>
      <c r="I264" s="110"/>
      <c r="J264" s="110"/>
      <c r="K264" s="110"/>
      <c r="L264" s="110"/>
      <c r="M264" s="110"/>
      <c r="N264" s="110"/>
      <c r="O264" s="110"/>
      <c r="P264" s="110"/>
      <c r="Q264" s="382">
        <v>80940040688</v>
      </c>
      <c r="R264" s="382">
        <v>80940040688</v>
      </c>
    </row>
    <row r="265" spans="1:18" x14ac:dyDescent="0.2">
      <c r="A265" s="175">
        <v>3</v>
      </c>
      <c r="B265" s="176" t="s">
        <v>165</v>
      </c>
      <c r="C265" s="175" t="s">
        <v>846</v>
      </c>
      <c r="D265" s="197">
        <v>0</v>
      </c>
      <c r="E265" s="197">
        <v>0.41099999999999998</v>
      </c>
      <c r="F265" s="197">
        <v>0.41099999999999998</v>
      </c>
      <c r="G265" s="251">
        <v>1693</v>
      </c>
      <c r="H265" s="110" t="s">
        <v>1213</v>
      </c>
      <c r="I265" s="177"/>
      <c r="J265" s="177"/>
      <c r="K265" s="177"/>
      <c r="L265" s="177"/>
      <c r="M265" s="177"/>
      <c r="N265" s="177"/>
      <c r="O265" s="177"/>
      <c r="P265" s="177"/>
      <c r="Q265" s="175">
        <v>80940040686</v>
      </c>
      <c r="R265" s="175">
        <v>80940040686</v>
      </c>
    </row>
    <row r="266" spans="1:18" x14ac:dyDescent="0.2">
      <c r="A266" s="167">
        <v>4</v>
      </c>
      <c r="B266" s="168" t="s">
        <v>166</v>
      </c>
      <c r="C266" s="175" t="s">
        <v>846</v>
      </c>
      <c r="D266" s="197">
        <v>0</v>
      </c>
      <c r="E266" s="197">
        <f t="shared" si="21"/>
        <v>0.40500000000000003</v>
      </c>
      <c r="F266" s="197">
        <v>0.40500000000000003</v>
      </c>
      <c r="G266" s="251">
        <v>2025</v>
      </c>
      <c r="H266" s="110" t="s">
        <v>1213</v>
      </c>
      <c r="I266" s="177"/>
      <c r="J266" s="177"/>
      <c r="K266" s="177"/>
      <c r="L266" s="177"/>
      <c r="M266" s="177"/>
      <c r="N266" s="177"/>
      <c r="O266" s="177"/>
      <c r="P266" s="177"/>
      <c r="Q266" s="180">
        <v>80940040685</v>
      </c>
      <c r="R266" s="180">
        <v>80940040685</v>
      </c>
    </row>
    <row r="267" spans="1:18" x14ac:dyDescent="0.2">
      <c r="A267" s="173"/>
      <c r="B267" s="174"/>
      <c r="C267" s="175" t="s">
        <v>846</v>
      </c>
      <c r="D267" s="197">
        <f t="shared" si="22"/>
        <v>0.40500000000000003</v>
      </c>
      <c r="E267" s="197">
        <f t="shared" si="21"/>
        <v>0.43500000000000005</v>
      </c>
      <c r="F267" s="197">
        <v>0.03</v>
      </c>
      <c r="G267" s="251">
        <v>150</v>
      </c>
      <c r="H267" s="110" t="s">
        <v>1213</v>
      </c>
      <c r="I267" s="177"/>
      <c r="J267" s="177"/>
      <c r="K267" s="177"/>
      <c r="L267" s="177"/>
      <c r="M267" s="177"/>
      <c r="N267" s="177"/>
      <c r="O267" s="177"/>
      <c r="P267" s="177"/>
      <c r="Q267" s="175">
        <v>80940040452</v>
      </c>
      <c r="R267" s="175">
        <v>80940040452</v>
      </c>
    </row>
    <row r="268" spans="1:18" x14ac:dyDescent="0.2">
      <c r="A268" s="175">
        <v>5</v>
      </c>
      <c r="B268" s="176" t="s">
        <v>167</v>
      </c>
      <c r="C268" s="175" t="s">
        <v>846</v>
      </c>
      <c r="D268" s="197">
        <v>0</v>
      </c>
      <c r="E268" s="197">
        <f t="shared" si="21"/>
        <v>0.25</v>
      </c>
      <c r="F268" s="197">
        <v>0.25</v>
      </c>
      <c r="G268" s="251">
        <v>750</v>
      </c>
      <c r="H268" s="177" t="s">
        <v>0</v>
      </c>
      <c r="I268" s="177"/>
      <c r="J268" s="177"/>
      <c r="K268" s="177"/>
      <c r="L268" s="177"/>
      <c r="M268" s="177"/>
      <c r="N268" s="177"/>
      <c r="O268" s="177"/>
      <c r="P268" s="177"/>
      <c r="Q268" s="175">
        <v>80940040981</v>
      </c>
      <c r="R268" s="178">
        <v>80940040981</v>
      </c>
    </row>
    <row r="269" spans="1:18" x14ac:dyDescent="0.2">
      <c r="A269" s="167">
        <v>6</v>
      </c>
      <c r="B269" s="168" t="s">
        <v>168</v>
      </c>
      <c r="C269" s="175" t="s">
        <v>846</v>
      </c>
      <c r="D269" s="197">
        <v>0</v>
      </c>
      <c r="E269" s="197">
        <f t="shared" si="21"/>
        <v>0.32300000000000001</v>
      </c>
      <c r="F269" s="197">
        <v>0.32300000000000001</v>
      </c>
      <c r="G269" s="251">
        <v>2100</v>
      </c>
      <c r="H269" s="177" t="s">
        <v>4</v>
      </c>
      <c r="I269" s="177"/>
      <c r="J269" s="177"/>
      <c r="K269" s="177"/>
      <c r="L269" s="177"/>
      <c r="M269" s="177"/>
      <c r="N269" s="177"/>
      <c r="O269" s="177"/>
      <c r="P269" s="177"/>
      <c r="Q269" s="175">
        <v>80940040853</v>
      </c>
      <c r="R269" s="175">
        <v>80940040853</v>
      </c>
    </row>
    <row r="270" spans="1:18" x14ac:dyDescent="0.2">
      <c r="A270" s="171"/>
      <c r="B270" s="172"/>
      <c r="C270" s="175" t="s">
        <v>846</v>
      </c>
      <c r="D270" s="197">
        <f t="shared" si="22"/>
        <v>0.32300000000000001</v>
      </c>
      <c r="E270" s="197">
        <f t="shared" si="21"/>
        <v>0.437</v>
      </c>
      <c r="F270" s="197">
        <v>0.114</v>
      </c>
      <c r="G270" s="251">
        <v>399</v>
      </c>
      <c r="H270" s="177" t="s">
        <v>0</v>
      </c>
      <c r="I270" s="177"/>
      <c r="J270" s="177"/>
      <c r="K270" s="177"/>
      <c r="L270" s="177"/>
      <c r="M270" s="177"/>
      <c r="N270" s="177"/>
      <c r="O270" s="177"/>
      <c r="P270" s="177"/>
      <c r="Q270" s="175">
        <v>80940040853</v>
      </c>
      <c r="R270" s="175">
        <v>80940040853</v>
      </c>
    </row>
    <row r="271" spans="1:18" x14ac:dyDescent="0.2">
      <c r="A271" s="175">
        <v>7</v>
      </c>
      <c r="B271" s="176" t="s">
        <v>169</v>
      </c>
      <c r="C271" s="175" t="s">
        <v>846</v>
      </c>
      <c r="D271" s="197">
        <v>0</v>
      </c>
      <c r="E271" s="197">
        <f t="shared" si="21"/>
        <v>0.39500000000000002</v>
      </c>
      <c r="F271" s="197">
        <v>0.39500000000000002</v>
      </c>
      <c r="G271" s="251">
        <v>1580</v>
      </c>
      <c r="H271" s="177" t="s">
        <v>0</v>
      </c>
      <c r="I271" s="177"/>
      <c r="J271" s="177"/>
      <c r="K271" s="177"/>
      <c r="L271" s="177"/>
      <c r="M271" s="177"/>
      <c r="N271" s="177"/>
      <c r="O271" s="177"/>
      <c r="P271" s="177"/>
      <c r="Q271" s="175">
        <v>80940040692</v>
      </c>
      <c r="R271" s="175">
        <v>80940040692</v>
      </c>
    </row>
    <row r="272" spans="1:18" x14ac:dyDescent="0.2">
      <c r="A272" s="175">
        <v>8</v>
      </c>
      <c r="B272" s="176" t="s">
        <v>170</v>
      </c>
      <c r="C272" s="175" t="s">
        <v>846</v>
      </c>
      <c r="D272" s="197">
        <v>0</v>
      </c>
      <c r="E272" s="197">
        <f t="shared" si="21"/>
        <v>0.54</v>
      </c>
      <c r="F272" s="197">
        <v>0.54</v>
      </c>
      <c r="G272" s="251">
        <v>2160</v>
      </c>
      <c r="H272" s="177" t="s">
        <v>0</v>
      </c>
      <c r="I272" s="177"/>
      <c r="J272" s="177"/>
      <c r="K272" s="177"/>
      <c r="L272" s="177"/>
      <c r="M272" s="177"/>
      <c r="N272" s="177"/>
      <c r="O272" s="177"/>
      <c r="P272" s="177"/>
      <c r="Q272" s="180">
        <v>80940040689</v>
      </c>
      <c r="R272" s="180">
        <v>80940040689</v>
      </c>
    </row>
    <row r="273" spans="1:18" x14ac:dyDescent="0.2">
      <c r="A273" s="181">
        <v>9</v>
      </c>
      <c r="B273" s="168" t="s">
        <v>171</v>
      </c>
      <c r="C273" s="175" t="s">
        <v>845</v>
      </c>
      <c r="D273" s="197">
        <v>0</v>
      </c>
      <c r="E273" s="197">
        <f t="shared" si="21"/>
        <v>0.11</v>
      </c>
      <c r="F273" s="197">
        <v>0.11</v>
      </c>
      <c r="G273" s="251">
        <v>440</v>
      </c>
      <c r="H273" s="177" t="s">
        <v>325</v>
      </c>
      <c r="I273" s="177"/>
      <c r="J273" s="177"/>
      <c r="K273" s="177"/>
      <c r="L273" s="177"/>
      <c r="M273" s="177"/>
      <c r="N273" s="177"/>
      <c r="O273" s="177"/>
      <c r="P273" s="180"/>
      <c r="Q273" s="261" t="s">
        <v>421</v>
      </c>
      <c r="R273" s="178" t="s">
        <v>203</v>
      </c>
    </row>
    <row r="274" spans="1:18" x14ac:dyDescent="0.2">
      <c r="A274" s="182"/>
      <c r="B274" s="172"/>
      <c r="C274" s="175" t="s">
        <v>845</v>
      </c>
      <c r="D274" s="197">
        <f t="shared" si="22"/>
        <v>0.11</v>
      </c>
      <c r="E274" s="197">
        <f t="shared" si="21"/>
        <v>0.39499999999999996</v>
      </c>
      <c r="F274" s="197">
        <v>0.28499999999999998</v>
      </c>
      <c r="G274" s="251">
        <v>1710</v>
      </c>
      <c r="H274" s="177" t="s">
        <v>0</v>
      </c>
      <c r="I274" s="177"/>
      <c r="J274" s="177"/>
      <c r="K274" s="177"/>
      <c r="L274" s="177"/>
      <c r="M274" s="177"/>
      <c r="N274" s="177"/>
      <c r="O274" s="177"/>
      <c r="P274" s="180"/>
      <c r="Q274" s="261" t="s">
        <v>421</v>
      </c>
      <c r="R274" s="178" t="s">
        <v>203</v>
      </c>
    </row>
    <row r="275" spans="1:18" x14ac:dyDescent="0.2">
      <c r="A275" s="182"/>
      <c r="B275" s="172"/>
      <c r="C275" s="175" t="s">
        <v>845</v>
      </c>
      <c r="D275" s="197">
        <v>0.39500000000000002</v>
      </c>
      <c r="E275" s="197">
        <v>0.505</v>
      </c>
      <c r="F275" s="197">
        <v>0.11</v>
      </c>
      <c r="G275" s="251">
        <v>685</v>
      </c>
      <c r="H275" s="177" t="s">
        <v>4</v>
      </c>
      <c r="I275" s="177"/>
      <c r="J275" s="177"/>
      <c r="K275" s="177"/>
      <c r="L275" s="177"/>
      <c r="M275" s="177"/>
      <c r="N275" s="177"/>
      <c r="O275" s="177"/>
      <c r="P275" s="180"/>
      <c r="Q275" s="261" t="s">
        <v>421</v>
      </c>
      <c r="R275" s="178" t="s">
        <v>203</v>
      </c>
    </row>
    <row r="276" spans="1:18" x14ac:dyDescent="0.2">
      <c r="A276" s="182"/>
      <c r="B276" s="172"/>
      <c r="C276" s="175" t="s">
        <v>845</v>
      </c>
      <c r="D276" s="197">
        <v>0.505</v>
      </c>
      <c r="E276" s="197">
        <v>1.526</v>
      </c>
      <c r="F276" s="197">
        <v>0.63</v>
      </c>
      <c r="G276" s="251">
        <v>6110</v>
      </c>
      <c r="H276" s="177" t="s">
        <v>4</v>
      </c>
      <c r="I276" s="177"/>
      <c r="J276" s="177"/>
      <c r="K276" s="177"/>
      <c r="L276" s="177"/>
      <c r="M276" s="177"/>
      <c r="N276" s="177"/>
      <c r="O276" s="177"/>
      <c r="P276" s="180"/>
      <c r="Q276" s="261" t="s">
        <v>421</v>
      </c>
      <c r="R276" s="178" t="s">
        <v>203</v>
      </c>
    </row>
    <row r="277" spans="1:18" x14ac:dyDescent="0.2">
      <c r="A277" s="173"/>
      <c r="B277" s="174"/>
      <c r="C277" s="175" t="s">
        <v>845</v>
      </c>
      <c r="D277" s="197">
        <f>E276</f>
        <v>1.526</v>
      </c>
      <c r="E277" s="197">
        <v>2.0049999999999999</v>
      </c>
      <c r="F277" s="197">
        <f>E277-D277</f>
        <v>0.47899999999999987</v>
      </c>
      <c r="G277" s="251">
        <v>2874</v>
      </c>
      <c r="H277" s="177" t="s">
        <v>0</v>
      </c>
      <c r="I277" s="177"/>
      <c r="J277" s="177"/>
      <c r="K277" s="177"/>
      <c r="L277" s="177"/>
      <c r="M277" s="177"/>
      <c r="N277" s="177"/>
      <c r="O277" s="177"/>
      <c r="P277" s="175"/>
      <c r="Q277" s="261" t="s">
        <v>421</v>
      </c>
      <c r="R277" s="175" t="s">
        <v>203</v>
      </c>
    </row>
    <row r="278" spans="1:18" x14ac:dyDescent="0.2">
      <c r="A278" s="167">
        <v>10</v>
      </c>
      <c r="B278" s="168" t="s">
        <v>172</v>
      </c>
      <c r="C278" s="175" t="s">
        <v>845</v>
      </c>
      <c r="D278" s="197">
        <v>0</v>
      </c>
      <c r="E278" s="197">
        <f t="shared" si="21"/>
        <v>0.77</v>
      </c>
      <c r="F278" s="197">
        <v>0.77</v>
      </c>
      <c r="G278" s="251">
        <v>4848</v>
      </c>
      <c r="H278" s="177" t="s">
        <v>4</v>
      </c>
      <c r="I278" s="177"/>
      <c r="J278" s="177"/>
      <c r="K278" s="177"/>
      <c r="L278" s="177"/>
      <c r="M278" s="177"/>
      <c r="N278" s="177"/>
      <c r="O278" s="177"/>
      <c r="P278" s="390">
        <v>357</v>
      </c>
      <c r="Q278" s="261" t="s">
        <v>421</v>
      </c>
      <c r="R278" s="178" t="s">
        <v>202</v>
      </c>
    </row>
    <row r="279" spans="1:18" x14ac:dyDescent="0.2">
      <c r="A279" s="173"/>
      <c r="B279" s="174"/>
      <c r="C279" s="175" t="s">
        <v>845</v>
      </c>
      <c r="D279" s="197">
        <f>E278</f>
        <v>0.77</v>
      </c>
      <c r="E279" s="197">
        <f t="shared" si="21"/>
        <v>0.92500000000000004</v>
      </c>
      <c r="F279" s="197">
        <v>0.155</v>
      </c>
      <c r="G279" s="251">
        <v>698</v>
      </c>
      <c r="H279" s="177" t="s">
        <v>0</v>
      </c>
      <c r="I279" s="177"/>
      <c r="J279" s="177"/>
      <c r="K279" s="177"/>
      <c r="L279" s="177"/>
      <c r="M279" s="177"/>
      <c r="N279" s="177"/>
      <c r="O279" s="177"/>
      <c r="P279" s="175"/>
      <c r="Q279" s="261" t="s">
        <v>421</v>
      </c>
      <c r="R279" s="175" t="s">
        <v>202</v>
      </c>
    </row>
    <row r="280" spans="1:18" x14ac:dyDescent="0.2">
      <c r="A280" s="175">
        <v>11</v>
      </c>
      <c r="B280" s="176" t="s">
        <v>173</v>
      </c>
      <c r="C280" s="175" t="s">
        <v>846</v>
      </c>
      <c r="D280" s="197">
        <v>0</v>
      </c>
      <c r="E280" s="197">
        <f t="shared" si="21"/>
        <v>0.34</v>
      </c>
      <c r="F280" s="197">
        <v>0.34</v>
      </c>
      <c r="G280" s="251">
        <v>1360</v>
      </c>
      <c r="H280" s="177" t="s">
        <v>0</v>
      </c>
      <c r="I280" s="177"/>
      <c r="J280" s="177"/>
      <c r="K280" s="177"/>
      <c r="L280" s="177"/>
      <c r="M280" s="177"/>
      <c r="N280" s="177"/>
      <c r="O280" s="177"/>
      <c r="P280" s="177"/>
      <c r="Q280" s="175">
        <v>80940040691</v>
      </c>
      <c r="R280" s="178">
        <v>80940040691</v>
      </c>
    </row>
    <row r="281" spans="1:18" x14ac:dyDescent="0.2">
      <c r="A281" s="167">
        <v>12</v>
      </c>
      <c r="B281" s="168" t="s">
        <v>104</v>
      </c>
      <c r="C281" s="167" t="s">
        <v>846</v>
      </c>
      <c r="D281" s="197">
        <v>0.32500000000000001</v>
      </c>
      <c r="E281" s="197">
        <f t="shared" si="21"/>
        <v>0.88500000000000001</v>
      </c>
      <c r="F281" s="197">
        <v>0.56000000000000005</v>
      </c>
      <c r="G281" s="251">
        <v>3640</v>
      </c>
      <c r="H281" s="177" t="s">
        <v>0</v>
      </c>
      <c r="I281" s="177"/>
      <c r="J281" s="177"/>
      <c r="K281" s="177"/>
      <c r="L281" s="177"/>
      <c r="M281" s="177"/>
      <c r="N281" s="177"/>
      <c r="O281" s="177"/>
      <c r="P281" s="177"/>
      <c r="Q281" s="175">
        <v>80940040981</v>
      </c>
      <c r="R281" s="178">
        <v>80940040981</v>
      </c>
    </row>
    <row r="282" spans="1:18" ht="382.5" x14ac:dyDescent="0.2">
      <c r="A282" s="167">
        <v>13</v>
      </c>
      <c r="B282" s="247" t="s">
        <v>402</v>
      </c>
      <c r="C282" s="488" t="s">
        <v>846</v>
      </c>
      <c r="D282" s="219">
        <v>0</v>
      </c>
      <c r="E282" s="219">
        <v>0.77300000000000002</v>
      </c>
      <c r="F282" s="219">
        <v>0.77300000000000002</v>
      </c>
      <c r="G282" s="391">
        <v>3865</v>
      </c>
      <c r="H282" s="249" t="s">
        <v>4</v>
      </c>
      <c r="I282" s="177"/>
      <c r="J282" s="177"/>
      <c r="K282" s="177"/>
      <c r="L282" s="177"/>
      <c r="M282" s="177"/>
      <c r="N282" s="177"/>
      <c r="O282" s="177"/>
      <c r="P282" s="177"/>
      <c r="Q282" s="250" t="s">
        <v>420</v>
      </c>
      <c r="R282" s="250" t="s">
        <v>420</v>
      </c>
    </row>
    <row r="283" spans="1:18" x14ac:dyDescent="0.2">
      <c r="A283" s="175">
        <v>14</v>
      </c>
      <c r="B283" s="176" t="s">
        <v>175</v>
      </c>
      <c r="C283" s="175" t="s">
        <v>846</v>
      </c>
      <c r="D283" s="197">
        <v>0</v>
      </c>
      <c r="E283" s="197">
        <f t="shared" si="21"/>
        <v>0.185</v>
      </c>
      <c r="F283" s="197">
        <v>0.185</v>
      </c>
      <c r="G283" s="251">
        <v>555</v>
      </c>
      <c r="H283" s="177" t="s">
        <v>325</v>
      </c>
      <c r="I283" s="177"/>
      <c r="J283" s="177"/>
      <c r="K283" s="177"/>
      <c r="L283" s="177"/>
      <c r="M283" s="177"/>
      <c r="N283" s="177"/>
      <c r="O283" s="177"/>
      <c r="P283" s="177"/>
      <c r="Q283" s="175">
        <v>80940040302</v>
      </c>
      <c r="R283" s="175">
        <v>80940040635</v>
      </c>
    </row>
    <row r="284" spans="1:18" x14ac:dyDescent="0.2">
      <c r="A284" s="167">
        <v>15</v>
      </c>
      <c r="B284" s="168" t="s">
        <v>232</v>
      </c>
      <c r="C284" s="167"/>
      <c r="D284" s="197">
        <v>0</v>
      </c>
      <c r="E284" s="197">
        <v>0</v>
      </c>
      <c r="F284" s="197">
        <v>0</v>
      </c>
      <c r="G284" s="251">
        <v>0</v>
      </c>
      <c r="H284" s="177"/>
      <c r="I284" s="177"/>
      <c r="J284" s="177"/>
      <c r="K284" s="177"/>
      <c r="L284" s="177"/>
      <c r="M284" s="177"/>
      <c r="N284" s="177"/>
      <c r="O284" s="177"/>
      <c r="P284" s="177"/>
      <c r="Q284" s="175"/>
      <c r="R284" s="175"/>
    </row>
    <row r="285" spans="1:18" x14ac:dyDescent="0.2">
      <c r="A285" s="175">
        <v>16</v>
      </c>
      <c r="B285" s="168" t="s">
        <v>176</v>
      </c>
      <c r="C285" s="167" t="s">
        <v>845</v>
      </c>
      <c r="D285" s="197">
        <v>0.125</v>
      </c>
      <c r="E285" s="197">
        <f t="shared" si="21"/>
        <v>0.23499999999999999</v>
      </c>
      <c r="F285" s="197">
        <v>0.11</v>
      </c>
      <c r="G285" s="251">
        <v>605</v>
      </c>
      <c r="H285" s="177" t="s">
        <v>4</v>
      </c>
      <c r="I285" s="177"/>
      <c r="J285" s="177"/>
      <c r="K285" s="177"/>
      <c r="L285" s="177"/>
      <c r="M285" s="177"/>
      <c r="N285" s="177"/>
      <c r="O285" s="177"/>
      <c r="P285" s="177">
        <v>18</v>
      </c>
      <c r="Q285" s="175">
        <v>80940040303</v>
      </c>
      <c r="R285" s="175">
        <v>80940040656</v>
      </c>
    </row>
    <row r="286" spans="1:18" x14ac:dyDescent="0.2">
      <c r="A286" s="167">
        <v>17</v>
      </c>
      <c r="B286" s="176" t="s">
        <v>177</v>
      </c>
      <c r="C286" s="175" t="s">
        <v>846</v>
      </c>
      <c r="D286" s="197">
        <v>0</v>
      </c>
      <c r="E286" s="197">
        <f t="shared" si="21"/>
        <v>0.53500000000000003</v>
      </c>
      <c r="F286" s="197">
        <v>0.53500000000000003</v>
      </c>
      <c r="G286" s="251">
        <v>2675</v>
      </c>
      <c r="H286" s="110" t="s">
        <v>1213</v>
      </c>
      <c r="I286" s="177"/>
      <c r="J286" s="177"/>
      <c r="K286" s="177"/>
      <c r="L286" s="177"/>
      <c r="M286" s="177"/>
      <c r="N286" s="177"/>
      <c r="O286" s="177"/>
      <c r="P286" s="177"/>
      <c r="Q286" s="175">
        <v>80940040687</v>
      </c>
      <c r="R286" s="175">
        <v>80940040687</v>
      </c>
    </row>
    <row r="287" spans="1:18" x14ac:dyDescent="0.2">
      <c r="A287" s="175">
        <v>18</v>
      </c>
      <c r="B287" s="176" t="s">
        <v>160</v>
      </c>
      <c r="C287" s="175" t="s">
        <v>846</v>
      </c>
      <c r="D287" s="197">
        <v>0</v>
      </c>
      <c r="E287" s="197">
        <f t="shared" si="21"/>
        <v>0.09</v>
      </c>
      <c r="F287" s="197">
        <v>0.09</v>
      </c>
      <c r="G287" s="251">
        <v>405</v>
      </c>
      <c r="H287" s="177" t="s">
        <v>0</v>
      </c>
      <c r="I287" s="177"/>
      <c r="J287" s="177"/>
      <c r="K287" s="177"/>
      <c r="L287" s="177"/>
      <c r="M287" s="177"/>
      <c r="N287" s="177"/>
      <c r="O287" s="177"/>
      <c r="P287" s="177"/>
      <c r="Q287" s="175">
        <v>80940040854</v>
      </c>
      <c r="R287" s="175">
        <v>80940040854</v>
      </c>
    </row>
    <row r="288" spans="1:18" ht="280.5" customHeight="1" x14ac:dyDescent="0.2">
      <c r="A288" s="167">
        <v>19</v>
      </c>
      <c r="B288" s="248" t="s">
        <v>403</v>
      </c>
      <c r="C288" s="250" t="s">
        <v>846</v>
      </c>
      <c r="D288" s="219">
        <v>0</v>
      </c>
      <c r="E288" s="219">
        <v>0.45100000000000001</v>
      </c>
      <c r="F288" s="219">
        <v>0.45100000000000001</v>
      </c>
      <c r="G288" s="391">
        <v>2255</v>
      </c>
      <c r="H288" s="249" t="s">
        <v>4</v>
      </c>
      <c r="I288" s="177"/>
      <c r="J288" s="177"/>
      <c r="K288" s="177"/>
      <c r="L288" s="177"/>
      <c r="M288" s="177"/>
      <c r="N288" s="177"/>
      <c r="O288" s="177"/>
      <c r="P288" s="177"/>
      <c r="Q288" s="250" t="s">
        <v>404</v>
      </c>
      <c r="R288" s="250" t="s">
        <v>404</v>
      </c>
    </row>
    <row r="289" spans="1:32" x14ac:dyDescent="0.2">
      <c r="A289" s="175">
        <v>20</v>
      </c>
      <c r="B289" s="176" t="s">
        <v>178</v>
      </c>
      <c r="C289" s="175" t="s">
        <v>846</v>
      </c>
      <c r="D289" s="197">
        <v>0</v>
      </c>
      <c r="E289" s="197">
        <f t="shared" si="21"/>
        <v>0.29499999999999998</v>
      </c>
      <c r="F289" s="197">
        <v>0.29499999999999998</v>
      </c>
      <c r="G289" s="251">
        <v>1328</v>
      </c>
      <c r="H289" s="110" t="s">
        <v>1213</v>
      </c>
      <c r="I289" s="177"/>
      <c r="J289" s="177"/>
      <c r="K289" s="177"/>
      <c r="L289" s="177"/>
      <c r="M289" s="177"/>
      <c r="N289" s="177"/>
      <c r="O289" s="177"/>
      <c r="P289" s="177"/>
      <c r="Q289" s="175">
        <v>80940040690</v>
      </c>
      <c r="R289" s="175">
        <v>80940040690</v>
      </c>
    </row>
    <row r="290" spans="1:32" x14ac:dyDescent="0.2">
      <c r="A290" s="167">
        <v>21</v>
      </c>
      <c r="B290" s="168" t="s">
        <v>179</v>
      </c>
      <c r="C290" s="175" t="s">
        <v>848</v>
      </c>
      <c r="D290" s="197">
        <v>0</v>
      </c>
      <c r="E290" s="197">
        <f t="shared" si="21"/>
        <v>1.6850000000000001</v>
      </c>
      <c r="F290" s="197">
        <v>1.6850000000000001</v>
      </c>
      <c r="G290" s="251">
        <v>12600</v>
      </c>
      <c r="H290" s="177" t="s">
        <v>4</v>
      </c>
      <c r="I290" s="177"/>
      <c r="J290" s="177"/>
      <c r="K290" s="177"/>
      <c r="L290" s="177"/>
      <c r="M290" s="177"/>
      <c r="N290" s="177"/>
      <c r="O290" s="177"/>
      <c r="P290" s="177">
        <v>2518</v>
      </c>
      <c r="Q290" s="175">
        <v>80940040646</v>
      </c>
      <c r="R290" s="175">
        <v>80940040646</v>
      </c>
    </row>
    <row r="291" spans="1:32" x14ac:dyDescent="0.2">
      <c r="A291" s="167">
        <v>22</v>
      </c>
      <c r="B291" s="510" t="s">
        <v>405</v>
      </c>
      <c r="C291" s="175" t="s">
        <v>846</v>
      </c>
      <c r="D291" s="197">
        <v>0</v>
      </c>
      <c r="E291" s="197">
        <v>0.23100000000000001</v>
      </c>
      <c r="F291" s="197">
        <v>0.23100000000000001</v>
      </c>
      <c r="G291" s="251">
        <v>924</v>
      </c>
      <c r="H291" s="177" t="s">
        <v>4</v>
      </c>
      <c r="I291" s="177"/>
      <c r="J291" s="177"/>
      <c r="K291" s="177"/>
      <c r="L291" s="177"/>
      <c r="M291" s="177"/>
      <c r="N291" s="177"/>
      <c r="O291" s="177"/>
      <c r="P291" s="177"/>
      <c r="Q291" s="513" t="s">
        <v>859</v>
      </c>
      <c r="R291" s="250">
        <v>80940041172</v>
      </c>
    </row>
    <row r="292" spans="1:32" ht="22.5" x14ac:dyDescent="0.2">
      <c r="A292" s="171"/>
      <c r="B292" s="511"/>
      <c r="C292" s="175" t="s">
        <v>846</v>
      </c>
      <c r="D292" s="197">
        <v>0.23100000000000001</v>
      </c>
      <c r="E292" s="197">
        <v>0.55400000000000005</v>
      </c>
      <c r="F292" s="197">
        <v>0.32300000000000001</v>
      </c>
      <c r="G292" s="251">
        <v>1292</v>
      </c>
      <c r="H292" s="177" t="s">
        <v>0</v>
      </c>
      <c r="I292" s="177"/>
      <c r="J292" s="177"/>
      <c r="K292" s="177"/>
      <c r="L292" s="177"/>
      <c r="M292" s="177"/>
      <c r="N292" s="177"/>
      <c r="O292" s="177"/>
      <c r="P292" s="177"/>
      <c r="Q292" s="513" t="s">
        <v>859</v>
      </c>
      <c r="R292" s="250" t="s">
        <v>871</v>
      </c>
    </row>
    <row r="293" spans="1:32" x14ac:dyDescent="0.2">
      <c r="A293" s="171"/>
      <c r="B293" s="511"/>
      <c r="C293" s="175" t="s">
        <v>846</v>
      </c>
      <c r="D293" s="197">
        <v>0.55400000000000005</v>
      </c>
      <c r="E293" s="197">
        <v>0.71199999999999997</v>
      </c>
      <c r="F293" s="197">
        <v>0.16800000000000001</v>
      </c>
      <c r="G293" s="251">
        <v>672</v>
      </c>
      <c r="H293" s="177" t="s">
        <v>0</v>
      </c>
      <c r="I293" s="177"/>
      <c r="J293" s="177"/>
      <c r="K293" s="177"/>
      <c r="L293" s="177"/>
      <c r="M293" s="177"/>
      <c r="N293" s="177"/>
      <c r="O293" s="177"/>
      <c r="P293" s="177"/>
      <c r="Q293" s="175">
        <v>80940041193</v>
      </c>
      <c r="R293" s="175">
        <v>80940041193</v>
      </c>
    </row>
    <row r="294" spans="1:32" ht="15" x14ac:dyDescent="0.25">
      <c r="A294" s="173"/>
      <c r="B294" s="512" t="s">
        <v>233</v>
      </c>
      <c r="C294" s="175" t="s">
        <v>846</v>
      </c>
      <c r="D294" s="197">
        <v>0</v>
      </c>
      <c r="E294" s="197">
        <v>0.188</v>
      </c>
      <c r="F294" s="197">
        <v>0.188</v>
      </c>
      <c r="G294" s="251">
        <v>752</v>
      </c>
      <c r="H294" s="177" t="s">
        <v>0</v>
      </c>
      <c r="I294" s="177"/>
      <c r="J294" s="177"/>
      <c r="K294" s="177"/>
      <c r="L294" s="177"/>
      <c r="M294" s="177"/>
      <c r="N294" s="177"/>
      <c r="O294" s="177"/>
      <c r="P294" s="177"/>
      <c r="Q294" s="175">
        <v>80940041193</v>
      </c>
      <c r="R294" s="175">
        <v>80940041193</v>
      </c>
      <c r="S294"/>
    </row>
    <row r="295" spans="1:32" ht="12.75" customHeight="1" x14ac:dyDescent="0.25">
      <c r="A295" s="184" t="s">
        <v>406</v>
      </c>
      <c r="B295" s="185"/>
      <c r="C295" s="489"/>
      <c r="D295" s="186"/>
      <c r="E295" s="187"/>
      <c r="F295" s="188">
        <f>SUM(F260:F294)</f>
        <v>11.811</v>
      </c>
      <c r="G295" s="189">
        <f>SUM(G260:G294)</f>
        <v>64570</v>
      </c>
      <c r="H295" s="143"/>
      <c r="I295" s="94"/>
      <c r="J295" s="144"/>
      <c r="K295" s="190" t="s">
        <v>268</v>
      </c>
      <c r="L295" s="191">
        <f>SUM(L260:L290)</f>
        <v>0</v>
      </c>
      <c r="M295" s="191">
        <f>SUM(M260:M290)</f>
        <v>0</v>
      </c>
      <c r="N295" s="147"/>
      <c r="O295" s="190" t="s">
        <v>269</v>
      </c>
      <c r="P295" s="191">
        <f>SUM(P260:P290)</f>
        <v>2893</v>
      </c>
      <c r="Q295" s="147"/>
      <c r="R295" s="147"/>
      <c r="S295" s="102"/>
      <c r="T295"/>
      <c r="U295"/>
      <c r="V295"/>
      <c r="W295"/>
      <c r="X295"/>
      <c r="Y295"/>
      <c r="Z295"/>
      <c r="AA295" t="s">
        <v>1097</v>
      </c>
      <c r="AB295"/>
      <c r="AC295"/>
      <c r="AD295"/>
      <c r="AE295"/>
      <c r="AF295"/>
    </row>
    <row r="296" spans="1:32" ht="12.75" customHeight="1" x14ac:dyDescent="0.2">
      <c r="A296" s="148" t="s">
        <v>1214</v>
      </c>
      <c r="B296" s="149"/>
      <c r="C296" s="485"/>
      <c r="D296" s="139"/>
      <c r="E296" s="140"/>
      <c r="F296" s="163">
        <f>SUMIFS(F260:F294,H260:H294,"dubultā virsma")</f>
        <v>1.6760000000000002</v>
      </c>
      <c r="G296" s="192">
        <f>SUMIFS(G260:G294,H260:H294,"dubultā virsma")</f>
        <v>7871</v>
      </c>
      <c r="H296" s="143"/>
      <c r="I296" s="94"/>
      <c r="J296" s="144"/>
      <c r="K296" s="675"/>
      <c r="L296" s="676"/>
      <c r="M296" s="676"/>
      <c r="N296" s="147"/>
      <c r="O296" s="675"/>
      <c r="P296" s="676"/>
      <c r="Q296" s="147"/>
      <c r="R296" s="147"/>
      <c r="S296" s="102"/>
      <c r="T296" s="625" t="s">
        <v>1092</v>
      </c>
      <c r="U296" s="625" t="s">
        <v>1093</v>
      </c>
      <c r="V296" s="625" t="s">
        <v>1094</v>
      </c>
      <c r="W296" s="625" t="s">
        <v>1095</v>
      </c>
      <c r="X296" s="625" t="s">
        <v>1096</v>
      </c>
      <c r="Y296" s="627" t="s">
        <v>269</v>
      </c>
      <c r="Z296" s="102"/>
      <c r="AA296" s="625" t="s">
        <v>1092</v>
      </c>
      <c r="AB296" s="625" t="s">
        <v>1093</v>
      </c>
      <c r="AC296" s="625" t="s">
        <v>1094</v>
      </c>
      <c r="AD296" s="625" t="s">
        <v>1095</v>
      </c>
      <c r="AE296" s="625" t="s">
        <v>1096</v>
      </c>
      <c r="AF296" s="627" t="s">
        <v>269</v>
      </c>
    </row>
    <row r="297" spans="1:32" ht="12.75" customHeight="1" x14ac:dyDescent="0.2">
      <c r="A297" s="148" t="s">
        <v>270</v>
      </c>
      <c r="B297" s="149"/>
      <c r="C297" s="486"/>
      <c r="D297" s="150"/>
      <c r="E297" s="151"/>
      <c r="F297" s="163">
        <f>SUMIFS(F260:F294,H260:H294,"melnais")</f>
        <v>5.0830000000000002</v>
      </c>
      <c r="G297" s="192">
        <f>SUMIFS(G260:G294,H260:H294,"melnais")</f>
        <v>33992</v>
      </c>
      <c r="H297" s="154"/>
      <c r="I297" s="155"/>
      <c r="J297" s="147"/>
      <c r="K297" s="136"/>
      <c r="L297" s="156"/>
      <c r="M297" s="156"/>
      <c r="N297" s="147"/>
      <c r="O297" s="147"/>
      <c r="P297" s="147"/>
      <c r="Q297" s="147"/>
      <c r="R297" s="147"/>
      <c r="S297" s="628" t="s">
        <v>844</v>
      </c>
      <c r="T297" s="625" t="s">
        <v>231</v>
      </c>
      <c r="U297" s="625" t="s">
        <v>231</v>
      </c>
      <c r="V297" s="625" t="s">
        <v>231</v>
      </c>
      <c r="W297" s="625" t="s">
        <v>231</v>
      </c>
      <c r="X297" s="625" t="s">
        <v>231</v>
      </c>
      <c r="Y297" s="626" t="s">
        <v>231</v>
      </c>
      <c r="Z297" s="628"/>
      <c r="AA297" s="625" t="s">
        <v>231</v>
      </c>
      <c r="AB297" s="625" t="s">
        <v>231</v>
      </c>
      <c r="AC297" s="625" t="s">
        <v>231</v>
      </c>
      <c r="AD297" s="625" t="s">
        <v>231</v>
      </c>
      <c r="AE297" s="625" t="s">
        <v>231</v>
      </c>
      <c r="AF297" s="626" t="s">
        <v>231</v>
      </c>
    </row>
    <row r="298" spans="1:32" ht="12.75" customHeight="1" x14ac:dyDescent="0.2">
      <c r="A298" s="148" t="s">
        <v>271</v>
      </c>
      <c r="B298" s="149"/>
      <c r="C298" s="486"/>
      <c r="D298" s="150"/>
      <c r="E298" s="151"/>
      <c r="F298" s="163">
        <f>SUMIFS(F260:F294,H260:H294,"bruģis")</f>
        <v>0</v>
      </c>
      <c r="G298" s="192">
        <f>SUMIFS(G260:G294,H260:H294,"bruģis")</f>
        <v>0</v>
      </c>
      <c r="H298" s="162"/>
      <c r="I298" s="94"/>
      <c r="J298" s="159"/>
      <c r="K298" s="160"/>
      <c r="L298" s="160"/>
      <c r="M298" s="160"/>
      <c r="N298" s="161"/>
      <c r="O298" s="147"/>
      <c r="P298" s="147"/>
      <c r="Q298" s="147"/>
      <c r="R298" s="147"/>
      <c r="S298" s="616" t="s">
        <v>847</v>
      </c>
      <c r="T298" s="614">
        <f>SUMIFS(F260:F294,C260:C294,"A",H260:H294,"melnais")</f>
        <v>0</v>
      </c>
      <c r="U298" s="614">
        <f>SUMIFS(F260:F294,C260:C294,"A",H260:H294,"dubultā virsma")</f>
        <v>0</v>
      </c>
      <c r="V298" s="614">
        <f>SUMIFS(F260:F294,C260:C294,"A",H260:H294,"bruģis")</f>
        <v>0</v>
      </c>
      <c r="W298" s="614">
        <f>SUMIFS(F260:F294,C260:C294,"A",H260:H294,"grants")</f>
        <v>0</v>
      </c>
      <c r="X298" s="614">
        <f>SUMIFS(F260:F294,C260:C294,"A",H260:H294,"cits segums")</f>
        <v>0</v>
      </c>
      <c r="Y298" s="614">
        <f>SUM(T298:X298)</f>
        <v>0</v>
      </c>
      <c r="Z298" s="616" t="s">
        <v>847</v>
      </c>
      <c r="AA298" s="614">
        <f>SUMIFS(F260:F294,C260:C294,"A",H260:H294,"melnais", Q260:Q294,"Nepiederošs")</f>
        <v>0</v>
      </c>
      <c r="AB298" s="614">
        <f>SUMIFS(F260:F294,C260:C294,"A",H260:H294,"dubultā virsma", Q260:Q294,"Nepiederošs")</f>
        <v>0</v>
      </c>
      <c r="AC298" s="614">
        <f>SUMIFS(F260:F294,C260:C294,"A",H260:H294,"bruģis", Q260:Q294,"Nepiederošs")</f>
        <v>0</v>
      </c>
      <c r="AD298" s="614">
        <f>SUMIFS(F260:F294,C260:C294,"A",H260:H294,"grants", Q260:Q294,"Nepiederošs")</f>
        <v>0</v>
      </c>
      <c r="AE298" s="614">
        <f>SUMIFS(F260:F294,C260:C294,"A",H260:H294,"cits segums", Q260:Q294,"Nepiederošs")</f>
        <v>0</v>
      </c>
      <c r="AF298" s="614">
        <f>SUM(AA298:AE298)</f>
        <v>0</v>
      </c>
    </row>
    <row r="299" spans="1:32" ht="12.75" customHeight="1" x14ac:dyDescent="0.2">
      <c r="A299" s="148" t="s">
        <v>272</v>
      </c>
      <c r="B299" s="149"/>
      <c r="C299" s="486"/>
      <c r="D299" s="150"/>
      <c r="E299" s="151"/>
      <c r="F299" s="163">
        <f>SUMIFS(F260:F294,H260:H294,"grants")</f>
        <v>4.7570000000000006</v>
      </c>
      <c r="G299" s="192">
        <f>SUMIFS(G260:G294,H260:H294,"grants")</f>
        <v>21712</v>
      </c>
      <c r="H299" s="162"/>
      <c r="I299" s="162"/>
      <c r="J299" s="159"/>
      <c r="K299" s="160"/>
      <c r="L299" s="160"/>
      <c r="M299" s="160"/>
      <c r="N299" s="161"/>
      <c r="O299" s="147"/>
      <c r="P299" s="147"/>
      <c r="Q299" s="147"/>
      <c r="R299" s="147"/>
      <c r="S299" s="617" t="s">
        <v>848</v>
      </c>
      <c r="T299" s="614">
        <f>SUMIFS(F260:F294,C260:C294,"B",H260:H294,"melnais")</f>
        <v>1.6850000000000001</v>
      </c>
      <c r="U299" s="614">
        <f>SUMIFS(F260:F294,C260:C294,"B",H260:H294,"dubultā virsma")</f>
        <v>0</v>
      </c>
      <c r="V299" s="614">
        <f>SUMIFS(F260:F294,C260:C294,"B",H260:H294,"bruģis")</f>
        <v>0</v>
      </c>
      <c r="W299" s="614">
        <f>SUMIFS(F260:F294,C260:C294,"B",H260:H294,"grants")</f>
        <v>0</v>
      </c>
      <c r="X299" s="614">
        <f>SUMIFS(F260:F294,C260:C294,"B",H260:H294,"cits segums")</f>
        <v>0</v>
      </c>
      <c r="Y299" s="614">
        <f t="shared" ref="Y299:Y301" si="23">SUM(T299:X299)</f>
        <v>1.6850000000000001</v>
      </c>
      <c r="Z299" s="617" t="s">
        <v>848</v>
      </c>
      <c r="AA299" s="614">
        <f>SUMIFS(F260:F294,C260:C294,"B",H260:H294,"melnais", Q260:Q294,"Nepiederošs")</f>
        <v>0</v>
      </c>
      <c r="AB299" s="614">
        <f>SUMIFS(F260:F294,C260:C294,"B",H260:H294,"dubultā virsma", Q260:Q294,"Nepiederošs")</f>
        <v>0</v>
      </c>
      <c r="AC299" s="614">
        <f>SUMIFS(F260:F294,C260:C294,"B",H260:H294,"bruģis", Q260:Q294,"Nepiederošs")</f>
        <v>0</v>
      </c>
      <c r="AD299" s="614">
        <f>SUMIFS(F260:F294,C260:C294,"B",H260:H294,"grants", Q260:Q294,"Nepiederošs")</f>
        <v>0</v>
      </c>
      <c r="AE299" s="614">
        <f>SUMIFS(F260:F294,C260:C294,"B",H260:H294,"cits segums", Q260:Q294,"Nepiederošs")</f>
        <v>0</v>
      </c>
      <c r="AF299" s="614">
        <f t="shared" ref="AF299:AF301" si="24">SUM(AA299:AE299)</f>
        <v>0</v>
      </c>
    </row>
    <row r="300" spans="1:32" ht="12.75" customHeight="1" x14ac:dyDescent="0.2">
      <c r="A300" s="148" t="s">
        <v>401</v>
      </c>
      <c r="B300" s="149"/>
      <c r="C300" s="486"/>
      <c r="D300" s="150"/>
      <c r="E300" s="151"/>
      <c r="F300" s="163">
        <f>SUMIFS(F260:F294,H260:H294,"cits segums")</f>
        <v>0.29499999999999998</v>
      </c>
      <c r="G300" s="192">
        <f>SUMIFS(G260:G294,H260:H294,"cits segums")</f>
        <v>995</v>
      </c>
      <c r="H300" s="164"/>
      <c r="I300" s="162"/>
      <c r="J300" s="166"/>
      <c r="K300" s="160"/>
      <c r="L300" s="160"/>
      <c r="M300" s="160"/>
      <c r="N300" s="161"/>
      <c r="O300" s="147"/>
      <c r="P300" s="147"/>
      <c r="Q300" s="147"/>
      <c r="R300" s="147"/>
      <c r="S300" s="615" t="s">
        <v>845</v>
      </c>
      <c r="T300" s="614">
        <f>SUMIFS(F260:F294,C260:C294,"C",H260:H294,"melnais")</f>
        <v>1.62</v>
      </c>
      <c r="U300" s="614">
        <f>SUMIFS(F260:F294,C260:C294,"C",H260:H294,"dubultā virsma")</f>
        <v>0</v>
      </c>
      <c r="V300" s="614">
        <f>SUMIFS(F260:F294,C260:C294,"C",H260:H294,"bruģis")</f>
        <v>0</v>
      </c>
      <c r="W300" s="614">
        <f>SUMIFS(F260:F294,C260:C294,"C",H260:H294,"grants")</f>
        <v>0.91899999999999982</v>
      </c>
      <c r="X300" s="614">
        <f>SUMIFS(F260:F294,C260:C294,"C",H260:H294,"cits segums")</f>
        <v>0.11</v>
      </c>
      <c r="Y300" s="614">
        <f t="shared" si="23"/>
        <v>2.6489999999999996</v>
      </c>
      <c r="Z300" s="615" t="s">
        <v>845</v>
      </c>
      <c r="AA300" s="614">
        <f>SUMIFS(F260:F294,C260:C294,"C",H260:H294,"melnais", Q260:Q294,"Nepiederošs")</f>
        <v>0</v>
      </c>
      <c r="AB300" s="614">
        <f>SUMIFS(F260:F294,C260:C294,"C",H260:H294,"dubultā virsma", Q260:Q294,"Nepiederošs")</f>
        <v>0</v>
      </c>
      <c r="AC300" s="614">
        <f>SUMIFS(F260:F294,C260:C294,"C",H260:H294,"bruģis", Q260:Q294,"Nepiederošs")</f>
        <v>0</v>
      </c>
      <c r="AD300" s="614">
        <f>SUMIFS(F260:F294,C260:C294,"C",H260:H294,"grants", Q260:Q294,"Nepiederošs")</f>
        <v>0</v>
      </c>
      <c r="AE300" s="614">
        <f>SUMIFS(F260:F294,C260:C294,"C",H260:H294,"cits segums", Q260:Q294,"Nepiederošs")</f>
        <v>0</v>
      </c>
      <c r="AF300" s="614">
        <f t="shared" si="24"/>
        <v>0</v>
      </c>
    </row>
    <row r="301" spans="1:32" ht="12.75" customHeight="1" x14ac:dyDescent="0.2">
      <c r="A301" s="99" t="s">
        <v>407</v>
      </c>
      <c r="B301" s="193"/>
      <c r="C301" s="33"/>
      <c r="D301" s="38"/>
      <c r="E301" s="38"/>
      <c r="F301" s="194"/>
      <c r="G301" s="195"/>
      <c r="H301" s="165"/>
      <c r="I301" s="162"/>
      <c r="J301" s="166"/>
      <c r="K301" s="160"/>
      <c r="L301" s="160"/>
      <c r="M301" s="160"/>
      <c r="N301" s="161"/>
      <c r="O301" s="147"/>
      <c r="P301" s="147"/>
      <c r="Q301" s="147"/>
      <c r="R301" s="147"/>
      <c r="S301" s="616" t="s">
        <v>846</v>
      </c>
      <c r="T301" s="614">
        <f>SUMIFS(F260:F294,C260:C294,"D",H260:H294,"melnais")</f>
        <v>1.7780000000000002</v>
      </c>
      <c r="U301" s="614">
        <f>SUMIFS(F260:F294,C260:C294,"D",H260:H294,"dubultā virsma")</f>
        <v>1.6760000000000002</v>
      </c>
      <c r="V301" s="614">
        <f>SUMIFS(F260:F294,C260:C294,"D",H260:H294,"bruģis")</f>
        <v>0</v>
      </c>
      <c r="W301" s="614">
        <f>SUMIFS(F260:F294,C260:C294,"D",H260:H294,"grants")</f>
        <v>3.8380000000000005</v>
      </c>
      <c r="X301" s="614">
        <f>SUMIFS(F260:F294,C260:C294,"D",H260:H294,"cits segums")</f>
        <v>0.185</v>
      </c>
      <c r="Y301" s="614">
        <f t="shared" si="23"/>
        <v>7.4770000000000012</v>
      </c>
      <c r="Z301" s="616" t="s">
        <v>846</v>
      </c>
      <c r="AA301" s="614">
        <f>SUMIFS(F260:F294,C260:C294,"D",H260:H294,"melnais", Q260:Q294,"Nepiederošs")</f>
        <v>0.23100000000000001</v>
      </c>
      <c r="AB301" s="614">
        <f>SUMIFS(F260:F294,C260:C294,"D",H260:H294,"dubultā virsma", Q260:Q294,"Nepiederošs")</f>
        <v>0</v>
      </c>
      <c r="AC301" s="614">
        <f>SUMIFS(F260:F294,C260:C294,"D",H260:H294,"bruģis", Q260:Q294,"Nepiederošs")</f>
        <v>0</v>
      </c>
      <c r="AD301" s="614">
        <f>SUMIFS(F260:F294,C260:C294,"D",H260:H294,"grants", Q260:Q294,"Nepiederošs")</f>
        <v>0.32300000000000001</v>
      </c>
      <c r="AE301" s="614">
        <f>SUMIFS(F260:F294,C260:C294,"D",H260:H294,"cits segums", Q260:Q294,"Nepiederošs")</f>
        <v>0</v>
      </c>
      <c r="AF301" s="614">
        <f t="shared" si="24"/>
        <v>0.55400000000000005</v>
      </c>
    </row>
    <row r="302" spans="1:32" ht="12.75" customHeight="1" x14ac:dyDescent="0.25">
      <c r="A302" s="99"/>
      <c r="B302" s="193"/>
      <c r="C302" s="33"/>
      <c r="D302" s="38"/>
      <c r="E302" s="38"/>
      <c r="F302" s="194"/>
      <c r="G302" s="195"/>
      <c r="H302" s="165"/>
      <c r="I302" s="162"/>
      <c r="J302" s="166"/>
      <c r="K302" s="160"/>
      <c r="L302" s="160"/>
      <c r="M302" s="160"/>
      <c r="N302" s="161"/>
      <c r="O302" s="147"/>
      <c r="P302" s="147"/>
      <c r="Q302" s="147"/>
      <c r="R302" s="147"/>
      <c r="S302"/>
      <c r="T302" s="629">
        <f>SUM(T298:T301)</f>
        <v>5.0830000000000002</v>
      </c>
      <c r="U302" s="629">
        <f t="shared" ref="U302:Y302" si="25">SUM(U298:U301)</f>
        <v>1.6760000000000002</v>
      </c>
      <c r="V302" s="629">
        <f t="shared" si="25"/>
        <v>0</v>
      </c>
      <c r="W302" s="629">
        <f t="shared" si="25"/>
        <v>4.7570000000000006</v>
      </c>
      <c r="X302" s="629">
        <f t="shared" si="25"/>
        <v>0.29499999999999998</v>
      </c>
      <c r="Y302" s="629">
        <f t="shared" si="25"/>
        <v>11.811</v>
      </c>
      <c r="Z302"/>
      <c r="AA302" s="629">
        <f>SUM(AA298:AA301)</f>
        <v>0.23100000000000001</v>
      </c>
      <c r="AB302" s="629">
        <f t="shared" ref="AB302" si="26">SUM(AB298:AB301)</f>
        <v>0</v>
      </c>
      <c r="AC302" s="629">
        <f>SUM(AC298:AC301)</f>
        <v>0</v>
      </c>
      <c r="AD302" s="629">
        <f t="shared" ref="AD302:AF302" si="27">SUM(AD298:AD301)</f>
        <v>0.32300000000000001</v>
      </c>
      <c r="AE302" s="629">
        <f t="shared" si="27"/>
        <v>0</v>
      </c>
      <c r="AF302" s="629">
        <f t="shared" si="27"/>
        <v>0.55400000000000005</v>
      </c>
    </row>
    <row r="303" spans="1:32" s="38" customFormat="1" ht="15" customHeight="1" x14ac:dyDescent="0.25">
      <c r="A303" s="33"/>
      <c r="C303" s="487"/>
      <c r="D303" s="813" t="s">
        <v>1064</v>
      </c>
      <c r="E303" s="813"/>
      <c r="F303" s="813"/>
      <c r="G303" s="813"/>
      <c r="H303" s="813"/>
      <c r="I303" s="813"/>
      <c r="J303" s="813"/>
      <c r="K303" s="813"/>
      <c r="L303" s="813"/>
      <c r="M303" s="813"/>
      <c r="N303" s="813"/>
      <c r="O303" s="813"/>
      <c r="P303" s="813"/>
      <c r="Q303" s="30"/>
      <c r="R303" s="37"/>
      <c r="S303" s="636"/>
      <c r="T303" s="636"/>
      <c r="U303" s="636"/>
      <c r="V303" s="636"/>
      <c r="W303" s="636"/>
      <c r="Z303" s="635">
        <f>Y302-AF302</f>
        <v>11.257</v>
      </c>
    </row>
    <row r="304" spans="1:32" ht="12.75" customHeight="1" x14ac:dyDescent="0.2">
      <c r="A304" s="818" t="s">
        <v>244</v>
      </c>
      <c r="B304" s="825" t="s">
        <v>388</v>
      </c>
      <c r="C304" s="482"/>
      <c r="D304" s="826" t="s">
        <v>246</v>
      </c>
      <c r="E304" s="827"/>
      <c r="F304" s="827"/>
      <c r="G304" s="827"/>
      <c r="H304" s="827"/>
      <c r="I304" s="827"/>
      <c r="J304" s="827"/>
      <c r="K304" s="827"/>
      <c r="L304" s="827"/>
      <c r="M304" s="827"/>
      <c r="N304" s="827"/>
      <c r="O304" s="827"/>
      <c r="P304" s="828"/>
      <c r="Q304" s="821" t="s">
        <v>247</v>
      </c>
      <c r="R304" s="822"/>
    </row>
    <row r="305" spans="1:18" ht="12.75" customHeight="1" x14ac:dyDescent="0.2">
      <c r="A305" s="818"/>
      <c r="B305" s="825"/>
      <c r="C305" s="410"/>
      <c r="D305" s="816" t="s">
        <v>389</v>
      </c>
      <c r="E305" s="816"/>
      <c r="F305" s="816"/>
      <c r="G305" s="816"/>
      <c r="H305" s="816"/>
      <c r="I305" s="814" t="s">
        <v>249</v>
      </c>
      <c r="J305" s="814"/>
      <c r="K305" s="814"/>
      <c r="L305" s="814"/>
      <c r="M305" s="814"/>
      <c r="N305" s="814"/>
      <c r="O305" s="814"/>
      <c r="P305" s="815" t="s">
        <v>250</v>
      </c>
      <c r="Q305" s="823"/>
      <c r="R305" s="824"/>
    </row>
    <row r="306" spans="1:18" ht="15.2" customHeight="1" x14ac:dyDescent="0.2">
      <c r="A306" s="818"/>
      <c r="B306" s="825"/>
      <c r="C306" s="410"/>
      <c r="D306" s="816" t="s">
        <v>251</v>
      </c>
      <c r="E306" s="816"/>
      <c r="F306" s="817" t="s">
        <v>252</v>
      </c>
      <c r="G306" s="817" t="s">
        <v>257</v>
      </c>
      <c r="H306" s="818" t="s">
        <v>253</v>
      </c>
      <c r="I306" s="819" t="s">
        <v>254</v>
      </c>
      <c r="J306" s="814" t="s">
        <v>255</v>
      </c>
      <c r="K306" s="814"/>
      <c r="L306" s="820" t="s">
        <v>256</v>
      </c>
      <c r="M306" s="820" t="s">
        <v>257</v>
      </c>
      <c r="N306" s="820" t="s">
        <v>258</v>
      </c>
      <c r="O306" s="820" t="s">
        <v>259</v>
      </c>
      <c r="P306" s="809"/>
      <c r="Q306" s="809" t="s">
        <v>260</v>
      </c>
      <c r="R306" s="811" t="s">
        <v>261</v>
      </c>
    </row>
    <row r="307" spans="1:18" ht="33.75" customHeight="1" x14ac:dyDescent="0.2">
      <c r="A307" s="818"/>
      <c r="B307" s="825"/>
      <c r="C307" s="432" t="s">
        <v>844</v>
      </c>
      <c r="D307" s="95" t="s">
        <v>262</v>
      </c>
      <c r="E307" s="95" t="s">
        <v>263</v>
      </c>
      <c r="F307" s="817"/>
      <c r="G307" s="817"/>
      <c r="H307" s="818"/>
      <c r="I307" s="819"/>
      <c r="J307" s="96" t="s">
        <v>231</v>
      </c>
      <c r="K307" s="96" t="s">
        <v>264</v>
      </c>
      <c r="L307" s="820"/>
      <c r="M307" s="820"/>
      <c r="N307" s="820"/>
      <c r="O307" s="820"/>
      <c r="P307" s="810"/>
      <c r="Q307" s="810"/>
      <c r="R307" s="812"/>
    </row>
    <row r="308" spans="1:18" s="99" customFormat="1" ht="12" customHeight="1" x14ac:dyDescent="0.25">
      <c r="A308" s="97">
        <v>1</v>
      </c>
      <c r="B308" s="97">
        <v>2</v>
      </c>
      <c r="C308" s="97"/>
      <c r="D308" s="97">
        <v>3</v>
      </c>
      <c r="E308" s="97">
        <v>4</v>
      </c>
      <c r="F308" s="97">
        <v>5</v>
      </c>
      <c r="G308" s="97">
        <v>6</v>
      </c>
      <c r="H308" s="97">
        <v>7</v>
      </c>
      <c r="I308" s="98">
        <v>8</v>
      </c>
      <c r="J308" s="98">
        <v>9</v>
      </c>
      <c r="K308" s="98">
        <v>10</v>
      </c>
      <c r="L308" s="98">
        <v>11</v>
      </c>
      <c r="M308" s="98">
        <v>12</v>
      </c>
      <c r="N308" s="98">
        <v>13</v>
      </c>
      <c r="O308" s="98">
        <v>14</v>
      </c>
      <c r="P308" s="98">
        <v>15</v>
      </c>
      <c r="Q308" s="98">
        <v>16</v>
      </c>
      <c r="R308" s="97">
        <v>17</v>
      </c>
    </row>
    <row r="309" spans="1:18" x14ac:dyDescent="0.2">
      <c r="A309" s="181">
        <v>1</v>
      </c>
      <c r="B309" s="168" t="s">
        <v>180</v>
      </c>
      <c r="C309" s="175" t="s">
        <v>846</v>
      </c>
      <c r="D309" s="197">
        <v>0</v>
      </c>
      <c r="E309" s="197">
        <f>D309+F309</f>
        <v>0.03</v>
      </c>
      <c r="F309" s="197">
        <v>0.03</v>
      </c>
      <c r="G309" s="177">
        <v>150</v>
      </c>
      <c r="H309" s="177" t="s">
        <v>4</v>
      </c>
      <c r="I309" s="177"/>
      <c r="J309" s="177"/>
      <c r="K309" s="177"/>
      <c r="L309" s="177"/>
      <c r="M309" s="177"/>
      <c r="N309" s="177"/>
      <c r="O309" s="177"/>
      <c r="P309" s="198"/>
      <c r="Q309" s="175">
        <v>80940020250</v>
      </c>
      <c r="R309" s="175">
        <v>80940020269</v>
      </c>
    </row>
    <row r="310" spans="1:18" x14ac:dyDescent="0.2">
      <c r="A310" s="182"/>
      <c r="B310" s="172"/>
      <c r="C310" s="175" t="s">
        <v>846</v>
      </c>
      <c r="D310" s="219">
        <f>E309</f>
        <v>0.03</v>
      </c>
      <c r="E310" s="219">
        <f t="shared" ref="E310:E334" si="28">D310+F310</f>
        <v>0.53</v>
      </c>
      <c r="F310" s="197">
        <v>0.5</v>
      </c>
      <c r="G310" s="177">
        <v>2158</v>
      </c>
      <c r="H310" s="177" t="s">
        <v>0</v>
      </c>
      <c r="I310" s="177"/>
      <c r="J310" s="177"/>
      <c r="K310" s="177"/>
      <c r="L310" s="177"/>
      <c r="M310" s="177"/>
      <c r="N310" s="177"/>
      <c r="O310" s="177"/>
      <c r="P310" s="198"/>
      <c r="Q310" s="175">
        <v>80940020250</v>
      </c>
      <c r="R310" s="175">
        <v>80940020269</v>
      </c>
    </row>
    <row r="311" spans="1:18" x14ac:dyDescent="0.2">
      <c r="A311" s="175">
        <v>2</v>
      </c>
      <c r="B311" s="176" t="s">
        <v>181</v>
      </c>
      <c r="C311" s="175" t="s">
        <v>846</v>
      </c>
      <c r="D311" s="219">
        <v>0</v>
      </c>
      <c r="E311" s="219">
        <f t="shared" si="28"/>
        <v>0.19500000000000001</v>
      </c>
      <c r="F311" s="197">
        <v>0.19500000000000001</v>
      </c>
      <c r="G311" s="177">
        <v>780</v>
      </c>
      <c r="H311" s="177" t="s">
        <v>0</v>
      </c>
      <c r="I311" s="177"/>
      <c r="J311" s="177"/>
      <c r="K311" s="177"/>
      <c r="L311" s="177"/>
      <c r="M311" s="177"/>
      <c r="N311" s="177"/>
      <c r="O311" s="177"/>
      <c r="P311" s="198"/>
      <c r="Q311" s="175">
        <v>80940020265</v>
      </c>
      <c r="R311" s="175">
        <v>80940020265</v>
      </c>
    </row>
    <row r="312" spans="1:18" x14ac:dyDescent="0.2">
      <c r="A312" s="175">
        <v>3</v>
      </c>
      <c r="B312" s="176" t="s">
        <v>182</v>
      </c>
      <c r="C312" s="175" t="s">
        <v>846</v>
      </c>
      <c r="D312" s="197">
        <v>0</v>
      </c>
      <c r="E312" s="197">
        <f t="shared" si="28"/>
        <v>0.28999999999999998</v>
      </c>
      <c r="F312" s="197">
        <v>0.28999999999999998</v>
      </c>
      <c r="G312" s="177">
        <v>1184</v>
      </c>
      <c r="H312" s="110" t="s">
        <v>1213</v>
      </c>
      <c r="I312" s="177"/>
      <c r="J312" s="177"/>
      <c r="K312" s="177"/>
      <c r="L312" s="177"/>
      <c r="M312" s="177"/>
      <c r="N312" s="177"/>
      <c r="O312" s="177"/>
      <c r="P312" s="198"/>
      <c r="Q312" s="175">
        <v>80940020261</v>
      </c>
      <c r="R312" s="175">
        <v>80940020261</v>
      </c>
    </row>
    <row r="313" spans="1:18" x14ac:dyDescent="0.2">
      <c r="A313" s="175">
        <v>4</v>
      </c>
      <c r="B313" s="176" t="s">
        <v>183</v>
      </c>
      <c r="C313" s="175" t="s">
        <v>846</v>
      </c>
      <c r="D313" s="197">
        <v>0</v>
      </c>
      <c r="E313" s="197">
        <f t="shared" si="28"/>
        <v>0.13500000000000001</v>
      </c>
      <c r="F313" s="197">
        <v>0.13500000000000001</v>
      </c>
      <c r="G313" s="177">
        <v>540</v>
      </c>
      <c r="H313" s="177" t="s">
        <v>0</v>
      </c>
      <c r="I313" s="177"/>
      <c r="J313" s="177"/>
      <c r="K313" s="177"/>
      <c r="L313" s="177"/>
      <c r="M313" s="177"/>
      <c r="N313" s="177"/>
      <c r="O313" s="177"/>
      <c r="P313" s="198"/>
      <c r="Q313" s="175">
        <v>80940020266</v>
      </c>
      <c r="R313" s="175">
        <v>80940020266</v>
      </c>
    </row>
    <row r="314" spans="1:18" x14ac:dyDescent="0.2">
      <c r="A314" s="175">
        <v>5</v>
      </c>
      <c r="B314" s="176" t="s">
        <v>184</v>
      </c>
      <c r="C314" s="175" t="s">
        <v>846</v>
      </c>
      <c r="D314" s="197">
        <v>0</v>
      </c>
      <c r="E314" s="197">
        <f t="shared" si="28"/>
        <v>0.23</v>
      </c>
      <c r="F314" s="219">
        <v>0.23</v>
      </c>
      <c r="G314" s="177">
        <v>920</v>
      </c>
      <c r="H314" s="110" t="s">
        <v>1213</v>
      </c>
      <c r="I314" s="177"/>
      <c r="J314" s="177"/>
      <c r="K314" s="177"/>
      <c r="L314" s="177"/>
      <c r="M314" s="177"/>
      <c r="N314" s="177"/>
      <c r="O314" s="177"/>
      <c r="P314" s="198"/>
      <c r="Q314" s="175">
        <v>80940020257</v>
      </c>
      <c r="R314" s="175">
        <v>80940020257</v>
      </c>
    </row>
    <row r="315" spans="1:18" x14ac:dyDescent="0.2">
      <c r="A315" s="180">
        <v>6</v>
      </c>
      <c r="B315" s="176" t="s">
        <v>185</v>
      </c>
      <c r="C315" s="175" t="s">
        <v>846</v>
      </c>
      <c r="D315" s="197">
        <v>0</v>
      </c>
      <c r="E315" s="197">
        <f t="shared" si="28"/>
        <v>0.19</v>
      </c>
      <c r="F315" s="197">
        <v>0.19</v>
      </c>
      <c r="G315" s="177">
        <v>570</v>
      </c>
      <c r="H315" s="177" t="s">
        <v>0</v>
      </c>
      <c r="I315" s="177"/>
      <c r="J315" s="177"/>
      <c r="K315" s="177"/>
      <c r="L315" s="177"/>
      <c r="M315" s="177"/>
      <c r="N315" s="177"/>
      <c r="O315" s="177"/>
      <c r="P315" s="198"/>
      <c r="Q315" s="175">
        <v>80940020247</v>
      </c>
      <c r="R315" s="175">
        <v>80940020254</v>
      </c>
    </row>
    <row r="316" spans="1:18" x14ac:dyDescent="0.2">
      <c r="A316" s="181">
        <v>7</v>
      </c>
      <c r="B316" s="168" t="s">
        <v>186</v>
      </c>
      <c r="C316" s="175" t="s">
        <v>845</v>
      </c>
      <c r="D316" s="197">
        <v>0</v>
      </c>
      <c r="E316" s="197">
        <f t="shared" si="28"/>
        <v>0.15</v>
      </c>
      <c r="F316" s="197">
        <v>0.15</v>
      </c>
      <c r="G316" s="177">
        <v>600</v>
      </c>
      <c r="H316" s="177" t="s">
        <v>0</v>
      </c>
      <c r="I316" s="177"/>
      <c r="J316" s="177"/>
      <c r="K316" s="177"/>
      <c r="L316" s="177"/>
      <c r="M316" s="177"/>
      <c r="N316" s="177"/>
      <c r="O316" s="177"/>
      <c r="P316" s="198"/>
      <c r="Q316" s="175">
        <v>80940020255</v>
      </c>
      <c r="R316" s="175">
        <v>80940020255</v>
      </c>
    </row>
    <row r="317" spans="1:18" x14ac:dyDescent="0.2">
      <c r="A317" s="182"/>
      <c r="B317" s="172"/>
      <c r="C317" s="175" t="s">
        <v>845</v>
      </c>
      <c r="D317" s="197">
        <f t="shared" ref="D317:D333" si="29">E316</f>
        <v>0.15</v>
      </c>
      <c r="E317" s="197">
        <f t="shared" si="28"/>
        <v>0.5</v>
      </c>
      <c r="F317" s="197">
        <v>0.35</v>
      </c>
      <c r="G317" s="177">
        <v>1890</v>
      </c>
      <c r="H317" s="177" t="s">
        <v>4</v>
      </c>
      <c r="I317" s="177"/>
      <c r="J317" s="177"/>
      <c r="K317" s="177"/>
      <c r="L317" s="177"/>
      <c r="M317" s="177"/>
      <c r="N317" s="177"/>
      <c r="O317" s="177"/>
      <c r="P317" s="198">
        <v>773</v>
      </c>
      <c r="Q317" s="175">
        <v>80940020272</v>
      </c>
      <c r="R317" s="175">
        <v>80940020255</v>
      </c>
    </row>
    <row r="318" spans="1:18" x14ac:dyDescent="0.2">
      <c r="A318" s="182"/>
      <c r="B318" s="172"/>
      <c r="C318" s="175" t="s">
        <v>845</v>
      </c>
      <c r="D318" s="197">
        <f t="shared" si="29"/>
        <v>0.5</v>
      </c>
      <c r="E318" s="197">
        <f t="shared" si="28"/>
        <v>0.80499999999999994</v>
      </c>
      <c r="F318" s="197">
        <v>0.30499999999999999</v>
      </c>
      <c r="G318" s="177">
        <v>1769</v>
      </c>
      <c r="H318" s="177" t="s">
        <v>4</v>
      </c>
      <c r="I318" s="177"/>
      <c r="J318" s="177"/>
      <c r="K318" s="177"/>
      <c r="L318" s="177"/>
      <c r="M318" s="177"/>
      <c r="N318" s="177"/>
      <c r="O318" s="177"/>
      <c r="P318" s="198"/>
      <c r="Q318" s="175">
        <v>80940020272</v>
      </c>
      <c r="R318" s="175">
        <v>80940020255</v>
      </c>
    </row>
    <row r="319" spans="1:18" x14ac:dyDescent="0.2">
      <c r="A319" s="182"/>
      <c r="B319" s="172"/>
      <c r="C319" s="175" t="s">
        <v>845</v>
      </c>
      <c r="D319" s="197">
        <f t="shared" si="29"/>
        <v>0.80499999999999994</v>
      </c>
      <c r="E319" s="197">
        <f t="shared" si="28"/>
        <v>0.89499999999999991</v>
      </c>
      <c r="F319" s="197">
        <v>0.09</v>
      </c>
      <c r="G319" s="177">
        <v>540</v>
      </c>
      <c r="H319" s="177" t="s">
        <v>0</v>
      </c>
      <c r="I319" s="177"/>
      <c r="J319" s="177"/>
      <c r="K319" s="177"/>
      <c r="L319" s="177"/>
      <c r="M319" s="177"/>
      <c r="N319" s="177"/>
      <c r="O319" s="177"/>
      <c r="P319" s="198"/>
      <c r="Q319" s="175">
        <v>80940020272</v>
      </c>
      <c r="R319" s="175">
        <v>80940020255</v>
      </c>
    </row>
    <row r="320" spans="1:18" x14ac:dyDescent="0.2">
      <c r="A320" s="199"/>
      <c r="B320" s="174"/>
      <c r="C320" s="175" t="s">
        <v>845</v>
      </c>
      <c r="D320" s="197">
        <f t="shared" si="29"/>
        <v>0.89499999999999991</v>
      </c>
      <c r="E320" s="197">
        <f t="shared" si="28"/>
        <v>1.25</v>
      </c>
      <c r="F320" s="197">
        <v>0.35499999999999998</v>
      </c>
      <c r="G320" s="177">
        <v>1598</v>
      </c>
      <c r="H320" s="177" t="s">
        <v>0</v>
      </c>
      <c r="I320" s="177"/>
      <c r="J320" s="177"/>
      <c r="K320" s="177"/>
      <c r="L320" s="177"/>
      <c r="M320" s="177"/>
      <c r="N320" s="177"/>
      <c r="O320" s="177"/>
      <c r="P320" s="198"/>
      <c r="Q320" s="175">
        <v>80940020272</v>
      </c>
      <c r="R320" s="175">
        <v>80940020255</v>
      </c>
    </row>
    <row r="321" spans="1:32" x14ac:dyDescent="0.2">
      <c r="A321" s="181">
        <v>8</v>
      </c>
      <c r="B321" s="168" t="s">
        <v>187</v>
      </c>
      <c r="C321" s="175" t="s">
        <v>846</v>
      </c>
      <c r="D321" s="197">
        <v>0</v>
      </c>
      <c r="E321" s="197">
        <f t="shared" si="28"/>
        <v>0.05</v>
      </c>
      <c r="F321" s="197">
        <v>0.05</v>
      </c>
      <c r="G321" s="177">
        <v>150</v>
      </c>
      <c r="H321" s="110" t="s">
        <v>1213</v>
      </c>
      <c r="I321" s="177"/>
      <c r="J321" s="177"/>
      <c r="K321" s="177"/>
      <c r="L321" s="177"/>
      <c r="M321" s="177"/>
      <c r="N321" s="177"/>
      <c r="O321" s="177"/>
      <c r="P321" s="198"/>
      <c r="Q321" s="175">
        <v>80940020275</v>
      </c>
      <c r="R321" s="175">
        <v>80940020275</v>
      </c>
    </row>
    <row r="322" spans="1:32" x14ac:dyDescent="0.2">
      <c r="A322" s="182"/>
      <c r="B322" s="172"/>
      <c r="C322" s="175" t="s">
        <v>846</v>
      </c>
      <c r="D322" s="197">
        <v>9.5000000000000001E-2</v>
      </c>
      <c r="E322" s="197">
        <f t="shared" si="28"/>
        <v>0.43999999999999995</v>
      </c>
      <c r="F322" s="197">
        <v>0.34499999999999997</v>
      </c>
      <c r="G322" s="177">
        <v>1380</v>
      </c>
      <c r="H322" s="110" t="s">
        <v>1213</v>
      </c>
      <c r="I322" s="177"/>
      <c r="J322" s="177"/>
      <c r="K322" s="177"/>
      <c r="L322" s="177"/>
      <c r="M322" s="177"/>
      <c r="N322" s="177"/>
      <c r="O322" s="177"/>
      <c r="P322" s="198"/>
      <c r="Q322" s="175">
        <v>80940020014</v>
      </c>
      <c r="R322" s="175">
        <v>80940020014</v>
      </c>
    </row>
    <row r="323" spans="1:32" x14ac:dyDescent="0.2">
      <c r="A323" s="199"/>
      <c r="B323" s="174"/>
      <c r="C323" s="175" t="s">
        <v>846</v>
      </c>
      <c r="D323" s="197">
        <f t="shared" si="29"/>
        <v>0.43999999999999995</v>
      </c>
      <c r="E323" s="197">
        <f t="shared" si="28"/>
        <v>0.78499999999999992</v>
      </c>
      <c r="F323" s="197">
        <v>0.34499999999999997</v>
      </c>
      <c r="G323" s="177">
        <v>1380</v>
      </c>
      <c r="H323" s="110" t="s">
        <v>1213</v>
      </c>
      <c r="I323" s="177"/>
      <c r="J323" s="177"/>
      <c r="K323" s="177"/>
      <c r="L323" s="177"/>
      <c r="M323" s="177"/>
      <c r="N323" s="177"/>
      <c r="O323" s="177"/>
      <c r="P323" s="198"/>
      <c r="Q323" s="175">
        <v>80940020263</v>
      </c>
      <c r="R323" s="175">
        <v>80940020263</v>
      </c>
    </row>
    <row r="324" spans="1:32" x14ac:dyDescent="0.2">
      <c r="A324" s="181">
        <v>9</v>
      </c>
      <c r="B324" s="168" t="s">
        <v>188</v>
      </c>
      <c r="C324" s="167" t="s">
        <v>846</v>
      </c>
      <c r="D324" s="197">
        <v>0</v>
      </c>
      <c r="E324" s="197">
        <f t="shared" si="28"/>
        <v>0.36499999999999999</v>
      </c>
      <c r="F324" s="197">
        <v>0.36499999999999999</v>
      </c>
      <c r="G324" s="177">
        <v>1643</v>
      </c>
      <c r="H324" s="110" t="s">
        <v>1213</v>
      </c>
      <c r="I324" s="177"/>
      <c r="J324" s="177"/>
      <c r="K324" s="177"/>
      <c r="L324" s="177"/>
      <c r="M324" s="177"/>
      <c r="N324" s="177"/>
      <c r="O324" s="177"/>
      <c r="P324" s="198"/>
      <c r="Q324" s="175">
        <v>80940020256</v>
      </c>
      <c r="R324" s="175">
        <v>80940020256</v>
      </c>
    </row>
    <row r="325" spans="1:32" x14ac:dyDescent="0.2">
      <c r="A325" s="181">
        <v>10</v>
      </c>
      <c r="B325" s="168" t="s">
        <v>189</v>
      </c>
      <c r="C325" s="175" t="s">
        <v>845</v>
      </c>
      <c r="D325" s="197">
        <v>0</v>
      </c>
      <c r="E325" s="197">
        <f t="shared" si="28"/>
        <v>0.19</v>
      </c>
      <c r="F325" s="197">
        <v>0.19</v>
      </c>
      <c r="G325" s="177">
        <v>1140</v>
      </c>
      <c r="H325" s="110" t="s">
        <v>1213</v>
      </c>
      <c r="I325" s="177"/>
      <c r="J325" s="177"/>
      <c r="K325" s="177"/>
      <c r="L325" s="177"/>
      <c r="M325" s="177"/>
      <c r="N325" s="177"/>
      <c r="O325" s="177"/>
      <c r="P325" s="198"/>
      <c r="Q325" s="175">
        <v>80940020264</v>
      </c>
      <c r="R325" s="175">
        <v>80940020264</v>
      </c>
    </row>
    <row r="326" spans="1:32" x14ac:dyDescent="0.2">
      <c r="A326" s="182"/>
      <c r="B326" s="172"/>
      <c r="C326" s="175" t="s">
        <v>845</v>
      </c>
      <c r="D326" s="197">
        <f t="shared" ref="D326" si="30">E325</f>
        <v>0.19</v>
      </c>
      <c r="E326" s="197">
        <f t="shared" si="28"/>
        <v>0.4</v>
      </c>
      <c r="F326" s="197">
        <v>0.21</v>
      </c>
      <c r="G326" s="177">
        <v>1680</v>
      </c>
      <c r="H326" s="110" t="s">
        <v>1213</v>
      </c>
      <c r="I326" s="177"/>
      <c r="J326" s="177"/>
      <c r="K326" s="177"/>
      <c r="L326" s="177"/>
      <c r="M326" s="177"/>
      <c r="N326" s="177"/>
      <c r="O326" s="177"/>
      <c r="P326" s="198"/>
      <c r="Q326" s="175">
        <v>80940020273</v>
      </c>
      <c r="R326" s="175">
        <v>80940020273</v>
      </c>
    </row>
    <row r="327" spans="1:32" x14ac:dyDescent="0.2">
      <c r="A327" s="182"/>
      <c r="B327" s="172"/>
      <c r="C327" s="175" t="s">
        <v>845</v>
      </c>
      <c r="D327" s="197">
        <v>0.4</v>
      </c>
      <c r="E327" s="197">
        <v>0.7</v>
      </c>
      <c r="F327" s="197">
        <v>0.3</v>
      </c>
      <c r="G327" s="177">
        <v>2400</v>
      </c>
      <c r="H327" s="177" t="s">
        <v>0</v>
      </c>
      <c r="I327" s="177"/>
      <c r="J327" s="177"/>
      <c r="K327" s="177"/>
      <c r="L327" s="177"/>
      <c r="M327" s="177"/>
      <c r="N327" s="177"/>
      <c r="O327" s="177"/>
      <c r="P327" s="198"/>
      <c r="Q327" s="175">
        <v>80940020273</v>
      </c>
      <c r="R327" s="175">
        <v>80940020273</v>
      </c>
    </row>
    <row r="328" spans="1:32" x14ac:dyDescent="0.2">
      <c r="A328" s="199"/>
      <c r="B328" s="174"/>
      <c r="C328" s="175" t="s">
        <v>845</v>
      </c>
      <c r="D328" s="197">
        <v>0.7</v>
      </c>
      <c r="E328" s="197">
        <f t="shared" si="28"/>
        <v>0.79999999999999993</v>
      </c>
      <c r="F328" s="197">
        <v>0.1</v>
      </c>
      <c r="G328" s="177">
        <v>600</v>
      </c>
      <c r="H328" s="177" t="s">
        <v>0</v>
      </c>
      <c r="I328" s="177"/>
      <c r="J328" s="177"/>
      <c r="K328" s="177"/>
      <c r="L328" s="177"/>
      <c r="M328" s="177"/>
      <c r="N328" s="177"/>
      <c r="O328" s="177"/>
      <c r="P328" s="198"/>
      <c r="Q328" s="175">
        <v>80940020324</v>
      </c>
      <c r="R328" s="175">
        <v>80940020324</v>
      </c>
    </row>
    <row r="329" spans="1:32" x14ac:dyDescent="0.2">
      <c r="A329" s="180">
        <v>11</v>
      </c>
      <c r="B329" s="176" t="s">
        <v>190</v>
      </c>
      <c r="C329" s="175" t="s">
        <v>846</v>
      </c>
      <c r="D329" s="197">
        <v>0</v>
      </c>
      <c r="E329" s="197">
        <f t="shared" si="28"/>
        <v>7.4999999999999997E-2</v>
      </c>
      <c r="F329" s="197">
        <v>7.4999999999999997E-2</v>
      </c>
      <c r="G329" s="177">
        <v>225</v>
      </c>
      <c r="H329" s="177" t="s">
        <v>0</v>
      </c>
      <c r="I329" s="177"/>
      <c r="J329" s="177"/>
      <c r="K329" s="177"/>
      <c r="L329" s="177"/>
      <c r="M329" s="177"/>
      <c r="N329" s="177"/>
      <c r="O329" s="177"/>
      <c r="P329" s="198"/>
      <c r="Q329" s="175">
        <v>80940020267</v>
      </c>
      <c r="R329" s="175">
        <v>80940020267</v>
      </c>
    </row>
    <row r="330" spans="1:32" x14ac:dyDescent="0.2">
      <c r="A330" s="167">
        <v>12</v>
      </c>
      <c r="B330" s="168" t="s">
        <v>230</v>
      </c>
      <c r="C330" s="167" t="s">
        <v>846</v>
      </c>
      <c r="D330" s="219">
        <v>0</v>
      </c>
      <c r="E330" s="219">
        <f t="shared" si="28"/>
        <v>1.1200000000000001</v>
      </c>
      <c r="F330" s="392">
        <v>1.1200000000000001</v>
      </c>
      <c r="G330" s="393">
        <v>4480</v>
      </c>
      <c r="H330" s="393" t="s">
        <v>0</v>
      </c>
      <c r="I330" s="393"/>
      <c r="J330" s="393"/>
      <c r="K330" s="393"/>
      <c r="L330" s="393"/>
      <c r="M330" s="393"/>
      <c r="N330" s="393"/>
      <c r="O330" s="393"/>
      <c r="P330" s="393"/>
      <c r="Q330" s="226">
        <v>80940020268</v>
      </c>
      <c r="R330" s="226">
        <v>80940020268</v>
      </c>
    </row>
    <row r="331" spans="1:32" x14ac:dyDescent="0.2">
      <c r="A331" s="181">
        <v>13</v>
      </c>
      <c r="B331" s="168" t="s">
        <v>159</v>
      </c>
      <c r="C331" s="175" t="s">
        <v>846</v>
      </c>
      <c r="D331" s="197">
        <v>0</v>
      </c>
      <c r="E331" s="197">
        <f t="shared" si="28"/>
        <v>0.08</v>
      </c>
      <c r="F331" s="197">
        <v>0.08</v>
      </c>
      <c r="G331" s="177">
        <v>320</v>
      </c>
      <c r="H331" s="177" t="s">
        <v>0</v>
      </c>
      <c r="I331" s="177"/>
      <c r="J331" s="177"/>
      <c r="K331" s="177"/>
      <c r="L331" s="177"/>
      <c r="M331" s="177"/>
      <c r="N331" s="177"/>
      <c r="O331" s="177"/>
      <c r="P331" s="198"/>
      <c r="Q331" s="175">
        <v>80940020275</v>
      </c>
      <c r="R331" s="175">
        <v>80940020262</v>
      </c>
    </row>
    <row r="332" spans="1:32" x14ac:dyDescent="0.2">
      <c r="A332" s="182"/>
      <c r="B332" s="172"/>
      <c r="C332" s="175" t="s">
        <v>846</v>
      </c>
      <c r="D332" s="197">
        <v>0.24</v>
      </c>
      <c r="E332" s="197">
        <f t="shared" si="28"/>
        <v>0.375</v>
      </c>
      <c r="F332" s="197">
        <v>0.13500000000000001</v>
      </c>
      <c r="G332" s="177">
        <v>608</v>
      </c>
      <c r="H332" s="177" t="s">
        <v>0</v>
      </c>
      <c r="I332" s="177"/>
      <c r="J332" s="177"/>
      <c r="K332" s="177"/>
      <c r="L332" s="177"/>
      <c r="M332" s="177"/>
      <c r="N332" s="177"/>
      <c r="O332" s="177"/>
      <c r="P332" s="198"/>
      <c r="Q332" s="175">
        <v>80940020275</v>
      </c>
      <c r="R332" s="175">
        <v>80940020262</v>
      </c>
    </row>
    <row r="333" spans="1:32" x14ac:dyDescent="0.2">
      <c r="A333" s="199"/>
      <c r="B333" s="174"/>
      <c r="C333" s="175" t="s">
        <v>846</v>
      </c>
      <c r="D333" s="197">
        <f t="shared" si="29"/>
        <v>0.375</v>
      </c>
      <c r="E333" s="197">
        <f t="shared" si="28"/>
        <v>0.71500000000000008</v>
      </c>
      <c r="F333" s="197">
        <v>0.34</v>
      </c>
      <c r="G333" s="177">
        <v>1530</v>
      </c>
      <c r="H333" s="177" t="s">
        <v>0</v>
      </c>
      <c r="I333" s="177"/>
      <c r="J333" s="177"/>
      <c r="K333" s="177"/>
      <c r="L333" s="177"/>
      <c r="M333" s="177"/>
      <c r="N333" s="177"/>
      <c r="O333" s="177"/>
      <c r="P333" s="198"/>
      <c r="Q333" s="175">
        <v>80940020262</v>
      </c>
      <c r="R333" s="175">
        <v>80940020262</v>
      </c>
    </row>
    <row r="334" spans="1:32" ht="15" x14ac:dyDescent="0.25">
      <c r="A334" s="180">
        <v>14</v>
      </c>
      <c r="B334" s="176" t="s">
        <v>191</v>
      </c>
      <c r="C334" s="175" t="s">
        <v>846</v>
      </c>
      <c r="D334" s="197">
        <v>0</v>
      </c>
      <c r="E334" s="197">
        <f t="shared" si="28"/>
        <v>0.09</v>
      </c>
      <c r="F334" s="197">
        <v>0.09</v>
      </c>
      <c r="G334" s="177">
        <v>270</v>
      </c>
      <c r="H334" s="177" t="s">
        <v>0</v>
      </c>
      <c r="I334" s="177"/>
      <c r="J334" s="177"/>
      <c r="K334" s="177"/>
      <c r="L334" s="177"/>
      <c r="M334" s="177"/>
      <c r="N334" s="177"/>
      <c r="O334" s="177"/>
      <c r="P334" s="198"/>
      <c r="Q334" s="175">
        <v>80940020252</v>
      </c>
      <c r="R334" s="175">
        <v>80940020270</v>
      </c>
      <c r="S334"/>
    </row>
    <row r="335" spans="1:32" ht="12.75" customHeight="1" x14ac:dyDescent="0.25">
      <c r="A335" s="137" t="s">
        <v>408</v>
      </c>
      <c r="B335" s="138"/>
      <c r="C335" s="485"/>
      <c r="D335" s="139"/>
      <c r="E335" s="140"/>
      <c r="F335" s="141">
        <f>SUM(F309:F334)</f>
        <v>6.5649999999999995</v>
      </c>
      <c r="G335" s="142">
        <f>SUM(G309:G334)</f>
        <v>30505</v>
      </c>
      <c r="H335" s="143"/>
      <c r="I335" s="94"/>
      <c r="J335" s="144"/>
      <c r="K335" s="145" t="s">
        <v>268</v>
      </c>
      <c r="L335" s="146">
        <f>SUM(L309:L334)</f>
        <v>0</v>
      </c>
      <c r="M335" s="146">
        <f>SUM(M309:M334)</f>
        <v>0</v>
      </c>
      <c r="N335" s="147"/>
      <c r="O335" s="145" t="s">
        <v>269</v>
      </c>
      <c r="P335" s="146">
        <f>SUM(P309:P334)</f>
        <v>773</v>
      </c>
      <c r="Q335" s="147"/>
      <c r="R335" s="147"/>
      <c r="S335" s="102"/>
      <c r="T335"/>
      <c r="U335"/>
      <c r="V335"/>
      <c r="W335"/>
      <c r="X335"/>
      <c r="Y335"/>
      <c r="Z335"/>
      <c r="AA335" t="s">
        <v>1097</v>
      </c>
      <c r="AB335"/>
      <c r="AC335"/>
      <c r="AD335"/>
      <c r="AE335"/>
      <c r="AF335"/>
    </row>
    <row r="336" spans="1:32" ht="12.75" customHeight="1" x14ac:dyDescent="0.2">
      <c r="A336" s="148" t="s">
        <v>1214</v>
      </c>
      <c r="B336" s="149"/>
      <c r="C336" s="485"/>
      <c r="D336" s="139"/>
      <c r="E336" s="140"/>
      <c r="F336" s="163">
        <f>SUMIFS(F309:F334,H309:H334,"dubultā virsma")</f>
        <v>2.0249999999999999</v>
      </c>
      <c r="G336" s="192">
        <f>SUMIFS(G309:G334,H309:H334,"dubultā virsma")</f>
        <v>9477</v>
      </c>
      <c r="H336" s="143"/>
      <c r="I336" s="94"/>
      <c r="J336" s="144"/>
      <c r="K336" s="675"/>
      <c r="L336" s="676"/>
      <c r="M336" s="676"/>
      <c r="N336" s="147"/>
      <c r="O336" s="675"/>
      <c r="P336" s="676"/>
      <c r="Q336" s="147"/>
      <c r="R336" s="147"/>
      <c r="S336" s="102"/>
      <c r="T336" s="625" t="s">
        <v>1092</v>
      </c>
      <c r="U336" s="625" t="s">
        <v>1093</v>
      </c>
      <c r="V336" s="625" t="s">
        <v>1094</v>
      </c>
      <c r="W336" s="625" t="s">
        <v>1095</v>
      </c>
      <c r="X336" s="625" t="s">
        <v>1096</v>
      </c>
      <c r="Y336" s="627" t="s">
        <v>269</v>
      </c>
      <c r="Z336" s="102"/>
      <c r="AA336" s="625" t="s">
        <v>1092</v>
      </c>
      <c r="AB336" s="625" t="s">
        <v>1093</v>
      </c>
      <c r="AC336" s="625" t="s">
        <v>1094</v>
      </c>
      <c r="AD336" s="625" t="s">
        <v>1095</v>
      </c>
      <c r="AE336" s="625" t="s">
        <v>1096</v>
      </c>
      <c r="AF336" s="627" t="s">
        <v>269</v>
      </c>
    </row>
    <row r="337" spans="1:32" ht="12.75" customHeight="1" x14ac:dyDescent="0.2">
      <c r="A337" s="148" t="s">
        <v>270</v>
      </c>
      <c r="B337" s="149"/>
      <c r="C337" s="486"/>
      <c r="D337" s="150"/>
      <c r="E337" s="151"/>
      <c r="F337" s="163">
        <f>SUMIFS(F309:F334,H309:H334,"melnais")</f>
        <v>0.68500000000000005</v>
      </c>
      <c r="G337" s="192">
        <f>SUMIFS(G309:G334,H309:H334,"melnais")</f>
        <v>3809</v>
      </c>
      <c r="H337" s="154"/>
      <c r="I337" s="155"/>
      <c r="J337" s="147"/>
      <c r="K337" s="136"/>
      <c r="L337" s="156"/>
      <c r="M337" s="156"/>
      <c r="N337" s="147"/>
      <c r="O337" s="147"/>
      <c r="P337" s="147"/>
      <c r="Q337" s="147"/>
      <c r="R337" s="147"/>
      <c r="S337" s="628" t="s">
        <v>844</v>
      </c>
      <c r="T337" s="625" t="s">
        <v>231</v>
      </c>
      <c r="U337" s="625" t="s">
        <v>231</v>
      </c>
      <c r="V337" s="625" t="s">
        <v>231</v>
      </c>
      <c r="W337" s="625" t="s">
        <v>231</v>
      </c>
      <c r="X337" s="625" t="s">
        <v>231</v>
      </c>
      <c r="Y337" s="626" t="s">
        <v>231</v>
      </c>
      <c r="Z337" s="628"/>
      <c r="AA337" s="625" t="s">
        <v>231</v>
      </c>
      <c r="AB337" s="625" t="s">
        <v>231</v>
      </c>
      <c r="AC337" s="625" t="s">
        <v>231</v>
      </c>
      <c r="AD337" s="625" t="s">
        <v>231</v>
      </c>
      <c r="AE337" s="625" t="s">
        <v>231</v>
      </c>
      <c r="AF337" s="626" t="s">
        <v>231</v>
      </c>
    </row>
    <row r="338" spans="1:32" ht="12.75" customHeight="1" x14ac:dyDescent="0.2">
      <c r="A338" s="148" t="s">
        <v>271</v>
      </c>
      <c r="B338" s="149"/>
      <c r="C338" s="486"/>
      <c r="D338" s="150"/>
      <c r="E338" s="151"/>
      <c r="F338" s="163">
        <v>0</v>
      </c>
      <c r="G338" s="192"/>
      <c r="H338" s="162"/>
      <c r="I338" s="94"/>
      <c r="J338" s="159"/>
      <c r="K338" s="160"/>
      <c r="L338" s="160"/>
      <c r="M338" s="160"/>
      <c r="N338" s="161"/>
      <c r="O338" s="147"/>
      <c r="P338" s="147"/>
      <c r="Q338" s="147"/>
      <c r="R338" s="147"/>
      <c r="S338" s="616" t="s">
        <v>847</v>
      </c>
      <c r="T338" s="614">
        <f>SUMIFS(F300:F334,C300:C334,"A",H300:H334,"melnais")</f>
        <v>0</v>
      </c>
      <c r="U338" s="614">
        <f>SUMIFS(F300:F334,C300:C334,"A",H300:H334,"dubultā virsma")</f>
        <v>0</v>
      </c>
      <c r="V338" s="614">
        <f>SUMIFS(F300:F334,C300:C334,"A",H300:H334,"bruģis")</f>
        <v>0</v>
      </c>
      <c r="W338" s="614">
        <f>SUMIFS(F300:F334,C300:C334,"A",H300:H334,"grants")</f>
        <v>0</v>
      </c>
      <c r="X338" s="614">
        <f>SUMIFS(F300:F334,C300:C334,"A",H300:H334,"cits segums")</f>
        <v>0</v>
      </c>
      <c r="Y338" s="614">
        <f>SUM(T338:X338)</f>
        <v>0</v>
      </c>
      <c r="Z338" s="616" t="s">
        <v>847</v>
      </c>
      <c r="AA338" s="614">
        <f>SUMIFS(F300:F334,C300:C334,"A",H300:H334,"melnais", Q300:Q334,"Nepiederošs")</f>
        <v>0</v>
      </c>
      <c r="AB338" s="614">
        <f>SUMIFS(F300:F334,C300:C334,"A",H300:H334,"dubultā virsma", Q300:Q334,"Nepiederošs")</f>
        <v>0</v>
      </c>
      <c r="AC338" s="614">
        <f>SUMIFS(F300:F334,C300:C334,"A",H300:H334,"bruģis", Q300:Q334,"Nepiederošs")</f>
        <v>0</v>
      </c>
      <c r="AD338" s="614">
        <f>SUMIFS(F300:F334,C300:C334,"A",H300:H334,"grants", Q300:Q334,"Nepiederošs")</f>
        <v>0</v>
      </c>
      <c r="AE338" s="614">
        <f>SUMIFS(F300:F334,C300:C334,"A",H300:H334,"cits segums", Q300:Q334,"Nepiederošs")</f>
        <v>0</v>
      </c>
      <c r="AF338" s="614">
        <f>SUM(AA338:AE338)</f>
        <v>0</v>
      </c>
    </row>
    <row r="339" spans="1:32" ht="12.75" customHeight="1" x14ac:dyDescent="0.2">
      <c r="A339" s="148" t="s">
        <v>272</v>
      </c>
      <c r="B339" s="149"/>
      <c r="C339" s="486"/>
      <c r="D339" s="150"/>
      <c r="E339" s="151"/>
      <c r="F339" s="163">
        <f>SUMIFS(F309:F334,H309:H334,"grants")</f>
        <v>3.8550000000000004</v>
      </c>
      <c r="G339" s="192">
        <f>SUMIFS(G309:G334,H309:H334,"grants")</f>
        <v>17219</v>
      </c>
      <c r="H339" s="162"/>
      <c r="I339" s="162"/>
      <c r="J339" s="159"/>
      <c r="K339" s="160"/>
      <c r="L339" s="160"/>
      <c r="M339" s="160"/>
      <c r="N339" s="161"/>
      <c r="O339" s="147"/>
      <c r="P339" s="147"/>
      <c r="Q339" s="147"/>
      <c r="R339" s="147"/>
      <c r="S339" s="617" t="s">
        <v>848</v>
      </c>
      <c r="T339" s="614">
        <f>SUMIFS(F300:F334,C300:C334,"B",H300:H334,"melnais")</f>
        <v>0</v>
      </c>
      <c r="U339" s="614">
        <f>SUMIFS(F300:F334,C300:C334,"B",H300:H334,"dubultā virsma")</f>
        <v>0</v>
      </c>
      <c r="V339" s="614">
        <f>SUMIFS(F300:F334,C300:C334,"B",H300:H334,"bruģis")</f>
        <v>0</v>
      </c>
      <c r="W339" s="614">
        <f>SUMIFS(F300:F334,C300:C334,"B",H300:H334,"grants")</f>
        <v>0</v>
      </c>
      <c r="X339" s="614">
        <f>SUMIFS(F300:F334,C300:C334,"B",H300:H334,"cits segums")</f>
        <v>0</v>
      </c>
      <c r="Y339" s="614">
        <f t="shared" ref="Y339:Y341" si="31">SUM(T339:X339)</f>
        <v>0</v>
      </c>
      <c r="Z339" s="617" t="s">
        <v>848</v>
      </c>
      <c r="AA339" s="614">
        <f>SUMIFS(F300:F334,C300:C334,"B",H300:H334,"melnais", Q300:Q334,"Nepiederošs")</f>
        <v>0</v>
      </c>
      <c r="AB339" s="614">
        <f>SUMIFS(F300:F334,C300:C334,"B",H300:H334,"dubultā virsma", Q300:Q334,"Nepiederošs")</f>
        <v>0</v>
      </c>
      <c r="AC339" s="614">
        <f>SUMIFS(F300:F334,C300:C334,"B",H300:H334,"bruģis", Q300:Q334,"Nepiederošs")</f>
        <v>0</v>
      </c>
      <c r="AD339" s="614">
        <f>SUMIFS(F300:F334,C300:C334,"B",H300:H334,"grants", Q300:Q334,"Nepiederošs")</f>
        <v>0</v>
      </c>
      <c r="AE339" s="614">
        <f>SUMIFS(F300:F334,C300:C334,"B",H300:H334,"cits segums", Q300:Q334,"Nepiederošs")</f>
        <v>0</v>
      </c>
      <c r="AF339" s="614">
        <f t="shared" ref="AF339:AF341" si="32">SUM(AA339:AE339)</f>
        <v>0</v>
      </c>
    </row>
    <row r="340" spans="1:32" ht="12.75" customHeight="1" x14ac:dyDescent="0.2">
      <c r="A340" s="148" t="s">
        <v>401</v>
      </c>
      <c r="B340" s="149"/>
      <c r="C340" s="486"/>
      <c r="D340" s="150"/>
      <c r="E340" s="151"/>
      <c r="F340" s="163">
        <f>SUMIFS(F309:F334,H309:H334,"cits segums")</f>
        <v>0</v>
      </c>
      <c r="G340" s="192">
        <f>SUMIFS(G309:G334,H309:H334,"cits segums")</f>
        <v>0</v>
      </c>
      <c r="H340" s="165"/>
      <c r="I340" s="162"/>
      <c r="J340" s="166"/>
      <c r="K340" s="160"/>
      <c r="L340" s="160"/>
      <c r="M340" s="160"/>
      <c r="N340" s="161"/>
      <c r="O340" s="147"/>
      <c r="P340" s="147"/>
      <c r="Q340" s="147"/>
      <c r="R340" s="147"/>
      <c r="S340" s="615" t="s">
        <v>845</v>
      </c>
      <c r="T340" s="614">
        <f>SUMIFS(F300:F334,C300:C334,"C",H300:H334,"melnais")</f>
        <v>0.65500000000000003</v>
      </c>
      <c r="U340" s="614">
        <f>SUMIFS(F300:F334,C300:C334,"C",H300:H334,"dubultā virsma")</f>
        <v>0.4</v>
      </c>
      <c r="V340" s="614">
        <f>SUMIFS(F300:F334,C300:C334,"C",H300:H334,"bruģis")</f>
        <v>0</v>
      </c>
      <c r="W340" s="614">
        <f>SUMIFS(F300:F334,C300:C334,"C",H300:H334,"grants")</f>
        <v>0.995</v>
      </c>
      <c r="X340" s="614">
        <f>SUMIFS(F300:F334,C300:C334,"C",H300:H334,"cits segums")</f>
        <v>0</v>
      </c>
      <c r="Y340" s="614">
        <f t="shared" si="31"/>
        <v>2.0500000000000003</v>
      </c>
      <c r="Z340" s="615" t="s">
        <v>845</v>
      </c>
      <c r="AA340" s="614">
        <f>SUMIFS(F300:F334,C300:C334,"C",H300:H334,"melnais", Q300:Q334,"Nepiederošs")</f>
        <v>0</v>
      </c>
      <c r="AB340" s="614">
        <f>SUMIFS(F300:F334,C300:C334,"C",H300:H334,"dubultā virsma", Q300:Q334,"Nepiederošs")</f>
        <v>0</v>
      </c>
      <c r="AC340" s="614">
        <f>SUMIFS(F300:F334,C300:C334,"C",H300:H334,"bruģis", Q300:Q334,"Nepiederošs")</f>
        <v>0</v>
      </c>
      <c r="AD340" s="614">
        <f>SUMIFS(F300:F334,C300:C334,"C",H300:H334,"grants", Q300:Q334,"Nepiederošs")</f>
        <v>0</v>
      </c>
      <c r="AE340" s="614">
        <f>SUMIFS(F300:F334,C300:C334,"C",H300:H334,"cits segums", Q300:Q334,"Nepiederošs")</f>
        <v>0</v>
      </c>
      <c r="AF340" s="614">
        <f t="shared" si="32"/>
        <v>0</v>
      </c>
    </row>
    <row r="341" spans="1:32" ht="12.75" customHeight="1" x14ac:dyDescent="0.2">
      <c r="A341" s="193"/>
      <c r="B341" s="193"/>
      <c r="C341" s="33"/>
      <c r="D341" s="38"/>
      <c r="E341" s="38"/>
      <c r="F341" s="194"/>
      <c r="G341" s="195"/>
      <c r="H341" s="165"/>
      <c r="I341" s="162"/>
      <c r="J341" s="166"/>
      <c r="K341" s="160"/>
      <c r="L341" s="160"/>
      <c r="M341" s="160"/>
      <c r="N341" s="161"/>
      <c r="O341" s="147"/>
      <c r="P341" s="147"/>
      <c r="Q341" s="147"/>
      <c r="R341" s="147"/>
      <c r="S341" s="616" t="s">
        <v>846</v>
      </c>
      <c r="T341" s="614">
        <f>SUMIFS(F300:F334,C300:C334,"D",H300:H334,"melnais")</f>
        <v>0.03</v>
      </c>
      <c r="U341" s="614">
        <f>SUMIFS(F300:F334,C300:C334,"D",H300:H334,"dubultā virsma")</f>
        <v>1.625</v>
      </c>
      <c r="V341" s="614">
        <f>SUMIFS(F300:F334,C300:C334,"D",H300:H334,"bruģis")</f>
        <v>0</v>
      </c>
      <c r="W341" s="614">
        <f>SUMIFS(F300:F334,C300:C334,"D",H300:H334,"grants")</f>
        <v>2.8599999999999994</v>
      </c>
      <c r="X341" s="614">
        <f>SUMIFS(F300:F334,C300:C334,"D",H300:H334,"cits segums")</f>
        <v>0</v>
      </c>
      <c r="Y341" s="614">
        <f t="shared" si="31"/>
        <v>4.5149999999999997</v>
      </c>
      <c r="Z341" s="616" t="s">
        <v>846</v>
      </c>
      <c r="AA341" s="614">
        <f>SUMIFS(F300:F334,C300:C334,"D",H300:H334,"melnais", Q300:Q334,"Nepiederošs")</f>
        <v>0</v>
      </c>
      <c r="AB341" s="614">
        <f>SUMIFS(F300:F334,C300:C334,"D",H300:H334,"dubultā virsma", Q300:Q334,"Nepiederošs")</f>
        <v>0</v>
      </c>
      <c r="AC341" s="614">
        <f>SUMIFS(F300:F334,C300:C334,"D",H300:H334,"bruģis", Q300:Q334,"Nepiederošs")</f>
        <v>0</v>
      </c>
      <c r="AD341" s="614">
        <f>SUMIFS(F300:F334,C300:C334,"D",H300:H334,"grants", Q300:Q334,"Nepiederošs")</f>
        <v>0</v>
      </c>
      <c r="AE341" s="614">
        <f>SUMIFS(F300:F334,C300:C334,"D",H300:H334,"cits segums", Q300:Q334,"Nepiederošs")</f>
        <v>0</v>
      </c>
      <c r="AF341" s="614">
        <f t="shared" si="32"/>
        <v>0</v>
      </c>
    </row>
    <row r="342" spans="1:32" s="38" customFormat="1" ht="15" customHeight="1" x14ac:dyDescent="0.25">
      <c r="A342" s="33"/>
      <c r="C342" s="487"/>
      <c r="D342" s="813" t="s">
        <v>1065</v>
      </c>
      <c r="E342" s="813"/>
      <c r="F342" s="813"/>
      <c r="G342" s="813"/>
      <c r="H342" s="813"/>
      <c r="I342" s="813"/>
      <c r="J342" s="813"/>
      <c r="K342" s="813"/>
      <c r="L342" s="813"/>
      <c r="M342" s="813"/>
      <c r="N342" s="813"/>
      <c r="O342" s="813"/>
      <c r="P342" s="813"/>
      <c r="Q342" s="30"/>
      <c r="R342" s="37"/>
      <c r="S342" s="637"/>
      <c r="T342" s="629">
        <f>SUM(T338:T341)</f>
        <v>0.68500000000000005</v>
      </c>
      <c r="U342" s="629">
        <f t="shared" ref="U342" si="33">SUM(U338:U341)</f>
        <v>2.0249999999999999</v>
      </c>
      <c r="V342" s="629">
        <f t="shared" ref="V342" si="34">SUM(V338:V341)</f>
        <v>0</v>
      </c>
      <c r="W342" s="629">
        <f t="shared" ref="W342" si="35">SUM(W338:W341)</f>
        <v>3.8549999999999995</v>
      </c>
      <c r="X342" s="629">
        <f t="shared" ref="X342" si="36">SUM(X338:X341)</f>
        <v>0</v>
      </c>
      <c r="Y342" s="629">
        <f t="shared" ref="Y342" si="37">SUM(Y338:Y341)</f>
        <v>6.5649999999999995</v>
      </c>
      <c r="Z342"/>
      <c r="AA342" s="629">
        <f>SUM(AA338:AA341)</f>
        <v>0</v>
      </c>
      <c r="AB342" s="629">
        <f t="shared" ref="AB342" si="38">SUM(AB338:AB341)</f>
        <v>0</v>
      </c>
      <c r="AC342" s="629">
        <f>SUM(AC338:AC341)</f>
        <v>0</v>
      </c>
      <c r="AD342" s="629">
        <f t="shared" ref="AD342" si="39">SUM(AD338:AD341)</f>
        <v>0</v>
      </c>
      <c r="AE342" s="629">
        <f t="shared" ref="AE342" si="40">SUM(AE338:AE341)</f>
        <v>0</v>
      </c>
      <c r="AF342" s="629">
        <f t="shared" ref="AF342" si="41">SUM(AF338:AF341)</f>
        <v>0</v>
      </c>
    </row>
    <row r="343" spans="1:32" ht="12.75" customHeight="1" x14ac:dyDescent="0.2">
      <c r="A343" s="818" t="s">
        <v>244</v>
      </c>
      <c r="B343" s="825" t="s">
        <v>388</v>
      </c>
      <c r="C343" s="482"/>
      <c r="D343" s="826" t="s">
        <v>246</v>
      </c>
      <c r="E343" s="827"/>
      <c r="F343" s="827"/>
      <c r="G343" s="827"/>
      <c r="H343" s="827"/>
      <c r="I343" s="827"/>
      <c r="J343" s="827"/>
      <c r="K343" s="827"/>
      <c r="L343" s="827"/>
      <c r="M343" s="827"/>
      <c r="N343" s="827"/>
      <c r="O343" s="827"/>
      <c r="P343" s="828"/>
      <c r="Q343" s="821" t="s">
        <v>247</v>
      </c>
      <c r="R343" s="822"/>
    </row>
    <row r="344" spans="1:32" ht="12.75" customHeight="1" x14ac:dyDescent="0.2">
      <c r="A344" s="818"/>
      <c r="B344" s="825"/>
      <c r="C344" s="410"/>
      <c r="D344" s="816" t="s">
        <v>389</v>
      </c>
      <c r="E344" s="816"/>
      <c r="F344" s="816"/>
      <c r="G344" s="816"/>
      <c r="H344" s="816"/>
      <c r="I344" s="814" t="s">
        <v>249</v>
      </c>
      <c r="J344" s="814"/>
      <c r="K344" s="814"/>
      <c r="L344" s="814"/>
      <c r="M344" s="814"/>
      <c r="N344" s="814"/>
      <c r="O344" s="814"/>
      <c r="P344" s="815" t="s">
        <v>250</v>
      </c>
      <c r="Q344" s="823"/>
      <c r="R344" s="824"/>
    </row>
    <row r="345" spans="1:32" ht="15.2" customHeight="1" x14ac:dyDescent="0.2">
      <c r="A345" s="818"/>
      <c r="B345" s="825"/>
      <c r="C345" s="410"/>
      <c r="D345" s="816" t="s">
        <v>251</v>
      </c>
      <c r="E345" s="816"/>
      <c r="F345" s="817" t="s">
        <v>252</v>
      </c>
      <c r="G345" s="817" t="s">
        <v>257</v>
      </c>
      <c r="H345" s="818" t="s">
        <v>253</v>
      </c>
      <c r="I345" s="819" t="s">
        <v>254</v>
      </c>
      <c r="J345" s="814" t="s">
        <v>255</v>
      </c>
      <c r="K345" s="814"/>
      <c r="L345" s="820" t="s">
        <v>256</v>
      </c>
      <c r="M345" s="820" t="s">
        <v>257</v>
      </c>
      <c r="N345" s="820" t="s">
        <v>258</v>
      </c>
      <c r="O345" s="820" t="s">
        <v>259</v>
      </c>
      <c r="P345" s="809"/>
      <c r="Q345" s="809" t="s">
        <v>260</v>
      </c>
      <c r="R345" s="811" t="s">
        <v>261</v>
      </c>
    </row>
    <row r="346" spans="1:32" ht="33.75" customHeight="1" x14ac:dyDescent="0.2">
      <c r="A346" s="818"/>
      <c r="B346" s="825"/>
      <c r="C346" s="432" t="s">
        <v>844</v>
      </c>
      <c r="D346" s="95" t="s">
        <v>262</v>
      </c>
      <c r="E346" s="95" t="s">
        <v>263</v>
      </c>
      <c r="F346" s="817"/>
      <c r="G346" s="817"/>
      <c r="H346" s="818"/>
      <c r="I346" s="819"/>
      <c r="J346" s="96" t="s">
        <v>231</v>
      </c>
      <c r="K346" s="96" t="s">
        <v>264</v>
      </c>
      <c r="L346" s="820"/>
      <c r="M346" s="820"/>
      <c r="N346" s="820"/>
      <c r="O346" s="820"/>
      <c r="P346" s="810"/>
      <c r="Q346" s="810"/>
      <c r="R346" s="812"/>
    </row>
    <row r="347" spans="1:32" s="99" customFormat="1" ht="12" customHeight="1" x14ac:dyDescent="0.25">
      <c r="A347" s="200">
        <v>1</v>
      </c>
      <c r="B347" s="200">
        <v>2</v>
      </c>
      <c r="C347" s="200"/>
      <c r="D347" s="200">
        <v>3</v>
      </c>
      <c r="E347" s="200">
        <v>4</v>
      </c>
      <c r="F347" s="200">
        <v>5</v>
      </c>
      <c r="G347" s="200">
        <v>6</v>
      </c>
      <c r="H347" s="200">
        <v>7</v>
      </c>
      <c r="I347" s="201">
        <v>8</v>
      </c>
      <c r="J347" s="201">
        <v>9</v>
      </c>
      <c r="K347" s="201">
        <v>10</v>
      </c>
      <c r="L347" s="201">
        <v>11</v>
      </c>
      <c r="M347" s="201">
        <v>12</v>
      </c>
      <c r="N347" s="201">
        <v>13</v>
      </c>
      <c r="O347" s="201">
        <v>14</v>
      </c>
      <c r="P347" s="201">
        <v>15</v>
      </c>
      <c r="Q347" s="201">
        <v>16</v>
      </c>
      <c r="R347" s="200">
        <v>17</v>
      </c>
    </row>
    <row r="348" spans="1:32" x14ac:dyDescent="0.2">
      <c r="A348" s="167">
        <v>1</v>
      </c>
      <c r="B348" s="168" t="s">
        <v>174</v>
      </c>
      <c r="C348" s="175" t="s">
        <v>845</v>
      </c>
      <c r="D348" s="197">
        <v>0</v>
      </c>
      <c r="E348" s="197">
        <f>D348+F348</f>
        <v>0.14399999999999999</v>
      </c>
      <c r="F348" s="197">
        <v>0.14399999999999999</v>
      </c>
      <c r="G348" s="177">
        <v>720</v>
      </c>
      <c r="H348" s="177" t="s">
        <v>4</v>
      </c>
      <c r="I348" s="177"/>
      <c r="J348" s="177"/>
      <c r="K348" s="177"/>
      <c r="L348" s="177"/>
      <c r="M348" s="177"/>
      <c r="N348" s="177"/>
      <c r="O348" s="177"/>
      <c r="P348" s="177"/>
      <c r="Q348" s="175">
        <v>80940030033</v>
      </c>
      <c r="R348" s="175">
        <v>80940030220</v>
      </c>
    </row>
    <row r="349" spans="1:32" x14ac:dyDescent="0.2">
      <c r="A349" s="171"/>
      <c r="B349" s="172"/>
      <c r="C349" s="175" t="s">
        <v>845</v>
      </c>
      <c r="D349" s="197">
        <f>E348</f>
        <v>0.14399999999999999</v>
      </c>
      <c r="E349" s="197">
        <f t="shared" ref="E349:E350" si="42">D349+F349</f>
        <v>0.43999999999999995</v>
      </c>
      <c r="F349" s="197">
        <v>0.29599999999999999</v>
      </c>
      <c r="G349" s="177">
        <v>1480</v>
      </c>
      <c r="H349" s="177" t="s">
        <v>4</v>
      </c>
      <c r="I349" s="177"/>
      <c r="J349" s="177"/>
      <c r="K349" s="177"/>
      <c r="L349" s="177"/>
      <c r="M349" s="177"/>
      <c r="N349" s="177"/>
      <c r="O349" s="177"/>
      <c r="P349" s="177"/>
      <c r="Q349" s="175">
        <v>80940030033</v>
      </c>
      <c r="R349" s="175">
        <v>80940030151</v>
      </c>
    </row>
    <row r="350" spans="1:32" ht="15" x14ac:dyDescent="0.25">
      <c r="A350" s="180">
        <v>2</v>
      </c>
      <c r="B350" s="176" t="s">
        <v>200</v>
      </c>
      <c r="C350" s="175" t="s">
        <v>846</v>
      </c>
      <c r="D350" s="197">
        <v>0</v>
      </c>
      <c r="E350" s="197">
        <f t="shared" si="42"/>
        <v>0.32</v>
      </c>
      <c r="F350" s="197">
        <v>0.32</v>
      </c>
      <c r="G350" s="177">
        <v>960</v>
      </c>
      <c r="H350" s="177" t="s">
        <v>0</v>
      </c>
      <c r="I350" s="177"/>
      <c r="J350" s="177"/>
      <c r="K350" s="177"/>
      <c r="L350" s="177"/>
      <c r="M350" s="177"/>
      <c r="N350" s="177"/>
      <c r="O350" s="177"/>
      <c r="P350" s="177"/>
      <c r="Q350" s="175">
        <v>80940030323</v>
      </c>
      <c r="R350" s="175">
        <v>80940030323</v>
      </c>
      <c r="S350"/>
      <c r="T350"/>
      <c r="U350"/>
      <c r="V350"/>
      <c r="W350"/>
      <c r="X350"/>
      <c r="Y350"/>
      <c r="Z350"/>
      <c r="AA350" t="s">
        <v>1097</v>
      </c>
      <c r="AB350"/>
      <c r="AC350"/>
      <c r="AD350"/>
      <c r="AE350"/>
      <c r="AF350"/>
    </row>
    <row r="351" spans="1:32" ht="12.75" customHeight="1" x14ac:dyDescent="0.2">
      <c r="A351" s="137" t="s">
        <v>409</v>
      </c>
      <c r="B351" s="138"/>
      <c r="C351" s="485"/>
      <c r="D351" s="139"/>
      <c r="E351" s="140"/>
      <c r="F351" s="141">
        <f>SUM(F348:F350)</f>
        <v>0.76</v>
      </c>
      <c r="G351" s="142">
        <f>SUM(G348:G350)</f>
        <v>3160</v>
      </c>
      <c r="H351" s="143"/>
      <c r="I351" s="94"/>
      <c r="J351" s="144"/>
      <c r="K351" s="145" t="s">
        <v>268</v>
      </c>
      <c r="L351" s="146">
        <f>SUM(L348:L350)</f>
        <v>0</v>
      </c>
      <c r="M351" s="146">
        <f>SUM(M348:M350)</f>
        <v>0</v>
      </c>
      <c r="N351" s="147"/>
      <c r="O351" s="145" t="s">
        <v>269</v>
      </c>
      <c r="P351" s="146">
        <f>SUM(P348:P350)</f>
        <v>0</v>
      </c>
      <c r="Q351" s="147"/>
      <c r="R351" s="147"/>
      <c r="S351" s="102"/>
      <c r="T351" s="625" t="s">
        <v>1092</v>
      </c>
      <c r="U351" s="625" t="s">
        <v>1093</v>
      </c>
      <c r="V351" s="625" t="s">
        <v>1094</v>
      </c>
      <c r="W351" s="625" t="s">
        <v>1095</v>
      </c>
      <c r="X351" s="625" t="s">
        <v>1096</v>
      </c>
      <c r="Y351" s="627" t="s">
        <v>269</v>
      </c>
      <c r="Z351" s="102"/>
      <c r="AA351" s="625" t="s">
        <v>1092</v>
      </c>
      <c r="AB351" s="625" t="s">
        <v>1093</v>
      </c>
      <c r="AC351" s="625" t="s">
        <v>1094</v>
      </c>
      <c r="AD351" s="625" t="s">
        <v>1095</v>
      </c>
      <c r="AE351" s="625" t="s">
        <v>1096</v>
      </c>
      <c r="AF351" s="627" t="s">
        <v>269</v>
      </c>
    </row>
    <row r="352" spans="1:32" ht="12.75" customHeight="1" x14ac:dyDescent="0.2">
      <c r="A352" s="148" t="s">
        <v>270</v>
      </c>
      <c r="B352" s="149"/>
      <c r="C352" s="486"/>
      <c r="D352" s="150"/>
      <c r="E352" s="151"/>
      <c r="F352" s="163">
        <f>SUM(F348:F349)</f>
        <v>0.43999999999999995</v>
      </c>
      <c r="G352" s="192">
        <f>SUM(G348:G349)</f>
        <v>2200</v>
      </c>
      <c r="H352" s="154"/>
      <c r="I352" s="155"/>
      <c r="J352" s="147"/>
      <c r="K352" s="136"/>
      <c r="L352" s="156"/>
      <c r="M352" s="156"/>
      <c r="N352" s="147"/>
      <c r="O352" s="147"/>
      <c r="P352" s="147"/>
      <c r="Q352" s="147"/>
      <c r="R352" s="147"/>
      <c r="S352" s="628" t="s">
        <v>844</v>
      </c>
      <c r="T352" s="625" t="s">
        <v>231</v>
      </c>
      <c r="U352" s="625" t="s">
        <v>231</v>
      </c>
      <c r="V352" s="625" t="s">
        <v>231</v>
      </c>
      <c r="W352" s="625" t="s">
        <v>231</v>
      </c>
      <c r="X352" s="625" t="s">
        <v>231</v>
      </c>
      <c r="Y352" s="626" t="s">
        <v>231</v>
      </c>
      <c r="Z352" s="628"/>
      <c r="AA352" s="625" t="s">
        <v>231</v>
      </c>
      <c r="AB352" s="625" t="s">
        <v>231</v>
      </c>
      <c r="AC352" s="625" t="s">
        <v>231</v>
      </c>
      <c r="AD352" s="625" t="s">
        <v>231</v>
      </c>
      <c r="AE352" s="625" t="s">
        <v>231</v>
      </c>
      <c r="AF352" s="626" t="s">
        <v>231</v>
      </c>
    </row>
    <row r="353" spans="1:32" ht="12.75" customHeight="1" x14ac:dyDescent="0.2">
      <c r="A353" s="148" t="s">
        <v>271</v>
      </c>
      <c r="B353" s="149"/>
      <c r="C353" s="486"/>
      <c r="D353" s="150"/>
      <c r="E353" s="151"/>
      <c r="F353" s="163">
        <v>0</v>
      </c>
      <c r="G353" s="192">
        <v>0</v>
      </c>
      <c r="H353" s="162"/>
      <c r="I353" s="94"/>
      <c r="J353" s="159"/>
      <c r="K353" s="160"/>
      <c r="L353" s="160"/>
      <c r="M353" s="160"/>
      <c r="N353" s="161"/>
      <c r="O353" s="147"/>
      <c r="P353" s="147"/>
      <c r="Q353" s="147"/>
      <c r="R353" s="147"/>
      <c r="S353" s="616" t="s">
        <v>847</v>
      </c>
      <c r="T353" s="614">
        <f>SUMIFS(F344:F350,C344:C350,"A",H344:H350,"melnais")</f>
        <v>0</v>
      </c>
      <c r="U353" s="614">
        <f>SUMIFS(F344:F350,C344:C350,"A",H344:H350,"dubultā virsma")</f>
        <v>0</v>
      </c>
      <c r="V353" s="614">
        <f>SUMIFS(F344:F350,C344:C350,"A",H344:H350,"bruģis")</f>
        <v>0</v>
      </c>
      <c r="W353" s="614">
        <f>SUMIFS(F344:F350,C344:C350,"A",H344:H350,"grants")</f>
        <v>0</v>
      </c>
      <c r="X353" s="614">
        <f>SUMIFS(F344:F350,C344:C350,"A",H344:H350,"cits segums")</f>
        <v>0</v>
      </c>
      <c r="Y353" s="614">
        <f>SUM(T353:X353)</f>
        <v>0</v>
      </c>
      <c r="Z353" s="616" t="s">
        <v>847</v>
      </c>
      <c r="AA353" s="614">
        <f>SUMIFS(F344:F350,C344:C350,"A",H344:H350,"melnais", Q344:Q350,"Nepiederošs")</f>
        <v>0</v>
      </c>
      <c r="AB353" s="614">
        <f>SUMIFS(F344:F350,C344:C350,"A",H344:H350,"dubultā virsma", Q344:Q350,"Nepiederošs")</f>
        <v>0</v>
      </c>
      <c r="AC353" s="614">
        <f>SUMIFS(F344:F350,C344:C350,"A",H344:H350,"bruģis", Q344:Q350,"Nepiederošs")</f>
        <v>0</v>
      </c>
      <c r="AD353" s="614">
        <f>SUMIFS(F344:F350,C344:C350,"A",H344:H350,"grants", Q344:Q350,"Nepiederošs")</f>
        <v>0</v>
      </c>
      <c r="AE353" s="614">
        <f>SUMIFS(F344:F350,C344:C350,"A",H344:H350,"cits segums", Q344:Q350,"Nepiederošs")</f>
        <v>0</v>
      </c>
      <c r="AF353" s="614">
        <f>SUM(AA353:AE353)</f>
        <v>0</v>
      </c>
    </row>
    <row r="354" spans="1:32" ht="12.75" customHeight="1" x14ac:dyDescent="0.2">
      <c r="A354" s="148" t="s">
        <v>272</v>
      </c>
      <c r="B354" s="149"/>
      <c r="C354" s="486"/>
      <c r="D354" s="150"/>
      <c r="E354" s="151"/>
      <c r="F354" s="163">
        <f>F350</f>
        <v>0.32</v>
      </c>
      <c r="G354" s="192">
        <f>G350</f>
        <v>960</v>
      </c>
      <c r="H354" s="162"/>
      <c r="I354" s="162"/>
      <c r="J354" s="159"/>
      <c r="K354" s="160"/>
      <c r="L354" s="160"/>
      <c r="M354" s="160"/>
      <c r="N354" s="161"/>
      <c r="O354" s="147"/>
      <c r="P354" s="147"/>
      <c r="Q354" s="147"/>
      <c r="R354" s="147"/>
      <c r="S354" s="617" t="s">
        <v>848</v>
      </c>
      <c r="T354" s="614">
        <f>SUMIFS(F344:F350,C344:C350,"B",H344:H350,"melnais")</f>
        <v>0</v>
      </c>
      <c r="U354" s="614">
        <f>SUMIFS(F344:F350,C344:C350,"B",H344:H350,"dubultā virsma")</f>
        <v>0</v>
      </c>
      <c r="V354" s="614">
        <f>SUMIFS(F344:F350,C344:C350,"B",H344:H350,"bruģis")</f>
        <v>0</v>
      </c>
      <c r="W354" s="614">
        <f>SUMIFS(F344:F350,C344:C350,"B",H344:H350,"grants")</f>
        <v>0</v>
      </c>
      <c r="X354" s="614">
        <f>SUMIFS(F344:F350,C344:C350,"B",H344:H350,"cits segums")</f>
        <v>0</v>
      </c>
      <c r="Y354" s="614">
        <f t="shared" ref="Y354:Y356" si="43">SUM(T354:X354)</f>
        <v>0</v>
      </c>
      <c r="Z354" s="617" t="s">
        <v>848</v>
      </c>
      <c r="AA354" s="614">
        <f>SUMIFS(F344:F350,C344:C350,"B",H344:H350,"melnais", Q344:Q350,"Nepiederošs")</f>
        <v>0</v>
      </c>
      <c r="AB354" s="614">
        <f>SUMIFS(F344:F350,C344:C350,"B",H344:H350,"dubultā virsma", Q344:Q350,"Nepiederošs")</f>
        <v>0</v>
      </c>
      <c r="AC354" s="614">
        <f>SUMIFS(F344:F350,C344:C350,"B",H344:H350,"bruģis", Q344:Q350,"Nepiederošs")</f>
        <v>0</v>
      </c>
      <c r="AD354" s="614">
        <f>SUMIFS(F344:F350,C344:C350,"B",H344:H350,"grants", Q344:Q350,"Nepiederošs")</f>
        <v>0</v>
      </c>
      <c r="AE354" s="614">
        <f>SUMIFS(F344:F350,C344:C350,"B",H344:H350,"cits segums", Q344:Q350,"Nepiederošs")</f>
        <v>0</v>
      </c>
      <c r="AF354" s="614">
        <f t="shared" ref="AF354:AF356" si="44">SUM(AA354:AE354)</f>
        <v>0</v>
      </c>
    </row>
    <row r="355" spans="1:32" ht="12.75" customHeight="1" x14ac:dyDescent="0.2">
      <c r="A355" s="148" t="s">
        <v>401</v>
      </c>
      <c r="B355" s="149"/>
      <c r="C355" s="486"/>
      <c r="D355" s="150"/>
      <c r="E355" s="151"/>
      <c r="F355" s="163">
        <v>0</v>
      </c>
      <c r="G355" s="158">
        <v>0</v>
      </c>
      <c r="H355" s="165"/>
      <c r="I355" s="162"/>
      <c r="J355" s="166"/>
      <c r="K355" s="160"/>
      <c r="L355" s="160"/>
      <c r="M355" s="160"/>
      <c r="N355" s="161"/>
      <c r="O355" s="147"/>
      <c r="P355" s="147"/>
      <c r="Q355" s="147"/>
      <c r="R355" s="147"/>
      <c r="S355" s="615" t="s">
        <v>845</v>
      </c>
      <c r="T355" s="614">
        <f>SUMIFS(F344:F350,C344:C350,"C",H344:H350,"melnais")</f>
        <v>0.43999999999999995</v>
      </c>
      <c r="U355" s="614">
        <f>SUMIFS(F344:F350,C344:C350,"C",H344:H350,"dubultā virsma")</f>
        <v>0</v>
      </c>
      <c r="V355" s="614">
        <f>SUMIFS(F344:F350,C344:C350,"C",H344:H350,"bruģis")</f>
        <v>0</v>
      </c>
      <c r="W355" s="614">
        <f>SUMIFS(F344:F350,C344:C350,"C",H344:H350,"grants")</f>
        <v>0</v>
      </c>
      <c r="X355" s="614">
        <f>SUMIFS(F344:F350,C344:C350,"C",H344:H350,"cits segums")</f>
        <v>0</v>
      </c>
      <c r="Y355" s="614">
        <f t="shared" si="43"/>
        <v>0.43999999999999995</v>
      </c>
      <c r="Z355" s="615" t="s">
        <v>845</v>
      </c>
      <c r="AA355" s="614">
        <f>SUMIFS(F344:F350,C344:C350,"C",H344:H350,"melnais", Q344:Q350,"Nepiederošs")</f>
        <v>0</v>
      </c>
      <c r="AB355" s="614">
        <f>SUMIFS(F344:F350,C344:C350,"C",H344:H350,"dubultā virsma", Q344:Q350,"Nepiederošs")</f>
        <v>0</v>
      </c>
      <c r="AC355" s="614">
        <f>SUMIFS(F344:F350,C344:C350,"C",H344:H350,"bruģis", Q344:Q350,"Nepiederošs")</f>
        <v>0</v>
      </c>
      <c r="AD355" s="614">
        <f>SUMIFS(F344:F350,C344:C350,"C",H344:H350,"grants", Q344:Q350,"Nepiederošs")</f>
        <v>0</v>
      </c>
      <c r="AE355" s="614">
        <f>SUMIFS(F344:F350,C344:C350,"C",H344:H350,"cits segums", Q344:Q350,"Nepiederošs")</f>
        <v>0</v>
      </c>
      <c r="AF355" s="614">
        <f t="shared" si="44"/>
        <v>0</v>
      </c>
    </row>
    <row r="356" spans="1:32" ht="12.75" customHeight="1" x14ac:dyDescent="0.2">
      <c r="A356" s="193"/>
      <c r="B356" s="193"/>
      <c r="C356" s="33"/>
      <c r="D356" s="38"/>
      <c r="E356" s="38"/>
      <c r="F356" s="194"/>
      <c r="G356" s="203"/>
      <c r="H356" s="165"/>
      <c r="I356" s="162"/>
      <c r="J356" s="166"/>
      <c r="K356" s="160"/>
      <c r="L356" s="160"/>
      <c r="M356" s="160"/>
      <c r="N356" s="161"/>
      <c r="O356" s="147"/>
      <c r="P356" s="147"/>
      <c r="Q356" s="147"/>
      <c r="R356" s="147"/>
      <c r="S356" s="616" t="s">
        <v>846</v>
      </c>
      <c r="T356" s="614">
        <f>SUMIFS(F344:F350,C344:C350,"D",H344:H350,"melnais")</f>
        <v>0</v>
      </c>
      <c r="U356" s="614">
        <f>SUMIFS(F344:F350,C344:C350,"D",H344:H350,"dubultā virsma")</f>
        <v>0</v>
      </c>
      <c r="V356" s="614">
        <f>SUMIFS(F344:F350,C344:C350,"D",H344:H350,"bruģis")</f>
        <v>0</v>
      </c>
      <c r="W356" s="614">
        <f>SUMIFS(F344:F350,C344:C350,"D",H344:H350,"grants")</f>
        <v>0.32</v>
      </c>
      <c r="X356" s="614">
        <f>SUMIFS(F344:F350,C344:C350,"D",H344:H350,"cits segums")</f>
        <v>0</v>
      </c>
      <c r="Y356" s="614">
        <f t="shared" si="43"/>
        <v>0.32</v>
      </c>
      <c r="Z356" s="616" t="s">
        <v>846</v>
      </c>
      <c r="AA356" s="614">
        <f>SUMIFS(F344:F350,C344:C350,"D",H344:H350,"melnais", Q344:Q350,"Nepiederošs")</f>
        <v>0</v>
      </c>
      <c r="AB356" s="614">
        <f>SUMIFS(F344:F350,C344:C350,"D",H344:H350,"dubultā virsma", Q344:Q350,"Nepiederošs")</f>
        <v>0</v>
      </c>
      <c r="AC356" s="614">
        <f>SUMIFS(F344:F350,C344:C350,"D",H344:H350,"bruģis", Q344:Q350,"Nepiederošs")</f>
        <v>0</v>
      </c>
      <c r="AD356" s="614">
        <f>SUMIFS(F344:F350,C344:C350,"D",H344:H350,"grants", Q344:Q350,"Nepiederošs")</f>
        <v>0</v>
      </c>
      <c r="AE356" s="614">
        <f>SUMIFS(F344:F350,C344:C350,"D",H344:H350,"cits segums", Q344:Q350,"Nepiederošs")</f>
        <v>0</v>
      </c>
      <c r="AF356" s="614">
        <f t="shared" si="44"/>
        <v>0</v>
      </c>
    </row>
    <row r="357" spans="1:32" ht="12.75" customHeight="1" x14ac:dyDescent="0.25">
      <c r="A357" s="137" t="s">
        <v>410</v>
      </c>
      <c r="B357" s="138"/>
      <c r="C357" s="485"/>
      <c r="D357" s="139"/>
      <c r="E357" s="140"/>
      <c r="F357" s="141">
        <f>F351+F335+F295+F247</f>
        <v>91.95499999999997</v>
      </c>
      <c r="G357" s="204">
        <f>G351+G335+G295+G247</f>
        <v>483769</v>
      </c>
      <c r="H357" s="205"/>
      <c r="I357" s="193"/>
      <c r="J357" s="193"/>
      <c r="K357" s="193"/>
      <c r="L357" s="193"/>
      <c r="M357" s="193"/>
      <c r="N357" s="193"/>
      <c r="O357" s="206" t="s">
        <v>269</v>
      </c>
      <c r="P357" s="207">
        <f>P351+P335+P247+P295</f>
        <v>63239.19</v>
      </c>
      <c r="Q357" s="193"/>
      <c r="R357" s="193"/>
      <c r="S357" s="637"/>
      <c r="T357" s="629">
        <f>SUM(T353:T356)</f>
        <v>0.43999999999999995</v>
      </c>
      <c r="U357" s="629">
        <f t="shared" ref="U357" si="45">SUM(U353:U356)</f>
        <v>0</v>
      </c>
      <c r="V357" s="629">
        <f t="shared" ref="V357" si="46">SUM(V353:V356)</f>
        <v>0</v>
      </c>
      <c r="W357" s="629">
        <f t="shared" ref="W357" si="47">SUM(W353:W356)</f>
        <v>0.32</v>
      </c>
      <c r="X357" s="629">
        <f t="shared" ref="X357" si="48">SUM(X353:X356)</f>
        <v>0</v>
      </c>
      <c r="Y357" s="629">
        <f t="shared" ref="Y357" si="49">SUM(Y353:Y356)</f>
        <v>0.76</v>
      </c>
      <c r="Z357"/>
      <c r="AA357" s="629">
        <f>SUM(AA353:AA356)</f>
        <v>0</v>
      </c>
      <c r="AB357" s="629">
        <f t="shared" ref="AB357" si="50">SUM(AB353:AB356)</f>
        <v>0</v>
      </c>
      <c r="AC357" s="629">
        <f>SUM(AC353:AC356)</f>
        <v>0</v>
      </c>
      <c r="AD357" s="629">
        <f t="shared" ref="AD357" si="51">SUM(AD353:AD356)</f>
        <v>0</v>
      </c>
      <c r="AE357" s="629">
        <f t="shared" ref="AE357" si="52">SUM(AE353:AE356)</f>
        <v>0</v>
      </c>
      <c r="AF357" s="629">
        <f t="shared" ref="AF357" si="53">SUM(AF353:AF356)</f>
        <v>0</v>
      </c>
    </row>
    <row r="358" spans="1:32" ht="12.75" customHeight="1" x14ac:dyDescent="0.2">
      <c r="A358" s="148" t="s">
        <v>270</v>
      </c>
      <c r="B358" s="149"/>
      <c r="C358" s="486"/>
      <c r="D358" s="150"/>
      <c r="E358" s="151"/>
      <c r="F358" s="208">
        <f t="shared" ref="F358:G361" si="54">F352+F337+F297+F249</f>
        <v>46.948000000000015</v>
      </c>
      <c r="G358" s="209">
        <f t="shared" si="54"/>
        <v>285024</v>
      </c>
      <c r="H358" s="165"/>
      <c r="I358" s="162"/>
      <c r="J358" s="166"/>
      <c r="K358" s="160"/>
      <c r="L358" s="160"/>
      <c r="M358" s="160"/>
      <c r="N358" s="161"/>
      <c r="O358" s="147"/>
      <c r="P358" s="147"/>
      <c r="Q358" s="147"/>
      <c r="R358" s="147"/>
    </row>
    <row r="359" spans="1:32" ht="12.75" customHeight="1" x14ac:dyDescent="0.2">
      <c r="A359" s="148" t="s">
        <v>271</v>
      </c>
      <c r="B359" s="149"/>
      <c r="C359" s="486"/>
      <c r="D359" s="150"/>
      <c r="E359" s="151"/>
      <c r="F359" s="208">
        <f t="shared" si="54"/>
        <v>3.6080000000000001</v>
      </c>
      <c r="G359" s="209">
        <f t="shared" si="54"/>
        <v>19546</v>
      </c>
      <c r="H359" s="165"/>
      <c r="I359" s="162"/>
      <c r="J359" s="166"/>
      <c r="K359" s="160"/>
      <c r="L359" s="160"/>
      <c r="M359" s="160"/>
      <c r="N359" s="161"/>
      <c r="O359" s="147"/>
      <c r="P359" s="147"/>
      <c r="Q359" s="147"/>
      <c r="R359" s="147"/>
    </row>
    <row r="360" spans="1:32" ht="12.75" customHeight="1" x14ac:dyDescent="0.2">
      <c r="A360" s="148" t="s">
        <v>272</v>
      </c>
      <c r="B360" s="149"/>
      <c r="C360" s="486"/>
      <c r="D360" s="150"/>
      <c r="E360" s="151"/>
      <c r="F360" s="208">
        <f t="shared" si="54"/>
        <v>28.623000000000001</v>
      </c>
      <c r="G360" s="209">
        <f t="shared" si="54"/>
        <v>123114</v>
      </c>
      <c r="H360" s="165"/>
      <c r="I360" s="162"/>
      <c r="J360" s="166"/>
      <c r="K360" s="160"/>
      <c r="L360" s="160"/>
      <c r="M360" s="160"/>
      <c r="N360" s="161"/>
      <c r="O360" s="147"/>
      <c r="P360" s="147"/>
      <c r="Q360" s="147"/>
      <c r="R360" s="147"/>
    </row>
    <row r="361" spans="1:32" ht="12.75" customHeight="1" x14ac:dyDescent="0.2">
      <c r="A361" s="148" t="s">
        <v>401</v>
      </c>
      <c r="B361" s="149"/>
      <c r="C361" s="486"/>
      <c r="D361" s="150"/>
      <c r="E361" s="151"/>
      <c r="F361" s="208">
        <f t="shared" si="54"/>
        <v>0.37</v>
      </c>
      <c r="G361" s="209">
        <f t="shared" si="54"/>
        <v>1220</v>
      </c>
      <c r="H361" s="164"/>
      <c r="I361" s="165"/>
      <c r="J361" s="166"/>
      <c r="K361" s="160"/>
      <c r="L361" s="160"/>
      <c r="M361" s="160"/>
      <c r="N361" s="161"/>
      <c r="O361" s="147"/>
      <c r="P361" s="147"/>
      <c r="Q361" s="147"/>
      <c r="R361" s="147"/>
    </row>
    <row r="362" spans="1:32" ht="12.75" customHeight="1" x14ac:dyDescent="0.2">
      <c r="A362" s="193"/>
      <c r="B362" s="193"/>
      <c r="C362" s="33"/>
      <c r="D362" s="38"/>
      <c r="E362" s="38"/>
      <c r="F362" s="210"/>
      <c r="G362" s="211"/>
      <c r="H362" s="164"/>
      <c r="I362" s="165"/>
      <c r="J362" s="166"/>
      <c r="K362" s="160"/>
      <c r="L362" s="160"/>
      <c r="M362" s="160"/>
      <c r="N362" s="161"/>
      <c r="O362" s="147"/>
      <c r="P362" s="147"/>
      <c r="Q362" s="147"/>
      <c r="R362" s="147"/>
    </row>
    <row r="363" spans="1:32" ht="12.75" customHeight="1" x14ac:dyDescent="0.2">
      <c r="B363" s="38"/>
      <c r="C363" s="487"/>
      <c r="D363" s="813" t="s">
        <v>1066</v>
      </c>
      <c r="E363" s="813"/>
      <c r="F363" s="813"/>
      <c r="G363" s="813"/>
      <c r="H363" s="813"/>
      <c r="I363" s="813"/>
      <c r="J363" s="813"/>
      <c r="K363" s="813"/>
      <c r="L363" s="813"/>
      <c r="M363" s="813"/>
      <c r="N363" s="813"/>
      <c r="O363" s="813"/>
      <c r="P363" s="813"/>
      <c r="Q363" s="30"/>
      <c r="R363" s="37"/>
    </row>
    <row r="364" spans="1:32" ht="12.75" customHeight="1" x14ac:dyDescent="0.2">
      <c r="A364" s="818" t="s">
        <v>244</v>
      </c>
      <c r="B364" s="825" t="s">
        <v>388</v>
      </c>
      <c r="C364" s="482"/>
      <c r="D364" s="826" t="s">
        <v>246</v>
      </c>
      <c r="E364" s="827"/>
      <c r="F364" s="827"/>
      <c r="G364" s="827"/>
      <c r="H364" s="827"/>
      <c r="I364" s="827"/>
      <c r="J364" s="827"/>
      <c r="K364" s="827"/>
      <c r="L364" s="827"/>
      <c r="M364" s="827"/>
      <c r="N364" s="827"/>
      <c r="O364" s="827"/>
      <c r="P364" s="828"/>
      <c r="Q364" s="821" t="s">
        <v>247</v>
      </c>
      <c r="R364" s="822"/>
    </row>
    <row r="365" spans="1:32" ht="12.75" customHeight="1" x14ac:dyDescent="0.2">
      <c r="A365" s="818"/>
      <c r="B365" s="825"/>
      <c r="C365" s="410"/>
      <c r="D365" s="816" t="s">
        <v>389</v>
      </c>
      <c r="E365" s="816"/>
      <c r="F365" s="816"/>
      <c r="G365" s="816"/>
      <c r="H365" s="816"/>
      <c r="I365" s="814" t="s">
        <v>249</v>
      </c>
      <c r="J365" s="814"/>
      <c r="K365" s="814"/>
      <c r="L365" s="814"/>
      <c r="M365" s="814"/>
      <c r="N365" s="814"/>
      <c r="O365" s="814"/>
      <c r="P365" s="815" t="s">
        <v>250</v>
      </c>
      <c r="Q365" s="823"/>
      <c r="R365" s="824"/>
    </row>
    <row r="366" spans="1:32" ht="12.75" customHeight="1" x14ac:dyDescent="0.2">
      <c r="A366" s="818"/>
      <c r="B366" s="825"/>
      <c r="C366" s="410"/>
      <c r="D366" s="816" t="s">
        <v>251</v>
      </c>
      <c r="E366" s="816"/>
      <c r="F366" s="817" t="s">
        <v>252</v>
      </c>
      <c r="G366" s="817" t="s">
        <v>257</v>
      </c>
      <c r="H366" s="818" t="s">
        <v>253</v>
      </c>
      <c r="I366" s="819" t="s">
        <v>254</v>
      </c>
      <c r="J366" s="814" t="s">
        <v>255</v>
      </c>
      <c r="K366" s="814"/>
      <c r="L366" s="820" t="s">
        <v>256</v>
      </c>
      <c r="M366" s="820" t="s">
        <v>257</v>
      </c>
      <c r="N366" s="820" t="s">
        <v>258</v>
      </c>
      <c r="O366" s="820" t="s">
        <v>259</v>
      </c>
      <c r="P366" s="809"/>
      <c r="Q366" s="809" t="s">
        <v>260</v>
      </c>
      <c r="R366" s="811" t="s">
        <v>261</v>
      </c>
    </row>
    <row r="367" spans="1:32" ht="27" customHeight="1" x14ac:dyDescent="0.2">
      <c r="A367" s="818"/>
      <c r="B367" s="825"/>
      <c r="C367" s="432" t="s">
        <v>844</v>
      </c>
      <c r="D367" s="95" t="s">
        <v>262</v>
      </c>
      <c r="E367" s="95" t="s">
        <v>263</v>
      </c>
      <c r="F367" s="817"/>
      <c r="G367" s="817"/>
      <c r="H367" s="818"/>
      <c r="I367" s="819"/>
      <c r="J367" s="96" t="s">
        <v>231</v>
      </c>
      <c r="K367" s="96" t="s">
        <v>264</v>
      </c>
      <c r="L367" s="820"/>
      <c r="M367" s="820"/>
      <c r="N367" s="820"/>
      <c r="O367" s="820"/>
      <c r="P367" s="810"/>
      <c r="Q367" s="810"/>
      <c r="R367" s="812"/>
    </row>
    <row r="368" spans="1:32" ht="12.75" customHeight="1" x14ac:dyDescent="0.2">
      <c r="A368" s="200">
        <v>1</v>
      </c>
      <c r="B368" s="200">
        <v>2</v>
      </c>
      <c r="C368" s="200"/>
      <c r="D368" s="200">
        <v>3</v>
      </c>
      <c r="E368" s="200">
        <v>4</v>
      </c>
      <c r="F368" s="200">
        <v>5</v>
      </c>
      <c r="G368" s="200">
        <v>6</v>
      </c>
      <c r="H368" s="200">
        <v>7</v>
      </c>
      <c r="I368" s="201">
        <v>8</v>
      </c>
      <c r="J368" s="201">
        <v>9</v>
      </c>
      <c r="K368" s="201">
        <v>10</v>
      </c>
      <c r="L368" s="201">
        <v>11</v>
      </c>
      <c r="M368" s="201">
        <v>12</v>
      </c>
      <c r="N368" s="201">
        <v>13</v>
      </c>
      <c r="O368" s="201">
        <v>14</v>
      </c>
      <c r="P368" s="201">
        <v>15</v>
      </c>
      <c r="Q368" s="201">
        <v>16</v>
      </c>
      <c r="R368" s="200">
        <v>17</v>
      </c>
    </row>
    <row r="369" spans="1:32" ht="12.75" customHeight="1" x14ac:dyDescent="0.2">
      <c r="A369" s="181">
        <v>1</v>
      </c>
      <c r="B369" s="168" t="s">
        <v>199</v>
      </c>
      <c r="C369" s="175" t="s">
        <v>845</v>
      </c>
      <c r="D369" s="197">
        <v>0</v>
      </c>
      <c r="E369" s="197">
        <f t="shared" ref="E369:E372" si="55">D369+F369</f>
        <v>0.9</v>
      </c>
      <c r="F369" s="197">
        <v>0.9</v>
      </c>
      <c r="G369" s="177">
        <v>4950</v>
      </c>
      <c r="H369" s="177" t="s">
        <v>4</v>
      </c>
      <c r="I369" s="177"/>
      <c r="J369" s="177"/>
      <c r="K369" s="177"/>
      <c r="L369" s="177"/>
      <c r="M369" s="177"/>
      <c r="N369" s="177"/>
      <c r="O369" s="177"/>
      <c r="P369" s="177"/>
      <c r="Q369" s="175">
        <v>80940030252</v>
      </c>
      <c r="R369" s="175">
        <v>80940030252</v>
      </c>
    </row>
    <row r="370" spans="1:32" ht="12.75" customHeight="1" x14ac:dyDescent="0.2">
      <c r="A370" s="182"/>
      <c r="B370" s="172"/>
      <c r="C370" s="175" t="s">
        <v>845</v>
      </c>
      <c r="D370" s="197">
        <f t="shared" ref="D370:D372" si="56">E369</f>
        <v>0.9</v>
      </c>
      <c r="E370" s="197">
        <f t="shared" si="55"/>
        <v>0.94200000000000006</v>
      </c>
      <c r="F370" s="197">
        <v>4.2000000000000003E-2</v>
      </c>
      <c r="G370" s="177">
        <v>231</v>
      </c>
      <c r="H370" s="177" t="s">
        <v>4</v>
      </c>
      <c r="I370" s="177"/>
      <c r="J370" s="177"/>
      <c r="K370" s="177"/>
      <c r="L370" s="177"/>
      <c r="M370" s="177"/>
      <c r="N370" s="177"/>
      <c r="O370" s="177"/>
      <c r="P370" s="177"/>
      <c r="Q370" s="175">
        <v>80940030269</v>
      </c>
      <c r="R370" s="175">
        <v>80940030269</v>
      </c>
    </row>
    <row r="371" spans="1:32" ht="12.75" customHeight="1" x14ac:dyDescent="0.2">
      <c r="A371" s="182"/>
      <c r="B371" s="172"/>
      <c r="C371" s="175" t="s">
        <v>845</v>
      </c>
      <c r="D371" s="197">
        <f t="shared" si="56"/>
        <v>0.94200000000000006</v>
      </c>
      <c r="E371" s="197">
        <f t="shared" si="55"/>
        <v>1.48</v>
      </c>
      <c r="F371" s="197">
        <v>0.53800000000000003</v>
      </c>
      <c r="G371" s="177">
        <v>2959</v>
      </c>
      <c r="H371" s="177" t="s">
        <v>4</v>
      </c>
      <c r="I371" s="177"/>
      <c r="J371" s="177"/>
      <c r="K371" s="177"/>
      <c r="L371" s="177"/>
      <c r="M371" s="177"/>
      <c r="N371" s="177"/>
      <c r="O371" s="177"/>
      <c r="P371" s="177"/>
      <c r="Q371" s="175">
        <v>80940030218</v>
      </c>
      <c r="R371" s="175">
        <v>80940030218</v>
      </c>
    </row>
    <row r="372" spans="1:32" ht="12.75" customHeight="1" x14ac:dyDescent="0.25">
      <c r="A372" s="182"/>
      <c r="B372" s="172"/>
      <c r="C372" s="175" t="s">
        <v>845</v>
      </c>
      <c r="D372" s="197">
        <f t="shared" si="56"/>
        <v>1.48</v>
      </c>
      <c r="E372" s="197">
        <f t="shared" si="55"/>
        <v>2.71</v>
      </c>
      <c r="F372" s="197">
        <v>1.23</v>
      </c>
      <c r="G372" s="177">
        <v>7380</v>
      </c>
      <c r="H372" s="177" t="s">
        <v>0</v>
      </c>
      <c r="I372" s="177"/>
      <c r="J372" s="177"/>
      <c r="K372" s="177"/>
      <c r="L372" s="177"/>
      <c r="M372" s="177"/>
      <c r="N372" s="177"/>
      <c r="O372" s="177"/>
      <c r="P372" s="177"/>
      <c r="Q372" s="175">
        <v>80940030218</v>
      </c>
      <c r="R372" s="175">
        <v>80940030218</v>
      </c>
      <c r="S372"/>
      <c r="T372"/>
      <c r="U372"/>
      <c r="V372"/>
      <c r="W372"/>
      <c r="X372"/>
      <c r="Y372"/>
      <c r="Z372"/>
      <c r="AA372" t="s">
        <v>1097</v>
      </c>
      <c r="AB372"/>
      <c r="AC372"/>
      <c r="AD372"/>
      <c r="AE372"/>
      <c r="AF372"/>
    </row>
    <row r="373" spans="1:32" ht="12.75" customHeight="1" x14ac:dyDescent="0.2">
      <c r="A373" s="137" t="s">
        <v>411</v>
      </c>
      <c r="B373" s="138"/>
      <c r="C373" s="485"/>
      <c r="D373" s="139"/>
      <c r="E373" s="140"/>
      <c r="F373" s="141">
        <f>SUM(F369:F372)</f>
        <v>2.71</v>
      </c>
      <c r="G373" s="142">
        <f>SUM(G369:G372)</f>
        <v>15520</v>
      </c>
      <c r="H373" s="212"/>
      <c r="I373" s="212"/>
      <c r="J373" s="212"/>
      <c r="K373" s="212"/>
      <c r="L373" s="212"/>
      <c r="M373" s="212"/>
      <c r="N373" s="212"/>
      <c r="O373" s="212"/>
      <c r="P373" s="212"/>
      <c r="Q373" s="213"/>
      <c r="R373" s="213"/>
      <c r="S373" s="102"/>
      <c r="T373" s="625" t="s">
        <v>1092</v>
      </c>
      <c r="U373" s="625" t="s">
        <v>1093</v>
      </c>
      <c r="V373" s="625" t="s">
        <v>1094</v>
      </c>
      <c r="W373" s="625" t="s">
        <v>1095</v>
      </c>
      <c r="X373" s="625" t="s">
        <v>1096</v>
      </c>
      <c r="Y373" s="627" t="s">
        <v>269</v>
      </c>
      <c r="Z373" s="102"/>
      <c r="AA373" s="625" t="s">
        <v>1092</v>
      </c>
      <c r="AB373" s="625" t="s">
        <v>1093</v>
      </c>
      <c r="AC373" s="625" t="s">
        <v>1094</v>
      </c>
      <c r="AD373" s="625" t="s">
        <v>1095</v>
      </c>
      <c r="AE373" s="625" t="s">
        <v>1096</v>
      </c>
      <c r="AF373" s="627" t="s">
        <v>269</v>
      </c>
    </row>
    <row r="374" spans="1:32" ht="12.75" customHeight="1" x14ac:dyDescent="0.2">
      <c r="A374" s="148" t="s">
        <v>270</v>
      </c>
      <c r="B374" s="149"/>
      <c r="C374" s="486"/>
      <c r="D374" s="150"/>
      <c r="E374" s="151"/>
      <c r="F374" s="163">
        <f>SUM(F369:F371)</f>
        <v>1.48</v>
      </c>
      <c r="G374" s="192">
        <f>SUM(G369:G371)</f>
        <v>8140</v>
      </c>
      <c r="H374" s="212"/>
      <c r="I374" s="212"/>
      <c r="J374" s="212"/>
      <c r="K374" s="212"/>
      <c r="L374" s="212"/>
      <c r="M374" s="212"/>
      <c r="N374" s="212"/>
      <c r="O374" s="212"/>
      <c r="P374" s="212"/>
      <c r="Q374" s="213"/>
      <c r="R374" s="213"/>
      <c r="S374" s="628" t="s">
        <v>844</v>
      </c>
      <c r="T374" s="625" t="s">
        <v>231</v>
      </c>
      <c r="U374" s="625" t="s">
        <v>231</v>
      </c>
      <c r="V374" s="625" t="s">
        <v>231</v>
      </c>
      <c r="W374" s="625" t="s">
        <v>231</v>
      </c>
      <c r="X374" s="625" t="s">
        <v>231</v>
      </c>
      <c r="Y374" s="626" t="s">
        <v>231</v>
      </c>
      <c r="Z374" s="628"/>
      <c r="AA374" s="625" t="s">
        <v>231</v>
      </c>
      <c r="AB374" s="625" t="s">
        <v>231</v>
      </c>
      <c r="AC374" s="625" t="s">
        <v>231</v>
      </c>
      <c r="AD374" s="625" t="s">
        <v>231</v>
      </c>
      <c r="AE374" s="625" t="s">
        <v>231</v>
      </c>
      <c r="AF374" s="626" t="s">
        <v>231</v>
      </c>
    </row>
    <row r="375" spans="1:32" ht="12.75" customHeight="1" x14ac:dyDescent="0.2">
      <c r="A375" s="148" t="s">
        <v>271</v>
      </c>
      <c r="B375" s="149"/>
      <c r="C375" s="486"/>
      <c r="D375" s="150"/>
      <c r="E375" s="151"/>
      <c r="F375" s="163">
        <v>0</v>
      </c>
      <c r="G375" s="192">
        <v>0</v>
      </c>
      <c r="H375" s="212"/>
      <c r="I375" s="212"/>
      <c r="J375" s="212"/>
      <c r="K375" s="212"/>
      <c r="L375" s="212"/>
      <c r="M375" s="212"/>
      <c r="N375" s="212"/>
      <c r="O375" s="212"/>
      <c r="P375" s="212"/>
      <c r="Q375" s="213"/>
      <c r="R375" s="213"/>
      <c r="S375" s="616" t="s">
        <v>847</v>
      </c>
      <c r="T375" s="614">
        <f>SUMIFS(F366:F372,C366:C372,"A",H366:H372,"melnais")</f>
        <v>0</v>
      </c>
      <c r="U375" s="614">
        <f>SUMIFS(F366:F372,C366:C372,"A",H366:H372,"dubultā virsma")</f>
        <v>0</v>
      </c>
      <c r="V375" s="614">
        <f>SUMIFS(F366:F372,C366:C372,"A",H366:H372,"bruģis")</f>
        <v>0</v>
      </c>
      <c r="W375" s="614">
        <f>SUMIFS(F366:F372,C366:C372,"A",H366:H372,"grants")</f>
        <v>0</v>
      </c>
      <c r="X375" s="614">
        <f>SUMIFS(F366:F372,C366:C372,"A",H366:H372,"cits segums")</f>
        <v>0</v>
      </c>
      <c r="Y375" s="614">
        <f>SUM(T375:X375)</f>
        <v>0</v>
      </c>
      <c r="Z375" s="616" t="s">
        <v>847</v>
      </c>
      <c r="AA375" s="614">
        <f>SUMIFS(F366:F372,C366:C372,"A",H366:H372,"melnais", Q366:Q372,"Nepiederošs")</f>
        <v>0</v>
      </c>
      <c r="AB375" s="614">
        <f>SUMIFS(F366:F372,C366:C372,"A",H366:H372,"dubultā virsma", Q366:Q372,"Nepiederošs")</f>
        <v>0</v>
      </c>
      <c r="AC375" s="614">
        <f>SUMIFS(F366:F372,C366:C372,"A",H366:H372,"bruģis", Q366:Q372,"Nepiederošs")</f>
        <v>0</v>
      </c>
      <c r="AD375" s="614">
        <f>SUMIFS(F366:F372,C366:C372,"A",H366:H372,"grants", Q366:Q372,"Nepiederošs")</f>
        <v>0</v>
      </c>
      <c r="AE375" s="614">
        <f>SUMIFS(F366:F372,C366:C372,"A",H366:H372,"cits segums", Q366:Q372,"Nepiederošs")</f>
        <v>0</v>
      </c>
      <c r="AF375" s="614">
        <f>SUM(AA375:AE375)</f>
        <v>0</v>
      </c>
    </row>
    <row r="376" spans="1:32" ht="12.75" customHeight="1" x14ac:dyDescent="0.2">
      <c r="A376" s="148" t="s">
        <v>272</v>
      </c>
      <c r="B376" s="149"/>
      <c r="C376" s="486"/>
      <c r="D376" s="150"/>
      <c r="E376" s="151"/>
      <c r="F376" s="163">
        <f>F372</f>
        <v>1.23</v>
      </c>
      <c r="G376" s="192">
        <f>G372</f>
        <v>7380</v>
      </c>
      <c r="H376" s="214"/>
      <c r="I376" s="212"/>
      <c r="J376" s="212"/>
      <c r="K376" s="212"/>
      <c r="L376" s="212"/>
      <c r="M376" s="212"/>
      <c r="N376" s="212"/>
      <c r="O376" s="212"/>
      <c r="P376" s="212"/>
      <c r="Q376" s="213"/>
      <c r="R376" s="213"/>
      <c r="S376" s="617" t="s">
        <v>848</v>
      </c>
      <c r="T376" s="614">
        <f>SUMIFS(F366:F372,C366:C372,"B",H366:H372,"melnais")</f>
        <v>0</v>
      </c>
      <c r="U376" s="614">
        <f>SUMIFS(F366:F372,C366:C372,"B",H366:H372,"dubultā virsma")</f>
        <v>0</v>
      </c>
      <c r="V376" s="614">
        <f>SUMIFS(F366:F372,C366:C372,"B",H366:H372,"bruģis")</f>
        <v>0</v>
      </c>
      <c r="W376" s="614">
        <f>SUMIFS(F366:F372,C366:C372,"B",H366:H372,"grants")</f>
        <v>0</v>
      </c>
      <c r="X376" s="614">
        <f>SUMIFS(F366:F372,C366:C372,"B",H366:H372,"cits segums")</f>
        <v>0</v>
      </c>
      <c r="Y376" s="614">
        <f t="shared" ref="Y376:Y378" si="57">SUM(T376:X376)</f>
        <v>0</v>
      </c>
      <c r="Z376" s="617" t="s">
        <v>848</v>
      </c>
      <c r="AA376" s="614">
        <f>SUMIFS(F366:F372,C366:C372,"B",H366:H372,"melnais", Q366:Q372,"Nepiederošs")</f>
        <v>0</v>
      </c>
      <c r="AB376" s="614">
        <f>SUMIFS(F366:F372,C366:C372,"B",H366:H372,"dubultā virsma", Q366:Q372,"Nepiederošs")</f>
        <v>0</v>
      </c>
      <c r="AC376" s="614">
        <f>SUMIFS(F366:F372,C366:C372,"B",H366:H372,"bruģis", Q366:Q372,"Nepiederošs")</f>
        <v>0</v>
      </c>
      <c r="AD376" s="614">
        <f>SUMIFS(F366:F372,C366:C372,"B",H366:H372,"grants", Q366:Q372,"Nepiederošs")</f>
        <v>0</v>
      </c>
      <c r="AE376" s="614">
        <f>SUMIFS(F366:F372,C366:C372,"B",H366:H372,"cits segums", Q366:Q372,"Nepiederošs")</f>
        <v>0</v>
      </c>
      <c r="AF376" s="614">
        <f t="shared" ref="AF376:AF378" si="58">SUM(AA376:AE376)</f>
        <v>0</v>
      </c>
    </row>
    <row r="377" spans="1:32" ht="12.75" customHeight="1" x14ac:dyDescent="0.2">
      <c r="A377" s="148" t="s">
        <v>401</v>
      </c>
      <c r="B377" s="149"/>
      <c r="C377" s="486"/>
      <c r="D377" s="150"/>
      <c r="E377" s="151"/>
      <c r="F377" s="163">
        <v>0</v>
      </c>
      <c r="G377" s="158">
        <v>0</v>
      </c>
      <c r="H377" s="212"/>
      <c r="I377" s="212"/>
      <c r="J377" s="212"/>
      <c r="K377" s="212"/>
      <c r="L377" s="212"/>
      <c r="M377" s="212"/>
      <c r="N377" s="212"/>
      <c r="O377" s="212"/>
      <c r="P377" s="212"/>
      <c r="Q377" s="213"/>
      <c r="R377" s="213"/>
      <c r="S377" s="615" t="s">
        <v>845</v>
      </c>
      <c r="T377" s="614">
        <f>SUMIFS(F366:F372,C366:C372,"C",H366:H372,"melnais")</f>
        <v>1.48</v>
      </c>
      <c r="U377" s="614">
        <f>SUMIFS(F366:F372,C366:C372,"C",H366:H372,"dubultā virsma")</f>
        <v>0</v>
      </c>
      <c r="V377" s="614">
        <f>SUMIFS(F366:F372,C366:C372,"C",H366:H372,"bruģis")</f>
        <v>0</v>
      </c>
      <c r="W377" s="614">
        <f>SUMIFS(F366:F372,C366:C372,"C",H366:H372,"grants")</f>
        <v>1.23</v>
      </c>
      <c r="X377" s="614">
        <f>SUMIFS(F366:F372,C366:C372,"C",H366:H372,"cits segums")</f>
        <v>0</v>
      </c>
      <c r="Y377" s="614">
        <f t="shared" si="57"/>
        <v>2.71</v>
      </c>
      <c r="Z377" s="615" t="s">
        <v>845</v>
      </c>
      <c r="AA377" s="614">
        <f>SUMIFS(F366:F372,C366:C372,"C",H366:H372,"melnais", Q366:Q372,"Nepiederošs")</f>
        <v>0</v>
      </c>
      <c r="AB377" s="614">
        <f>SUMIFS(F366:F372,C366:C372,"C",H366:H372,"dubultā virsma", Q366:Q372,"Nepiederošs")</f>
        <v>0</v>
      </c>
      <c r="AC377" s="614">
        <f>SUMIFS(F366:F372,C366:C372,"C",H366:H372,"bruģis", Q366:Q372,"Nepiederošs")</f>
        <v>0</v>
      </c>
      <c r="AD377" s="614">
        <f>SUMIFS(F366:F372,C366:C372,"C",H366:H372,"grants", Q366:Q372,"Nepiederošs")</f>
        <v>0</v>
      </c>
      <c r="AE377" s="614">
        <f>SUMIFS(F366:F372,C366:C372,"C",H366:H372,"cits segums", Q366:Q372,"Nepiederošs")</f>
        <v>0</v>
      </c>
      <c r="AF377" s="614">
        <f t="shared" si="58"/>
        <v>0</v>
      </c>
    </row>
    <row r="378" spans="1:32" ht="12.75" customHeight="1" x14ac:dyDescent="0.2">
      <c r="A378" s="215"/>
      <c r="B378" s="216"/>
      <c r="C378" s="213"/>
      <c r="D378" s="217"/>
      <c r="E378" s="217"/>
      <c r="F378" s="217"/>
      <c r="G378" s="212"/>
      <c r="H378" s="212"/>
      <c r="I378" s="212"/>
      <c r="J378" s="212"/>
      <c r="K378" s="212"/>
      <c r="L378" s="212"/>
      <c r="M378" s="212"/>
      <c r="N378" s="212"/>
      <c r="O378" s="212"/>
      <c r="P378" s="212"/>
      <c r="Q378" s="213"/>
      <c r="R378" s="213"/>
      <c r="S378" s="616" t="s">
        <v>846</v>
      </c>
      <c r="T378" s="614">
        <f>SUMIFS(F366:F372,C366:C372,"D",H366:H372,"melnais")</f>
        <v>0</v>
      </c>
      <c r="U378" s="614">
        <f>SUMIFS(F366:F372,C366:C372,"D",H366:H372,"dubultā virsma")</f>
        <v>0</v>
      </c>
      <c r="V378" s="614">
        <f>SUMIFS(F366:F372,C366:C372,"D",H366:H372,"bruģis")</f>
        <v>0</v>
      </c>
      <c r="W378" s="614">
        <f>SUMIFS(F366:F372,C366:C372,"D",H366:H372,"grants")</f>
        <v>0</v>
      </c>
      <c r="X378" s="614">
        <f>SUMIFS(F366:F372,C366:C372,"D",H366:H372,"cits segums")</f>
        <v>0</v>
      </c>
      <c r="Y378" s="614">
        <f t="shared" si="57"/>
        <v>0</v>
      </c>
      <c r="Z378" s="616" t="s">
        <v>846</v>
      </c>
      <c r="AA378" s="614">
        <f>SUMIFS(F366:F372,C366:C372,"D",H366:H372,"melnais", Q366:Q372,"Nepiederošs")</f>
        <v>0</v>
      </c>
      <c r="AB378" s="614">
        <f>SUMIFS(F366:F372,C366:C372,"D",H366:H372,"dubultā virsma", Q366:Q372,"Nepiederošs")</f>
        <v>0</v>
      </c>
      <c r="AC378" s="614">
        <f>SUMIFS(F366:F372,C366:C372,"D",H366:H372,"bruģis", Q366:Q372,"Nepiederošs")</f>
        <v>0</v>
      </c>
      <c r="AD378" s="614">
        <f>SUMIFS(F366:F372,C366:C372,"D",H366:H372,"grants", Q366:Q372,"Nepiederošs")</f>
        <v>0</v>
      </c>
      <c r="AE378" s="614">
        <f>SUMIFS(F366:F372,C366:C372,"D",H366:H372,"cits segums", Q366:Q372,"Nepiederošs")</f>
        <v>0</v>
      </c>
      <c r="AF378" s="614">
        <f t="shared" si="58"/>
        <v>0</v>
      </c>
    </row>
    <row r="379" spans="1:32" s="38" customFormat="1" ht="15" customHeight="1" x14ac:dyDescent="0.25">
      <c r="A379" s="33"/>
      <c r="C379" s="487"/>
      <c r="D379" s="813" t="s">
        <v>1067</v>
      </c>
      <c r="E379" s="813"/>
      <c r="F379" s="813"/>
      <c r="G379" s="813"/>
      <c r="H379" s="813"/>
      <c r="I379" s="813"/>
      <c r="J379" s="813"/>
      <c r="K379" s="813"/>
      <c r="L379" s="813"/>
      <c r="M379" s="813"/>
      <c r="N379" s="813"/>
      <c r="O379" s="813"/>
      <c r="P379" s="813"/>
      <c r="Q379" s="30"/>
      <c r="R379" s="37"/>
      <c r="S379" s="637"/>
      <c r="T379" s="629">
        <f>SUM(T375:T378)</f>
        <v>1.48</v>
      </c>
      <c r="U379" s="629">
        <f t="shared" ref="U379" si="59">SUM(U375:U378)</f>
        <v>0</v>
      </c>
      <c r="V379" s="629">
        <f t="shared" ref="V379" si="60">SUM(V375:V378)</f>
        <v>0</v>
      </c>
      <c r="W379" s="629">
        <f t="shared" ref="W379" si="61">SUM(W375:W378)</f>
        <v>1.23</v>
      </c>
      <c r="X379" s="629">
        <f t="shared" ref="X379" si="62">SUM(X375:X378)</f>
        <v>0</v>
      </c>
      <c r="Y379" s="629">
        <f t="shared" ref="Y379" si="63">SUM(Y375:Y378)</f>
        <v>2.71</v>
      </c>
      <c r="Z379"/>
      <c r="AA379" s="629">
        <f>SUM(AA375:AA378)</f>
        <v>0</v>
      </c>
      <c r="AB379" s="629">
        <f t="shared" ref="AB379" si="64">SUM(AB375:AB378)</f>
        <v>0</v>
      </c>
      <c r="AC379" s="629">
        <f>SUM(AC375:AC378)</f>
        <v>0</v>
      </c>
      <c r="AD379" s="629">
        <f t="shared" ref="AD379" si="65">SUM(AD375:AD378)</f>
        <v>0</v>
      </c>
      <c r="AE379" s="629">
        <f t="shared" ref="AE379" si="66">SUM(AE375:AE378)</f>
        <v>0</v>
      </c>
      <c r="AF379" s="629">
        <f t="shared" ref="AF379" si="67">SUM(AF375:AF378)</f>
        <v>0</v>
      </c>
    </row>
    <row r="380" spans="1:32" ht="12.75" customHeight="1" x14ac:dyDescent="0.2">
      <c r="A380" s="818" t="s">
        <v>244</v>
      </c>
      <c r="B380" s="825" t="s">
        <v>388</v>
      </c>
      <c r="C380" s="482"/>
      <c r="D380" s="826" t="s">
        <v>246</v>
      </c>
      <c r="E380" s="827"/>
      <c r="F380" s="827"/>
      <c r="G380" s="827"/>
      <c r="H380" s="827"/>
      <c r="I380" s="827"/>
      <c r="J380" s="827"/>
      <c r="K380" s="827"/>
      <c r="L380" s="827"/>
      <c r="M380" s="827"/>
      <c r="N380" s="827"/>
      <c r="O380" s="827"/>
      <c r="P380" s="828"/>
      <c r="Q380" s="821" t="s">
        <v>247</v>
      </c>
      <c r="R380" s="822"/>
    </row>
    <row r="381" spans="1:32" ht="12.75" customHeight="1" x14ac:dyDescent="0.2">
      <c r="A381" s="818"/>
      <c r="B381" s="825"/>
      <c r="C381" s="410"/>
      <c r="D381" s="816" t="s">
        <v>389</v>
      </c>
      <c r="E381" s="816"/>
      <c r="F381" s="816"/>
      <c r="G381" s="816"/>
      <c r="H381" s="816"/>
      <c r="I381" s="814" t="s">
        <v>249</v>
      </c>
      <c r="J381" s="814"/>
      <c r="K381" s="814"/>
      <c r="L381" s="814"/>
      <c r="M381" s="814"/>
      <c r="N381" s="814"/>
      <c r="O381" s="814"/>
      <c r="P381" s="815" t="s">
        <v>250</v>
      </c>
      <c r="Q381" s="823"/>
      <c r="R381" s="824"/>
    </row>
    <row r="382" spans="1:32" ht="15.2" customHeight="1" x14ac:dyDescent="0.2">
      <c r="A382" s="818"/>
      <c r="B382" s="825"/>
      <c r="C382" s="410"/>
      <c r="D382" s="816" t="s">
        <v>251</v>
      </c>
      <c r="E382" s="816"/>
      <c r="F382" s="817" t="s">
        <v>252</v>
      </c>
      <c r="G382" s="817" t="s">
        <v>257</v>
      </c>
      <c r="H382" s="818" t="s">
        <v>253</v>
      </c>
      <c r="I382" s="819" t="s">
        <v>254</v>
      </c>
      <c r="J382" s="814" t="s">
        <v>255</v>
      </c>
      <c r="K382" s="814"/>
      <c r="L382" s="820" t="s">
        <v>256</v>
      </c>
      <c r="M382" s="820" t="s">
        <v>257</v>
      </c>
      <c r="N382" s="820" t="s">
        <v>258</v>
      </c>
      <c r="O382" s="820" t="s">
        <v>259</v>
      </c>
      <c r="P382" s="809"/>
      <c r="Q382" s="809" t="s">
        <v>260</v>
      </c>
      <c r="R382" s="811" t="s">
        <v>261</v>
      </c>
    </row>
    <row r="383" spans="1:32" ht="33.75" customHeight="1" x14ac:dyDescent="0.2">
      <c r="A383" s="818"/>
      <c r="B383" s="825"/>
      <c r="C383" s="432" t="s">
        <v>844</v>
      </c>
      <c r="D383" s="95" t="s">
        <v>262</v>
      </c>
      <c r="E383" s="95" t="s">
        <v>263</v>
      </c>
      <c r="F383" s="817"/>
      <c r="G383" s="817"/>
      <c r="H383" s="818"/>
      <c r="I383" s="819"/>
      <c r="J383" s="96" t="s">
        <v>231</v>
      </c>
      <c r="K383" s="96" t="s">
        <v>264</v>
      </c>
      <c r="L383" s="820"/>
      <c r="M383" s="820"/>
      <c r="N383" s="820"/>
      <c r="O383" s="820"/>
      <c r="P383" s="810"/>
      <c r="Q383" s="810"/>
      <c r="R383" s="812"/>
    </row>
    <row r="384" spans="1:32" s="99" customFormat="1" ht="12" customHeight="1" x14ac:dyDescent="0.25">
      <c r="A384" s="200">
        <v>1</v>
      </c>
      <c r="B384" s="200">
        <v>2</v>
      </c>
      <c r="C384" s="200"/>
      <c r="D384" s="200">
        <v>3</v>
      </c>
      <c r="E384" s="200">
        <v>4</v>
      </c>
      <c r="F384" s="200">
        <v>5</v>
      </c>
      <c r="G384" s="200">
        <v>6</v>
      </c>
      <c r="H384" s="200">
        <v>7</v>
      </c>
      <c r="I384" s="201">
        <v>8</v>
      </c>
      <c r="J384" s="201">
        <v>9</v>
      </c>
      <c r="K384" s="201">
        <v>10</v>
      </c>
      <c r="L384" s="201">
        <v>11</v>
      </c>
      <c r="M384" s="201">
        <v>12</v>
      </c>
      <c r="N384" s="201">
        <v>13</v>
      </c>
      <c r="O384" s="201">
        <v>14</v>
      </c>
      <c r="P384" s="201">
        <v>15</v>
      </c>
      <c r="Q384" s="201">
        <v>16</v>
      </c>
      <c r="R384" s="200">
        <v>17</v>
      </c>
    </row>
    <row r="385" spans="1:32" x14ac:dyDescent="0.2">
      <c r="A385" s="167">
        <v>1</v>
      </c>
      <c r="B385" s="168" t="s">
        <v>192</v>
      </c>
      <c r="C385" s="167" t="s">
        <v>846</v>
      </c>
      <c r="D385" s="218">
        <v>0</v>
      </c>
      <c r="E385" s="218">
        <f>D385+F385</f>
        <v>0.40500000000000003</v>
      </c>
      <c r="F385" s="196">
        <v>0.40500000000000003</v>
      </c>
      <c r="G385" s="169">
        <v>1215</v>
      </c>
      <c r="H385" s="169" t="s">
        <v>0</v>
      </c>
      <c r="I385" s="169"/>
      <c r="J385" s="169"/>
      <c r="K385" s="169"/>
      <c r="L385" s="169"/>
      <c r="M385" s="169"/>
      <c r="N385" s="169"/>
      <c r="O385" s="169"/>
      <c r="P385" s="169"/>
      <c r="Q385" s="170">
        <v>80940041051</v>
      </c>
      <c r="R385" s="170">
        <v>80940041040</v>
      </c>
    </row>
    <row r="386" spans="1:32" x14ac:dyDescent="0.2">
      <c r="A386" s="175">
        <v>2</v>
      </c>
      <c r="B386" s="176" t="s">
        <v>193</v>
      </c>
      <c r="C386" s="175" t="s">
        <v>846</v>
      </c>
      <c r="D386" s="219">
        <v>0</v>
      </c>
      <c r="E386" s="219">
        <f t="shared" ref="E386:E391" si="68">D386+F386</f>
        <v>0.41499999999999998</v>
      </c>
      <c r="F386" s="197">
        <v>0.41499999999999998</v>
      </c>
      <c r="G386" s="177">
        <v>1245</v>
      </c>
      <c r="H386" s="177" t="s">
        <v>0</v>
      </c>
      <c r="I386" s="177"/>
      <c r="J386" s="177"/>
      <c r="K386" s="177"/>
      <c r="L386" s="177"/>
      <c r="M386" s="177"/>
      <c r="N386" s="177"/>
      <c r="O386" s="177"/>
      <c r="P386" s="177"/>
      <c r="Q386" s="175">
        <v>80940041050</v>
      </c>
      <c r="R386" s="175">
        <v>80940041043</v>
      </c>
    </row>
    <row r="387" spans="1:32" x14ac:dyDescent="0.2">
      <c r="A387" s="175">
        <v>3</v>
      </c>
      <c r="B387" s="176" t="s">
        <v>194</v>
      </c>
      <c r="C387" s="175" t="s">
        <v>845</v>
      </c>
      <c r="D387" s="219">
        <v>0</v>
      </c>
      <c r="E387" s="219">
        <f t="shared" si="68"/>
        <v>0.17</v>
      </c>
      <c r="F387" s="197">
        <v>0.17</v>
      </c>
      <c r="G387" s="177">
        <v>850</v>
      </c>
      <c r="H387" s="177" t="s">
        <v>0</v>
      </c>
      <c r="I387" s="177"/>
      <c r="J387" s="177"/>
      <c r="K387" s="177"/>
      <c r="L387" s="177"/>
      <c r="M387" s="177"/>
      <c r="N387" s="177"/>
      <c r="O387" s="177"/>
      <c r="P387" s="177"/>
      <c r="Q387" s="175">
        <v>80940040645</v>
      </c>
      <c r="R387" s="175">
        <v>80940040645</v>
      </c>
    </row>
    <row r="388" spans="1:32" x14ac:dyDescent="0.2">
      <c r="A388" s="175">
        <v>4</v>
      </c>
      <c r="B388" s="176" t="s">
        <v>195</v>
      </c>
      <c r="C388" s="175" t="s">
        <v>846</v>
      </c>
      <c r="D388" s="197">
        <v>0</v>
      </c>
      <c r="E388" s="197">
        <f t="shared" si="68"/>
        <v>0.22500000000000001</v>
      </c>
      <c r="F388" s="197">
        <v>0.22500000000000001</v>
      </c>
      <c r="G388" s="177">
        <v>675</v>
      </c>
      <c r="H388" s="177" t="s">
        <v>0</v>
      </c>
      <c r="I388" s="177"/>
      <c r="J388" s="177"/>
      <c r="K388" s="177"/>
      <c r="L388" s="177"/>
      <c r="M388" s="177"/>
      <c r="N388" s="177"/>
      <c r="O388" s="177"/>
      <c r="P388" s="177"/>
      <c r="Q388" s="175">
        <v>80940040084</v>
      </c>
      <c r="R388" s="175">
        <v>80940040759</v>
      </c>
    </row>
    <row r="389" spans="1:32" x14ac:dyDescent="0.2">
      <c r="A389" s="181">
        <v>5</v>
      </c>
      <c r="B389" s="168" t="s">
        <v>196</v>
      </c>
      <c r="C389" s="175" t="s">
        <v>846</v>
      </c>
      <c r="D389" s="197">
        <v>0</v>
      </c>
      <c r="E389" s="197">
        <f t="shared" si="68"/>
        <v>0.34699999999999998</v>
      </c>
      <c r="F389" s="197">
        <v>0.34699999999999998</v>
      </c>
      <c r="G389" s="177">
        <v>1041</v>
      </c>
      <c r="H389" s="177" t="s">
        <v>0</v>
      </c>
      <c r="I389" s="177"/>
      <c r="J389" s="177"/>
      <c r="K389" s="177"/>
      <c r="L389" s="177"/>
      <c r="M389" s="177"/>
      <c r="N389" s="177"/>
      <c r="O389" s="177"/>
      <c r="P389" s="177"/>
      <c r="Q389" s="175">
        <v>80940041052</v>
      </c>
      <c r="R389" s="175">
        <v>80940041049</v>
      </c>
    </row>
    <row r="390" spans="1:32" x14ac:dyDescent="0.2">
      <c r="A390" s="182"/>
      <c r="B390" s="172"/>
      <c r="C390" s="175" t="s">
        <v>846</v>
      </c>
      <c r="D390" s="197">
        <f>E389</f>
        <v>0.34699999999999998</v>
      </c>
      <c r="E390" s="197">
        <f t="shared" si="68"/>
        <v>0.56199999999999994</v>
      </c>
      <c r="F390" s="197">
        <v>0.215</v>
      </c>
      <c r="G390" s="177">
        <v>645</v>
      </c>
      <c r="H390" s="177" t="s">
        <v>0</v>
      </c>
      <c r="I390" s="177"/>
      <c r="J390" s="177"/>
      <c r="K390" s="177"/>
      <c r="L390" s="177"/>
      <c r="M390" s="177"/>
      <c r="N390" s="177"/>
      <c r="O390" s="177"/>
      <c r="P390" s="177"/>
      <c r="Q390" s="175">
        <v>80940041052</v>
      </c>
      <c r="R390" s="175">
        <v>80940041042</v>
      </c>
    </row>
    <row r="391" spans="1:32" ht="15" x14ac:dyDescent="0.25">
      <c r="A391" s="180">
        <v>6</v>
      </c>
      <c r="B391" s="176" t="s">
        <v>197</v>
      </c>
      <c r="C391" s="175" t="s">
        <v>846</v>
      </c>
      <c r="D391" s="197">
        <v>0</v>
      </c>
      <c r="E391" s="197">
        <f t="shared" si="68"/>
        <v>0.14499999999999999</v>
      </c>
      <c r="F391" s="197">
        <v>0.14499999999999999</v>
      </c>
      <c r="G391" s="177">
        <v>435</v>
      </c>
      <c r="H391" s="177" t="s">
        <v>0</v>
      </c>
      <c r="I391" s="177"/>
      <c r="J391" s="177"/>
      <c r="K391" s="177"/>
      <c r="L391" s="177"/>
      <c r="M391" s="177"/>
      <c r="N391" s="177"/>
      <c r="O391" s="177"/>
      <c r="P391" s="177"/>
      <c r="Q391" s="175">
        <v>80940041053</v>
      </c>
      <c r="R391" s="175">
        <v>80940041044</v>
      </c>
      <c r="S391"/>
      <c r="T391"/>
      <c r="U391"/>
      <c r="V391"/>
      <c r="W391"/>
      <c r="X391"/>
      <c r="Y391"/>
      <c r="Z391"/>
      <c r="AA391" t="s">
        <v>1097</v>
      </c>
      <c r="AB391"/>
      <c r="AC391"/>
      <c r="AD391"/>
      <c r="AE391"/>
      <c r="AF391"/>
    </row>
    <row r="392" spans="1:32" ht="12.75" customHeight="1" x14ac:dyDescent="0.2">
      <c r="A392" s="137" t="s">
        <v>412</v>
      </c>
      <c r="B392" s="138"/>
      <c r="C392" s="485"/>
      <c r="D392" s="139"/>
      <c r="E392" s="140"/>
      <c r="F392" s="141">
        <f>SUM(F385:F391)</f>
        <v>1.9220000000000002</v>
      </c>
      <c r="G392" s="142">
        <f>SUM(G385:G391)</f>
        <v>6106</v>
      </c>
      <c r="H392" s="143"/>
      <c r="I392" s="94"/>
      <c r="J392" s="144"/>
      <c r="K392" s="145" t="s">
        <v>268</v>
      </c>
      <c r="L392" s="146">
        <f>SUM(L385:L391)</f>
        <v>0</v>
      </c>
      <c r="M392" s="146">
        <f>SUM(M385:M391)</f>
        <v>0</v>
      </c>
      <c r="N392" s="147"/>
      <c r="O392" s="145" t="s">
        <v>269</v>
      </c>
      <c r="P392" s="146">
        <f>SUM(P385:P391)</f>
        <v>0</v>
      </c>
      <c r="Q392" s="147"/>
      <c r="R392" s="147"/>
      <c r="S392" s="102"/>
      <c r="T392" s="625" t="s">
        <v>1092</v>
      </c>
      <c r="U392" s="625" t="s">
        <v>1093</v>
      </c>
      <c r="V392" s="625" t="s">
        <v>1094</v>
      </c>
      <c r="W392" s="625" t="s">
        <v>1095</v>
      </c>
      <c r="X392" s="625" t="s">
        <v>1096</v>
      </c>
      <c r="Y392" s="627" t="s">
        <v>269</v>
      </c>
      <c r="Z392" s="102"/>
      <c r="AA392" s="625" t="s">
        <v>1092</v>
      </c>
      <c r="AB392" s="625" t="s">
        <v>1093</v>
      </c>
      <c r="AC392" s="625" t="s">
        <v>1094</v>
      </c>
      <c r="AD392" s="625" t="s">
        <v>1095</v>
      </c>
      <c r="AE392" s="625" t="s">
        <v>1096</v>
      </c>
      <c r="AF392" s="627" t="s">
        <v>269</v>
      </c>
    </row>
    <row r="393" spans="1:32" ht="12.75" customHeight="1" x14ac:dyDescent="0.2">
      <c r="A393" s="148" t="s">
        <v>270</v>
      </c>
      <c r="B393" s="149"/>
      <c r="C393" s="486"/>
      <c r="D393" s="150"/>
      <c r="E393" s="151"/>
      <c r="F393" s="163">
        <v>0</v>
      </c>
      <c r="G393" s="158">
        <v>0</v>
      </c>
      <c r="H393" s="154"/>
      <c r="I393" s="155"/>
      <c r="J393" s="147"/>
      <c r="K393" s="136"/>
      <c r="L393" s="156"/>
      <c r="M393" s="156"/>
      <c r="N393" s="147"/>
      <c r="O393" s="147"/>
      <c r="P393" s="147"/>
      <c r="Q393" s="147"/>
      <c r="R393" s="147"/>
      <c r="S393" s="628" t="s">
        <v>844</v>
      </c>
      <c r="T393" s="625" t="s">
        <v>231</v>
      </c>
      <c r="U393" s="625" t="s">
        <v>231</v>
      </c>
      <c r="V393" s="625" t="s">
        <v>231</v>
      </c>
      <c r="W393" s="625" t="s">
        <v>231</v>
      </c>
      <c r="X393" s="625" t="s">
        <v>231</v>
      </c>
      <c r="Y393" s="626" t="s">
        <v>231</v>
      </c>
      <c r="Z393" s="628"/>
      <c r="AA393" s="625" t="s">
        <v>231</v>
      </c>
      <c r="AB393" s="625" t="s">
        <v>231</v>
      </c>
      <c r="AC393" s="625" t="s">
        <v>231</v>
      </c>
      <c r="AD393" s="625" t="s">
        <v>231</v>
      </c>
      <c r="AE393" s="625" t="s">
        <v>231</v>
      </c>
      <c r="AF393" s="626" t="s">
        <v>231</v>
      </c>
    </row>
    <row r="394" spans="1:32" ht="12.75" customHeight="1" x14ac:dyDescent="0.2">
      <c r="A394" s="148" t="s">
        <v>271</v>
      </c>
      <c r="B394" s="149"/>
      <c r="C394" s="486"/>
      <c r="D394" s="150"/>
      <c r="E394" s="151"/>
      <c r="F394" s="163">
        <v>0</v>
      </c>
      <c r="G394" s="158">
        <v>0</v>
      </c>
      <c r="H394" s="162"/>
      <c r="I394" s="94"/>
      <c r="J394" s="159"/>
      <c r="K394" s="160"/>
      <c r="L394" s="160"/>
      <c r="M394" s="160"/>
      <c r="N394" s="161"/>
      <c r="O394" s="147"/>
      <c r="P394" s="147"/>
      <c r="Q394" s="147"/>
      <c r="R394" s="147"/>
      <c r="S394" s="616" t="s">
        <v>847</v>
      </c>
      <c r="T394" s="614">
        <f>SUMIFS(F385:F391,C385:C391,"A",H385:H391,"melnais")</f>
        <v>0</v>
      </c>
      <c r="U394" s="614">
        <f>SUMIFS(F385:F391,C385:C391,"A",H385:H391,"dubultā virsma")</f>
        <v>0</v>
      </c>
      <c r="V394" s="614">
        <f>SUMIFS(F385:F391,C385:C391,"A",H385:H391,"bruģis")</f>
        <v>0</v>
      </c>
      <c r="W394" s="614">
        <f>SUMIFS(F385:F391,C385:C391,"A",H385:H391,"grants")</f>
        <v>0</v>
      </c>
      <c r="X394" s="614">
        <f>SUMIFS(F385:F391,C385:C391,"A",H385:H391,"cits segums")</f>
        <v>0</v>
      </c>
      <c r="Y394" s="614">
        <f>SUM(T394:X394)</f>
        <v>0</v>
      </c>
      <c r="Z394" s="616" t="s">
        <v>847</v>
      </c>
      <c r="AA394" s="614">
        <f>SUMIFS(F385:F391,C385:C391,"A",H385:H391,"melnais", Q385:Q391,"Nepiederošs")</f>
        <v>0</v>
      </c>
      <c r="AB394" s="614">
        <f>SUMIFS(F385:F391,C385:C391,"A",H385:H391,"dubultā virsma", Q385:Q391,"Nepiederošs")</f>
        <v>0</v>
      </c>
      <c r="AC394" s="614">
        <f>SUMIFS(F385:F391,C385:C391,"A",H385:H391,"bruģis", Q385:Q391,"Nepiederošs")</f>
        <v>0</v>
      </c>
      <c r="AD394" s="614">
        <f>SUMIFS(F385:F391,C385:C391,"A",H385:H391,"grants", Q385:Q391,"Nepiederošs")</f>
        <v>0</v>
      </c>
      <c r="AE394" s="614">
        <f>SUMIFS(F385:F391,C385:C391,"A",H385:H391,"cits segums", Q385:Q391,"Nepiederošs")</f>
        <v>0</v>
      </c>
      <c r="AF394" s="614">
        <f>SUM(AA394:AE394)</f>
        <v>0</v>
      </c>
    </row>
    <row r="395" spans="1:32" ht="12.75" customHeight="1" x14ac:dyDescent="0.2">
      <c r="A395" s="148" t="s">
        <v>272</v>
      </c>
      <c r="B395" s="149"/>
      <c r="C395" s="486"/>
      <c r="D395" s="150"/>
      <c r="E395" s="151"/>
      <c r="F395" s="163">
        <f>SUM(F385:F391)</f>
        <v>1.9220000000000002</v>
      </c>
      <c r="G395" s="192">
        <f>SUM(G385:G391)</f>
        <v>6106</v>
      </c>
      <c r="H395" s="162"/>
      <c r="I395" s="162"/>
      <c r="J395" s="159"/>
      <c r="K395" s="160"/>
      <c r="L395" s="160"/>
      <c r="M395" s="160"/>
      <c r="N395" s="161"/>
      <c r="O395" s="147"/>
      <c r="P395" s="147"/>
      <c r="Q395" s="147"/>
      <c r="R395" s="147"/>
      <c r="S395" s="617" t="s">
        <v>848</v>
      </c>
      <c r="T395" s="614">
        <f>SUMIFS(F385:F391,C385:C391,"B",H385:H391,"melnais")</f>
        <v>0</v>
      </c>
      <c r="U395" s="614">
        <f>SUMIFS(F385:F391,C385:C391,"B",H385:H391,"dubultā virsma")</f>
        <v>0</v>
      </c>
      <c r="V395" s="614">
        <f>SUMIFS(F385:F391,C385:C391,"B",H385:H391,"bruģis")</f>
        <v>0</v>
      </c>
      <c r="W395" s="614">
        <f>SUMIFS(F385:F391,C385:C391,"B",H385:H391,"grants")</f>
        <v>0</v>
      </c>
      <c r="X395" s="614">
        <f>SUMIFS(F385:F391,C385:C391,"B",H385:H391,"cits segums")</f>
        <v>0</v>
      </c>
      <c r="Y395" s="614">
        <f t="shared" ref="Y395:Y397" si="69">SUM(T395:X395)</f>
        <v>0</v>
      </c>
      <c r="Z395" s="617" t="s">
        <v>848</v>
      </c>
      <c r="AA395" s="614">
        <f>SUMIFS(F385:F391,C385:C391,"B",H385:H391,"melnais", Q385:Q391,"Nepiederošs")</f>
        <v>0</v>
      </c>
      <c r="AB395" s="614">
        <f>SUMIFS(F385:F391,C385:C391,"B",H385:H391,"dubultā virsma", Q385:Q391,"Nepiederošs")</f>
        <v>0</v>
      </c>
      <c r="AC395" s="614">
        <f>SUMIFS(F385:F391,C385:C391,"B",H385:H391,"bruģis", Q385:Q391,"Nepiederošs")</f>
        <v>0</v>
      </c>
      <c r="AD395" s="614">
        <f>SUMIFS(F385:F391,C385:C391,"B",H385:H391,"grants", Q385:Q391,"Nepiederošs")</f>
        <v>0</v>
      </c>
      <c r="AE395" s="614">
        <f>SUMIFS(F385:F391,C385:C391,"B",H385:H391,"cits segums", Q385:Q391,"Nepiederošs")</f>
        <v>0</v>
      </c>
      <c r="AF395" s="614">
        <f t="shared" ref="AF395:AF397" si="70">SUM(AA395:AE395)</f>
        <v>0</v>
      </c>
    </row>
    <row r="396" spans="1:32" ht="12.75" customHeight="1" x14ac:dyDescent="0.2">
      <c r="A396" s="148" t="s">
        <v>401</v>
      </c>
      <c r="B396" s="149"/>
      <c r="C396" s="486"/>
      <c r="D396" s="150"/>
      <c r="E396" s="151"/>
      <c r="F396" s="163">
        <v>0</v>
      </c>
      <c r="G396" s="158">
        <v>0</v>
      </c>
      <c r="H396" s="165"/>
      <c r="I396" s="162"/>
      <c r="J396" s="166"/>
      <c r="K396" s="160"/>
      <c r="L396" s="160"/>
      <c r="M396" s="160"/>
      <c r="N396" s="161"/>
      <c r="O396" s="147"/>
      <c r="P396" s="147"/>
      <c r="Q396" s="147"/>
      <c r="R396" s="147"/>
      <c r="S396" s="615" t="s">
        <v>845</v>
      </c>
      <c r="T396" s="614">
        <f>SUMIFS(F385:F391,C385:C391,"C",H385:H391,"melnais")</f>
        <v>0</v>
      </c>
      <c r="U396" s="614">
        <f>SUMIFS(F385:F391,C385:C391,"C",H385:H391,"dubultā virsma")</f>
        <v>0</v>
      </c>
      <c r="V396" s="614">
        <f>SUMIFS(F385:F391,C385:C391,"C",H385:H391,"bruģis")</f>
        <v>0</v>
      </c>
      <c r="W396" s="614">
        <f>SUMIFS(F385:F391,C385:C391,"C",H385:H391,"grants")</f>
        <v>0.17</v>
      </c>
      <c r="X396" s="614">
        <f>SUMIFS(F385:F391,C385:C391,"C",H385:H391,"cits segums")</f>
        <v>0</v>
      </c>
      <c r="Y396" s="614">
        <f t="shared" si="69"/>
        <v>0.17</v>
      </c>
      <c r="Z396" s="615" t="s">
        <v>845</v>
      </c>
      <c r="AA396" s="614">
        <f>SUMIFS(F385:F391,C385:C391,"C",H385:H391,"melnais", Q385:Q391,"Nepiederošs")</f>
        <v>0</v>
      </c>
      <c r="AB396" s="614">
        <f>SUMIFS(F385:F391,C385:C391,"C",H385:H391,"dubultā virsma", Q385:Q391,"Nepiederošs")</f>
        <v>0</v>
      </c>
      <c r="AC396" s="614">
        <f>SUMIFS(F385:F391,C385:C391,"C",H385:H391,"bruģis", Q385:Q391,"Nepiederošs")</f>
        <v>0</v>
      </c>
      <c r="AD396" s="614">
        <f>SUMIFS(F385:F391,C385:C391,"C",H385:H391,"grants", Q385:Q391,"Nepiederošs")</f>
        <v>0</v>
      </c>
      <c r="AE396" s="614">
        <f>SUMIFS(F385:F391,C385:C391,"C",H385:H391,"cits segums", Q385:Q391,"Nepiederošs")</f>
        <v>0</v>
      </c>
      <c r="AF396" s="614">
        <f t="shared" si="70"/>
        <v>0</v>
      </c>
    </row>
    <row r="397" spans="1:32" ht="12.75" customHeight="1" x14ac:dyDescent="0.2">
      <c r="A397" s="193"/>
      <c r="B397" s="193"/>
      <c r="C397" s="33"/>
      <c r="D397" s="38"/>
      <c r="E397" s="38"/>
      <c r="F397" s="194"/>
      <c r="G397" s="203"/>
      <c r="H397" s="165"/>
      <c r="I397" s="162"/>
      <c r="J397" s="166"/>
      <c r="K397" s="160"/>
      <c r="L397" s="160"/>
      <c r="M397" s="160"/>
      <c r="N397" s="161"/>
      <c r="O397" s="147"/>
      <c r="P397" s="147"/>
      <c r="Q397" s="147"/>
      <c r="R397" s="147"/>
      <c r="S397" s="616" t="s">
        <v>846</v>
      </c>
      <c r="T397" s="614">
        <f>SUMIFS(F385:F391,C385:C391,"D",H385:H391,"melnais")</f>
        <v>0</v>
      </c>
      <c r="U397" s="614">
        <f>SUMIFS(F385:F391,C385:C391,"D",H385:H391,"dubultā virsma")</f>
        <v>0</v>
      </c>
      <c r="V397" s="614">
        <f>SUMIFS(F385:F391,C385:C391,"D",H385:H391,"bruģis")</f>
        <v>0</v>
      </c>
      <c r="W397" s="614">
        <f>SUMIFS(F385:F391,C385:C391,"D",H385:H391,"grants")</f>
        <v>1.7520000000000002</v>
      </c>
      <c r="X397" s="614">
        <f>SUMIFS(F385:F391,C385:C391,"D",H385:H391,"cits segums")</f>
        <v>0</v>
      </c>
      <c r="Y397" s="614">
        <f t="shared" si="69"/>
        <v>1.7520000000000002</v>
      </c>
      <c r="Z397" s="616" t="s">
        <v>846</v>
      </c>
      <c r="AA397" s="614">
        <f>SUMIFS(F385:F391,C385:C391,"D",H385:H391,"melnais", Q385:Q391,"Nepiederošs")</f>
        <v>0</v>
      </c>
      <c r="AB397" s="614">
        <f>SUMIFS(F385:F391,C385:C391,"D",H385:H391,"dubultā virsma", Q385:Q391,"Nepiederošs")</f>
        <v>0</v>
      </c>
      <c r="AC397" s="614">
        <f>SUMIFS(F385:F391,C385:C391,"D",H385:H391,"bruģis", Q385:Q391,"Nepiederošs")</f>
        <v>0</v>
      </c>
      <c r="AD397" s="614">
        <f>SUMIFS(F385:F391,C385:C391,"D",H385:H391,"grants", Q385:Q391,"Nepiederošs")</f>
        <v>0</v>
      </c>
      <c r="AE397" s="614">
        <f>SUMIFS(F385:F391,C385:C391,"D",H385:H391,"cits segums", Q385:Q391,"Nepiederošs")</f>
        <v>0</v>
      </c>
      <c r="AF397" s="614">
        <f t="shared" si="70"/>
        <v>0</v>
      </c>
    </row>
    <row r="398" spans="1:32" s="38" customFormat="1" ht="15" customHeight="1" x14ac:dyDescent="0.25">
      <c r="A398" s="33"/>
      <c r="C398" s="487"/>
      <c r="D398" s="813" t="s">
        <v>1068</v>
      </c>
      <c r="E398" s="813"/>
      <c r="F398" s="813"/>
      <c r="G398" s="813"/>
      <c r="H398" s="813"/>
      <c r="I398" s="813"/>
      <c r="J398" s="813"/>
      <c r="K398" s="813"/>
      <c r="L398" s="813"/>
      <c r="M398" s="813"/>
      <c r="N398" s="813"/>
      <c r="O398" s="813"/>
      <c r="P398" s="813"/>
      <c r="Q398" s="30"/>
      <c r="R398" s="37"/>
      <c r="S398" s="637"/>
      <c r="T398" s="629">
        <f>SUM(T394:T397)</f>
        <v>0</v>
      </c>
      <c r="U398" s="629">
        <f t="shared" ref="U398" si="71">SUM(U394:U397)</f>
        <v>0</v>
      </c>
      <c r="V398" s="629">
        <f t="shared" ref="V398" si="72">SUM(V394:V397)</f>
        <v>0</v>
      </c>
      <c r="W398" s="629">
        <f t="shared" ref="W398" si="73">SUM(W394:W397)</f>
        <v>1.9220000000000002</v>
      </c>
      <c r="X398" s="629">
        <f t="shared" ref="X398" si="74">SUM(X394:X397)</f>
        <v>0</v>
      </c>
      <c r="Y398" s="629">
        <f t="shared" ref="Y398" si="75">SUM(Y394:Y397)</f>
        <v>1.9220000000000002</v>
      </c>
      <c r="Z398"/>
      <c r="AA398" s="629">
        <f>SUM(AA394:AA397)</f>
        <v>0</v>
      </c>
      <c r="AB398" s="629">
        <f t="shared" ref="AB398" si="76">SUM(AB394:AB397)</f>
        <v>0</v>
      </c>
      <c r="AC398" s="629">
        <f>SUM(AC394:AC397)</f>
        <v>0</v>
      </c>
      <c r="AD398" s="629">
        <f t="shared" ref="AD398" si="77">SUM(AD394:AD397)</f>
        <v>0</v>
      </c>
      <c r="AE398" s="629">
        <f t="shared" ref="AE398" si="78">SUM(AE394:AE397)</f>
        <v>0</v>
      </c>
      <c r="AF398" s="629">
        <f t="shared" ref="AF398" si="79">SUM(AF394:AF397)</f>
        <v>0</v>
      </c>
    </row>
    <row r="399" spans="1:32" ht="12.75" customHeight="1" x14ac:dyDescent="0.2">
      <c r="A399" s="818" t="s">
        <v>244</v>
      </c>
      <c r="B399" s="825" t="s">
        <v>388</v>
      </c>
      <c r="C399" s="482"/>
      <c r="D399" s="826" t="s">
        <v>246</v>
      </c>
      <c r="E399" s="827"/>
      <c r="F399" s="827"/>
      <c r="G399" s="827"/>
      <c r="H399" s="827"/>
      <c r="I399" s="827"/>
      <c r="J399" s="827"/>
      <c r="K399" s="827"/>
      <c r="L399" s="827"/>
      <c r="M399" s="827"/>
      <c r="N399" s="827"/>
      <c r="O399" s="827"/>
      <c r="P399" s="828"/>
      <c r="Q399" s="821" t="s">
        <v>247</v>
      </c>
      <c r="R399" s="822"/>
    </row>
    <row r="400" spans="1:32" ht="12.75" customHeight="1" x14ac:dyDescent="0.2">
      <c r="A400" s="818"/>
      <c r="B400" s="825"/>
      <c r="C400" s="410"/>
      <c r="D400" s="816" t="s">
        <v>389</v>
      </c>
      <c r="E400" s="816"/>
      <c r="F400" s="816"/>
      <c r="G400" s="816"/>
      <c r="H400" s="816"/>
      <c r="I400" s="814" t="s">
        <v>249</v>
      </c>
      <c r="J400" s="814"/>
      <c r="K400" s="814"/>
      <c r="L400" s="814"/>
      <c r="M400" s="814"/>
      <c r="N400" s="814"/>
      <c r="O400" s="814"/>
      <c r="P400" s="815" t="s">
        <v>250</v>
      </c>
      <c r="Q400" s="823"/>
      <c r="R400" s="824"/>
    </row>
    <row r="401" spans="1:32" ht="15.2" customHeight="1" x14ac:dyDescent="0.2">
      <c r="A401" s="818"/>
      <c r="B401" s="825"/>
      <c r="C401" s="410"/>
      <c r="D401" s="816" t="s">
        <v>251</v>
      </c>
      <c r="E401" s="816"/>
      <c r="F401" s="817" t="s">
        <v>252</v>
      </c>
      <c r="G401" s="817" t="s">
        <v>257</v>
      </c>
      <c r="H401" s="818" t="s">
        <v>253</v>
      </c>
      <c r="I401" s="819" t="s">
        <v>254</v>
      </c>
      <c r="J401" s="814" t="s">
        <v>255</v>
      </c>
      <c r="K401" s="814"/>
      <c r="L401" s="820" t="s">
        <v>256</v>
      </c>
      <c r="M401" s="820" t="s">
        <v>257</v>
      </c>
      <c r="N401" s="820" t="s">
        <v>258</v>
      </c>
      <c r="O401" s="820" t="s">
        <v>259</v>
      </c>
      <c r="P401" s="809"/>
      <c r="Q401" s="809" t="s">
        <v>260</v>
      </c>
      <c r="R401" s="811" t="s">
        <v>261</v>
      </c>
    </row>
    <row r="402" spans="1:32" ht="33.75" customHeight="1" x14ac:dyDescent="0.2">
      <c r="A402" s="818"/>
      <c r="B402" s="825"/>
      <c r="C402" s="432" t="s">
        <v>844</v>
      </c>
      <c r="D402" s="95" t="s">
        <v>262</v>
      </c>
      <c r="E402" s="95" t="s">
        <v>263</v>
      </c>
      <c r="F402" s="817"/>
      <c r="G402" s="817"/>
      <c r="H402" s="818"/>
      <c r="I402" s="819"/>
      <c r="J402" s="96" t="s">
        <v>231</v>
      </c>
      <c r="K402" s="96" t="s">
        <v>264</v>
      </c>
      <c r="L402" s="820"/>
      <c r="M402" s="820"/>
      <c r="N402" s="820"/>
      <c r="O402" s="820"/>
      <c r="P402" s="810"/>
      <c r="Q402" s="810"/>
      <c r="R402" s="812"/>
    </row>
    <row r="403" spans="1:32" s="99" customFormat="1" ht="12" customHeight="1" x14ac:dyDescent="0.25">
      <c r="A403" s="200">
        <v>1</v>
      </c>
      <c r="B403" s="200">
        <v>2</v>
      </c>
      <c r="C403" s="200"/>
      <c r="D403" s="200">
        <v>3</v>
      </c>
      <c r="E403" s="200">
        <v>4</v>
      </c>
      <c r="F403" s="200">
        <v>5</v>
      </c>
      <c r="G403" s="200">
        <v>6</v>
      </c>
      <c r="H403" s="200">
        <v>7</v>
      </c>
      <c r="I403" s="201">
        <v>8</v>
      </c>
      <c r="J403" s="201">
        <v>9</v>
      </c>
      <c r="K403" s="201">
        <v>10</v>
      </c>
      <c r="L403" s="201">
        <v>11</v>
      </c>
      <c r="M403" s="201">
        <v>12</v>
      </c>
      <c r="N403" s="201">
        <v>13</v>
      </c>
      <c r="O403" s="201">
        <v>14</v>
      </c>
      <c r="P403" s="201">
        <v>15</v>
      </c>
      <c r="Q403" s="201">
        <v>16</v>
      </c>
      <c r="R403" s="200">
        <v>17</v>
      </c>
    </row>
    <row r="404" spans="1:32" x14ac:dyDescent="0.2">
      <c r="A404" s="175">
        <v>1</v>
      </c>
      <c r="B404" s="176" t="s">
        <v>198</v>
      </c>
      <c r="C404" s="175" t="s">
        <v>846</v>
      </c>
      <c r="D404" s="219">
        <v>0</v>
      </c>
      <c r="E404" s="219">
        <f>D404+F404</f>
        <v>6.5000000000000002E-2</v>
      </c>
      <c r="F404" s="197">
        <v>6.5000000000000002E-2</v>
      </c>
      <c r="G404" s="169">
        <v>195</v>
      </c>
      <c r="H404" s="177" t="s">
        <v>4</v>
      </c>
      <c r="I404" s="169"/>
      <c r="J404" s="169"/>
      <c r="K404" s="169"/>
      <c r="L404" s="169"/>
      <c r="M404" s="169"/>
      <c r="N404" s="169"/>
      <c r="O404" s="169"/>
      <c r="P404" s="169"/>
      <c r="Q404" s="175">
        <v>80940050326</v>
      </c>
      <c r="R404" s="175">
        <v>80940050326</v>
      </c>
    </row>
    <row r="405" spans="1:32" ht="15" x14ac:dyDescent="0.25">
      <c r="A405" s="175">
        <v>2</v>
      </c>
      <c r="B405" s="176" t="s">
        <v>72</v>
      </c>
      <c r="C405" s="175" t="s">
        <v>846</v>
      </c>
      <c r="D405" s="197">
        <v>0</v>
      </c>
      <c r="E405" s="197">
        <f>D405+F405</f>
        <v>0.46</v>
      </c>
      <c r="F405" s="197">
        <v>0.46</v>
      </c>
      <c r="G405" s="177">
        <v>1380</v>
      </c>
      <c r="H405" s="177" t="s">
        <v>0</v>
      </c>
      <c r="I405" s="177"/>
      <c r="J405" s="177"/>
      <c r="K405" s="177"/>
      <c r="L405" s="177"/>
      <c r="M405" s="177"/>
      <c r="N405" s="177"/>
      <c r="O405" s="177"/>
      <c r="P405" s="177"/>
      <c r="Q405" s="175">
        <v>80940050324</v>
      </c>
      <c r="R405" s="175">
        <v>80940050324</v>
      </c>
      <c r="S405"/>
      <c r="T405"/>
      <c r="U405"/>
      <c r="V405"/>
      <c r="W405"/>
      <c r="X405"/>
      <c r="Y405"/>
      <c r="Z405"/>
      <c r="AA405" t="s">
        <v>1097</v>
      </c>
      <c r="AB405"/>
      <c r="AC405"/>
      <c r="AD405"/>
      <c r="AE405"/>
      <c r="AF405"/>
    </row>
    <row r="406" spans="1:32" ht="12.75" customHeight="1" x14ac:dyDescent="0.2">
      <c r="A406" s="137" t="s">
        <v>413</v>
      </c>
      <c r="B406" s="138"/>
      <c r="C406" s="485"/>
      <c r="D406" s="139"/>
      <c r="E406" s="140"/>
      <c r="F406" s="141">
        <f>SUM(F404:F405)</f>
        <v>0.52500000000000002</v>
      </c>
      <c r="G406" s="142">
        <f>SUM(G404:G405)</f>
        <v>1575</v>
      </c>
      <c r="H406" s="143"/>
      <c r="I406" s="94"/>
      <c r="J406" s="144"/>
      <c r="K406" s="145" t="s">
        <v>268</v>
      </c>
      <c r="L406" s="146">
        <f>SUM(L404:L405)</f>
        <v>0</v>
      </c>
      <c r="M406" s="146">
        <f>SUM(M404:M405)</f>
        <v>0</v>
      </c>
      <c r="N406" s="147"/>
      <c r="O406" s="145" t="s">
        <v>269</v>
      </c>
      <c r="P406" s="146">
        <f>SUM(P404:P405)</f>
        <v>0</v>
      </c>
      <c r="Q406" s="147"/>
      <c r="R406" s="147"/>
      <c r="S406" s="102"/>
      <c r="T406" s="625" t="s">
        <v>1092</v>
      </c>
      <c r="U406" s="625" t="s">
        <v>1093</v>
      </c>
      <c r="V406" s="625" t="s">
        <v>1094</v>
      </c>
      <c r="W406" s="625" t="s">
        <v>1095</v>
      </c>
      <c r="X406" s="625" t="s">
        <v>1096</v>
      </c>
      <c r="Y406" s="627" t="s">
        <v>269</v>
      </c>
      <c r="Z406" s="102"/>
      <c r="AA406" s="625" t="s">
        <v>1092</v>
      </c>
      <c r="AB406" s="625" t="s">
        <v>1093</v>
      </c>
      <c r="AC406" s="625" t="s">
        <v>1094</v>
      </c>
      <c r="AD406" s="625" t="s">
        <v>1095</v>
      </c>
      <c r="AE406" s="625" t="s">
        <v>1096</v>
      </c>
      <c r="AF406" s="627" t="s">
        <v>269</v>
      </c>
    </row>
    <row r="407" spans="1:32" ht="12.75" customHeight="1" x14ac:dyDescent="0.2">
      <c r="A407" s="148" t="s">
        <v>270</v>
      </c>
      <c r="B407" s="149"/>
      <c r="C407" s="486"/>
      <c r="D407" s="150"/>
      <c r="E407" s="151"/>
      <c r="F407" s="163">
        <v>6.5000000000000002E-2</v>
      </c>
      <c r="G407" s="158">
        <v>195</v>
      </c>
      <c r="H407" s="154"/>
      <c r="I407" s="155"/>
      <c r="J407" s="147"/>
      <c r="K407" s="136"/>
      <c r="L407" s="156"/>
      <c r="M407" s="156"/>
      <c r="N407" s="147"/>
      <c r="O407" s="147"/>
      <c r="P407" s="147"/>
      <c r="Q407" s="147"/>
      <c r="R407" s="147"/>
      <c r="S407" s="628" t="s">
        <v>844</v>
      </c>
      <c r="T407" s="625" t="s">
        <v>231</v>
      </c>
      <c r="U407" s="625" t="s">
        <v>231</v>
      </c>
      <c r="V407" s="625" t="s">
        <v>231</v>
      </c>
      <c r="W407" s="625" t="s">
        <v>231</v>
      </c>
      <c r="X407" s="625" t="s">
        <v>231</v>
      </c>
      <c r="Y407" s="626" t="s">
        <v>231</v>
      </c>
      <c r="Z407" s="628"/>
      <c r="AA407" s="625" t="s">
        <v>231</v>
      </c>
      <c r="AB407" s="625" t="s">
        <v>231</v>
      </c>
      <c r="AC407" s="625" t="s">
        <v>231</v>
      </c>
      <c r="AD407" s="625" t="s">
        <v>231</v>
      </c>
      <c r="AE407" s="625" t="s">
        <v>231</v>
      </c>
      <c r="AF407" s="626" t="s">
        <v>231</v>
      </c>
    </row>
    <row r="408" spans="1:32" ht="12.75" customHeight="1" x14ac:dyDescent="0.2">
      <c r="A408" s="148" t="s">
        <v>271</v>
      </c>
      <c r="B408" s="149"/>
      <c r="C408" s="486"/>
      <c r="D408" s="150"/>
      <c r="E408" s="151"/>
      <c r="F408" s="163">
        <v>0</v>
      </c>
      <c r="G408" s="158">
        <v>0</v>
      </c>
      <c r="H408" s="162"/>
      <c r="I408" s="94"/>
      <c r="J408" s="159"/>
      <c r="K408" s="160"/>
      <c r="L408" s="160"/>
      <c r="M408" s="160"/>
      <c r="N408" s="161"/>
      <c r="O408" s="147"/>
      <c r="P408" s="147"/>
      <c r="Q408" s="147"/>
      <c r="R408" s="147"/>
      <c r="S408" s="616" t="s">
        <v>847</v>
      </c>
      <c r="T408" s="614">
        <f>SUMIFS(F399:F405,C399:C405,"A",H399:H405,"melnais")</f>
        <v>0</v>
      </c>
      <c r="U408" s="614">
        <f>SUMIFS(F399:F405,C399:C405,"A",H399:H405,"dubultā virsma")</f>
        <v>0</v>
      </c>
      <c r="V408" s="614">
        <f>SUMIFS(F399:F405,C399:C405,"A",H399:H405,"bruģis")</f>
        <v>0</v>
      </c>
      <c r="W408" s="614">
        <f>SUMIFS(F399:F405,C399:C405,"A",H399:H405,"grants")</f>
        <v>0</v>
      </c>
      <c r="X408" s="614">
        <f>SUMIFS(F399:F405,C399:C405,"A",H399:H405,"cits segums")</f>
        <v>0</v>
      </c>
      <c r="Y408" s="614">
        <f>SUM(T408:X408)</f>
        <v>0</v>
      </c>
      <c r="Z408" s="616" t="s">
        <v>847</v>
      </c>
      <c r="AA408" s="614">
        <f>SUMIFS(F399:F405,C399:C405,"A",H399:H405,"melnais", Q399:Q405,"Nepiederošs")</f>
        <v>0</v>
      </c>
      <c r="AB408" s="614">
        <f>SUMIFS(F399:F405,C399:C405,"A",H399:H405,"dubultā virsma", Q399:Q405,"Nepiederošs")</f>
        <v>0</v>
      </c>
      <c r="AC408" s="614">
        <f>SUMIFS(F399:F405,C399:C405,"A",H399:H405,"bruģis", Q399:Q405,"Nepiederošs")</f>
        <v>0</v>
      </c>
      <c r="AD408" s="614">
        <f>SUMIFS(F399:F405,C399:C405,"A",H399:H405,"grants", Q399:Q405,"Nepiederošs")</f>
        <v>0</v>
      </c>
      <c r="AE408" s="614">
        <f>SUMIFS(F399:F405,C399:C405,"A",H399:H405,"cits segums", Q399:Q405,"Nepiederošs")</f>
        <v>0</v>
      </c>
      <c r="AF408" s="614">
        <f>SUM(AA408:AE408)</f>
        <v>0</v>
      </c>
    </row>
    <row r="409" spans="1:32" ht="12.75" customHeight="1" x14ac:dyDescent="0.2">
      <c r="A409" s="148" t="s">
        <v>272</v>
      </c>
      <c r="B409" s="149"/>
      <c r="C409" s="486"/>
      <c r="D409" s="150"/>
      <c r="E409" s="151"/>
      <c r="F409" s="163">
        <v>0.46</v>
      </c>
      <c r="G409" s="158">
        <v>1380</v>
      </c>
      <c r="H409" s="162"/>
      <c r="I409" s="162"/>
      <c r="J409" s="159"/>
      <c r="K409" s="160"/>
      <c r="L409" s="160"/>
      <c r="M409" s="160"/>
      <c r="N409" s="161"/>
      <c r="O409" s="147"/>
      <c r="P409" s="147"/>
      <c r="Q409" s="147"/>
      <c r="R409" s="147"/>
      <c r="S409" s="617" t="s">
        <v>848</v>
      </c>
      <c r="T409" s="614">
        <f>SUMIFS(F399:F405,C399:C405,"B",H399:H405,"melnais")</f>
        <v>0</v>
      </c>
      <c r="U409" s="614">
        <f>SUMIFS(F399:F405,C399:C405,"B",H399:H405,"dubultā virsma")</f>
        <v>0</v>
      </c>
      <c r="V409" s="614">
        <f>SUMIFS(F399:F405,C399:C405,"B",H399:H405,"bruģis")</f>
        <v>0</v>
      </c>
      <c r="W409" s="614">
        <f>SUMIFS(F399:F405,C399:C405,"B",H399:H405,"grants")</f>
        <v>0</v>
      </c>
      <c r="X409" s="614">
        <f>SUMIFS(F399:F405,C399:C405,"B",H399:H405,"cits segums")</f>
        <v>0</v>
      </c>
      <c r="Y409" s="614">
        <f t="shared" ref="Y409:Y411" si="80">SUM(T409:X409)</f>
        <v>0</v>
      </c>
      <c r="Z409" s="617" t="s">
        <v>848</v>
      </c>
      <c r="AA409" s="614">
        <f>SUMIFS(F399:F405,C399:C405,"B",H399:H405,"melnais", Q399:Q405,"Nepiederošs")</f>
        <v>0</v>
      </c>
      <c r="AB409" s="614">
        <f>SUMIFS(F399:F405,C399:C405,"B",H399:H405,"dubultā virsma", Q399:Q405,"Nepiederošs")</f>
        <v>0</v>
      </c>
      <c r="AC409" s="614">
        <f>SUMIFS(F399:F405,C399:C405,"B",H399:H405,"bruģis", Q399:Q405,"Nepiederošs")</f>
        <v>0</v>
      </c>
      <c r="AD409" s="614">
        <f>SUMIFS(F399:F405,C399:C405,"B",H399:H405,"grants", Q399:Q405,"Nepiederošs")</f>
        <v>0</v>
      </c>
      <c r="AE409" s="614">
        <f>SUMIFS(F399:F405,C399:C405,"B",H399:H405,"cits segums", Q399:Q405,"Nepiederošs")</f>
        <v>0</v>
      </c>
      <c r="AF409" s="614">
        <f t="shared" ref="AF409:AF411" si="81">SUM(AA409:AE409)</f>
        <v>0</v>
      </c>
    </row>
    <row r="410" spans="1:32" ht="12.75" customHeight="1" x14ac:dyDescent="0.2">
      <c r="A410" s="148" t="s">
        <v>401</v>
      </c>
      <c r="B410" s="149"/>
      <c r="C410" s="486"/>
      <c r="D410" s="150"/>
      <c r="E410" s="151"/>
      <c r="F410" s="163">
        <v>0</v>
      </c>
      <c r="G410" s="158">
        <v>0</v>
      </c>
      <c r="H410" s="165"/>
      <c r="I410" s="162"/>
      <c r="J410" s="166"/>
      <c r="K410" s="160"/>
      <c r="L410" s="160"/>
      <c r="M410" s="160"/>
      <c r="N410" s="161"/>
      <c r="O410" s="147"/>
      <c r="P410" s="147"/>
      <c r="Q410" s="147"/>
      <c r="R410" s="147"/>
      <c r="S410" s="615" t="s">
        <v>845</v>
      </c>
      <c r="T410" s="614">
        <f>SUMIFS(F399:F405,C399:C405,"C",H399:H405,"melnais")</f>
        <v>0</v>
      </c>
      <c r="U410" s="614">
        <f>SUMIFS(F399:F405,C399:C405,"C",H399:H405,"dubultā virsma")</f>
        <v>0</v>
      </c>
      <c r="V410" s="614">
        <f>SUMIFS(F399:F405,C399:C405,"C",H399:H405,"bruģis")</f>
        <v>0</v>
      </c>
      <c r="W410" s="614">
        <f>SUMIFS(F399:F405,C399:C405,"C",H399:H405,"grants")</f>
        <v>0</v>
      </c>
      <c r="X410" s="614">
        <f>SUMIFS(F399:F405,C399:C405,"C",H399:H405,"cits segums")</f>
        <v>0</v>
      </c>
      <c r="Y410" s="614">
        <f t="shared" si="80"/>
        <v>0</v>
      </c>
      <c r="Z410" s="615" t="s">
        <v>845</v>
      </c>
      <c r="AA410" s="614">
        <f>SUMIFS(F399:F405,C399:C405,"C",H399:H405,"melnais", Q399:Q405,"Nepiederošs")</f>
        <v>0</v>
      </c>
      <c r="AB410" s="614">
        <f>SUMIFS(F399:F405,C399:C405,"C",H399:H405,"dubultā virsma", Q399:Q405,"Nepiederošs")</f>
        <v>0</v>
      </c>
      <c r="AC410" s="614">
        <f>SUMIFS(F399:F405,C399:C405,"C",H399:H405,"bruģis", Q399:Q405,"Nepiederošs")</f>
        <v>0</v>
      </c>
      <c r="AD410" s="614">
        <f>SUMIFS(F399:F405,C399:C405,"C",H399:H405,"grants", Q399:Q405,"Nepiederošs")</f>
        <v>0</v>
      </c>
      <c r="AE410" s="614">
        <f>SUMIFS(F399:F405,C399:C405,"C",H399:H405,"cits segums", Q399:Q405,"Nepiederošs")</f>
        <v>0</v>
      </c>
      <c r="AF410" s="614">
        <f t="shared" si="81"/>
        <v>0</v>
      </c>
    </row>
    <row r="411" spans="1:32" ht="12.75" customHeight="1" x14ac:dyDescent="0.2">
      <c r="A411" s="193"/>
      <c r="B411" s="193"/>
      <c r="C411" s="33"/>
      <c r="D411" s="38"/>
      <c r="E411" s="38"/>
      <c r="F411" s="194"/>
      <c r="G411" s="203"/>
      <c r="H411" s="165"/>
      <c r="I411" s="162"/>
      <c r="J411" s="166"/>
      <c r="K411" s="160"/>
      <c r="L411" s="160"/>
      <c r="M411" s="160"/>
      <c r="N411" s="161"/>
      <c r="O411" s="147"/>
      <c r="P411" s="147"/>
      <c r="Q411" s="147"/>
      <c r="R411" s="147"/>
      <c r="S411" s="616" t="s">
        <v>846</v>
      </c>
      <c r="T411" s="614">
        <f>SUMIFS(F399:F405,C399:C405,"D",H399:H405,"melnais")</f>
        <v>6.5000000000000002E-2</v>
      </c>
      <c r="U411" s="614">
        <f>SUMIFS(F399:F405,C399:C405,"D",H399:H405,"dubultā virsma")</f>
        <v>0</v>
      </c>
      <c r="V411" s="614">
        <f>SUMIFS(F399:F405,C399:C405,"D",H399:H405,"bruģis")</f>
        <v>0</v>
      </c>
      <c r="W411" s="614">
        <f>SUMIFS(F399:F405,C399:C405,"D",H399:H405,"grants")</f>
        <v>0.46</v>
      </c>
      <c r="X411" s="614">
        <f>SUMIFS(F399:F405,C399:C405,"D",H399:H405,"cits segums")</f>
        <v>0</v>
      </c>
      <c r="Y411" s="614">
        <f t="shared" si="80"/>
        <v>0.52500000000000002</v>
      </c>
      <c r="Z411" s="616" t="s">
        <v>846</v>
      </c>
      <c r="AA411" s="614">
        <f>SUMIFS(F399:F405,C399:C405,"D",H399:H405,"melnais", Q399:Q405,"Nepiederošs")</f>
        <v>0</v>
      </c>
      <c r="AB411" s="614">
        <f>SUMIFS(F399:F405,C399:C405,"D",H399:H405,"dubultā virsma", Q399:Q405,"Nepiederošs")</f>
        <v>0</v>
      </c>
      <c r="AC411" s="614">
        <f>SUMIFS(F399:F405,C399:C405,"D",H399:H405,"bruģis", Q399:Q405,"Nepiederošs")</f>
        <v>0</v>
      </c>
      <c r="AD411" s="614">
        <f>SUMIFS(F399:F405,C399:C405,"D",H399:H405,"grants", Q399:Q405,"Nepiederošs")</f>
        <v>0</v>
      </c>
      <c r="AE411" s="614">
        <f>SUMIFS(F399:F405,C399:C405,"D",H399:H405,"cits segums", Q399:Q405,"Nepiederošs")</f>
        <v>0</v>
      </c>
      <c r="AF411" s="614">
        <f t="shared" si="81"/>
        <v>0</v>
      </c>
    </row>
    <row r="412" spans="1:32" s="38" customFormat="1" ht="15" customHeight="1" x14ac:dyDescent="0.25">
      <c r="A412" s="33"/>
      <c r="C412" s="487"/>
      <c r="D412" s="813" t="s">
        <v>1069</v>
      </c>
      <c r="E412" s="813"/>
      <c r="F412" s="813"/>
      <c r="G412" s="813"/>
      <c r="H412" s="813"/>
      <c r="I412" s="813"/>
      <c r="J412" s="813"/>
      <c r="K412" s="813"/>
      <c r="L412" s="813"/>
      <c r="M412" s="813"/>
      <c r="N412" s="813"/>
      <c r="O412" s="813"/>
      <c r="P412" s="813"/>
      <c r="Q412" s="30"/>
      <c r="R412" s="37"/>
      <c r="S412" s="637"/>
      <c r="T412" s="629">
        <f>SUM(T408:T411)</f>
        <v>6.5000000000000002E-2</v>
      </c>
      <c r="U412" s="629">
        <f t="shared" ref="U412" si="82">SUM(U408:U411)</f>
        <v>0</v>
      </c>
      <c r="V412" s="629">
        <f t="shared" ref="V412" si="83">SUM(V408:V411)</f>
        <v>0</v>
      </c>
      <c r="W412" s="629">
        <f t="shared" ref="W412" si="84">SUM(W408:W411)</f>
        <v>0.46</v>
      </c>
      <c r="X412" s="629">
        <f t="shared" ref="X412" si="85">SUM(X408:X411)</f>
        <v>0</v>
      </c>
      <c r="Y412" s="629">
        <f t="shared" ref="Y412" si="86">SUM(Y408:Y411)</f>
        <v>0.52500000000000002</v>
      </c>
      <c r="Z412"/>
      <c r="AA412" s="629">
        <f>SUM(AA408:AA411)</f>
        <v>0</v>
      </c>
      <c r="AB412" s="629">
        <f t="shared" ref="AB412" si="87">SUM(AB408:AB411)</f>
        <v>0</v>
      </c>
      <c r="AC412" s="629">
        <f>SUM(AC408:AC411)</f>
        <v>0</v>
      </c>
      <c r="AD412" s="629">
        <f t="shared" ref="AD412" si="88">SUM(AD408:AD411)</f>
        <v>0</v>
      </c>
      <c r="AE412" s="629">
        <f t="shared" ref="AE412" si="89">SUM(AE408:AE411)</f>
        <v>0</v>
      </c>
      <c r="AF412" s="629">
        <f t="shared" ref="AF412" si="90">SUM(AF408:AF411)</f>
        <v>0</v>
      </c>
    </row>
    <row r="413" spans="1:32" ht="12.75" customHeight="1" x14ac:dyDescent="0.2">
      <c r="A413" s="818" t="s">
        <v>244</v>
      </c>
      <c r="B413" s="825" t="s">
        <v>388</v>
      </c>
      <c r="C413" s="482"/>
      <c r="D413" s="826" t="s">
        <v>246</v>
      </c>
      <c r="E413" s="827"/>
      <c r="F413" s="827"/>
      <c r="G413" s="827"/>
      <c r="H413" s="827"/>
      <c r="I413" s="827"/>
      <c r="J413" s="827"/>
      <c r="K413" s="827"/>
      <c r="L413" s="827"/>
      <c r="M413" s="827"/>
      <c r="N413" s="827"/>
      <c r="O413" s="827"/>
      <c r="P413" s="828"/>
      <c r="Q413" s="821" t="s">
        <v>247</v>
      </c>
      <c r="R413" s="822"/>
    </row>
    <row r="414" spans="1:32" ht="12.75" customHeight="1" x14ac:dyDescent="0.2">
      <c r="A414" s="818"/>
      <c r="B414" s="825"/>
      <c r="C414" s="410"/>
      <c r="D414" s="816" t="s">
        <v>389</v>
      </c>
      <c r="E414" s="816"/>
      <c r="F414" s="816"/>
      <c r="G414" s="816"/>
      <c r="H414" s="816"/>
      <c r="I414" s="814" t="s">
        <v>249</v>
      </c>
      <c r="J414" s="814"/>
      <c r="K414" s="814"/>
      <c r="L414" s="814"/>
      <c r="M414" s="814"/>
      <c r="N414" s="814"/>
      <c r="O414" s="814"/>
      <c r="P414" s="815" t="s">
        <v>250</v>
      </c>
      <c r="Q414" s="823"/>
      <c r="R414" s="824"/>
    </row>
    <row r="415" spans="1:32" ht="15.2" customHeight="1" x14ac:dyDescent="0.2">
      <c r="A415" s="818"/>
      <c r="B415" s="825"/>
      <c r="C415" s="410"/>
      <c r="D415" s="816" t="s">
        <v>251</v>
      </c>
      <c r="E415" s="816"/>
      <c r="F415" s="817" t="s">
        <v>252</v>
      </c>
      <c r="G415" s="817" t="s">
        <v>257</v>
      </c>
      <c r="H415" s="818" t="s">
        <v>253</v>
      </c>
      <c r="I415" s="819" t="s">
        <v>254</v>
      </c>
      <c r="J415" s="814" t="s">
        <v>255</v>
      </c>
      <c r="K415" s="814"/>
      <c r="L415" s="820" t="s">
        <v>256</v>
      </c>
      <c r="M415" s="820" t="s">
        <v>257</v>
      </c>
      <c r="N415" s="820" t="s">
        <v>258</v>
      </c>
      <c r="O415" s="820" t="s">
        <v>259</v>
      </c>
      <c r="P415" s="809"/>
      <c r="Q415" s="809" t="s">
        <v>260</v>
      </c>
      <c r="R415" s="811" t="s">
        <v>261</v>
      </c>
    </row>
    <row r="416" spans="1:32" ht="33.75" customHeight="1" x14ac:dyDescent="0.2">
      <c r="A416" s="818"/>
      <c r="B416" s="825"/>
      <c r="C416" s="432" t="s">
        <v>844</v>
      </c>
      <c r="D416" s="95" t="s">
        <v>262</v>
      </c>
      <c r="E416" s="95" t="s">
        <v>263</v>
      </c>
      <c r="F416" s="817"/>
      <c r="G416" s="817"/>
      <c r="H416" s="818"/>
      <c r="I416" s="819"/>
      <c r="J416" s="96" t="s">
        <v>231</v>
      </c>
      <c r="K416" s="96" t="s">
        <v>264</v>
      </c>
      <c r="L416" s="820"/>
      <c r="M416" s="820"/>
      <c r="N416" s="820"/>
      <c r="O416" s="820"/>
      <c r="P416" s="810"/>
      <c r="Q416" s="810"/>
      <c r="R416" s="812"/>
    </row>
    <row r="417" spans="1:32" s="99" customFormat="1" ht="12" customHeight="1" x14ac:dyDescent="0.25">
      <c r="A417" s="97">
        <v>1</v>
      </c>
      <c r="B417" s="97">
        <v>2</v>
      </c>
      <c r="C417" s="97"/>
      <c r="D417" s="97">
        <v>3</v>
      </c>
      <c r="E417" s="97">
        <v>4</v>
      </c>
      <c r="F417" s="97">
        <v>5</v>
      </c>
      <c r="G417" s="97">
        <v>6</v>
      </c>
      <c r="H417" s="97">
        <v>7</v>
      </c>
      <c r="I417" s="201">
        <v>8</v>
      </c>
      <c r="J417" s="201">
        <v>9</v>
      </c>
      <c r="K417" s="201">
        <v>10</v>
      </c>
      <c r="L417" s="201">
        <v>11</v>
      </c>
      <c r="M417" s="201">
        <v>12</v>
      </c>
      <c r="N417" s="201">
        <v>13</v>
      </c>
      <c r="O417" s="201">
        <v>14</v>
      </c>
      <c r="P417" s="201">
        <v>15</v>
      </c>
      <c r="Q417" s="98">
        <v>16</v>
      </c>
      <c r="R417" s="97">
        <v>17</v>
      </c>
    </row>
    <row r="418" spans="1:32" x14ac:dyDescent="0.2">
      <c r="A418" s="105">
        <v>1</v>
      </c>
      <c r="B418" s="220" t="s">
        <v>1</v>
      </c>
      <c r="C418" s="105" t="s">
        <v>846</v>
      </c>
      <c r="D418" s="221">
        <v>0</v>
      </c>
      <c r="E418" s="221">
        <f>D418+F418</f>
        <v>0.40500000000000003</v>
      </c>
      <c r="F418" s="116">
        <v>0.40500000000000003</v>
      </c>
      <c r="G418" s="183">
        <v>1944</v>
      </c>
      <c r="H418" s="222" t="s">
        <v>0</v>
      </c>
      <c r="I418" s="169"/>
      <c r="J418" s="169"/>
      <c r="K418" s="169"/>
      <c r="L418" s="169"/>
      <c r="M418" s="169"/>
      <c r="N418" s="169"/>
      <c r="O418" s="169"/>
      <c r="P418" s="169"/>
      <c r="Q418" s="223">
        <v>42660040170</v>
      </c>
      <c r="R418" s="223">
        <v>42660040170</v>
      </c>
    </row>
    <row r="419" spans="1:32" x14ac:dyDescent="0.2">
      <c r="A419" s="109">
        <v>2</v>
      </c>
      <c r="B419" s="224" t="s">
        <v>2</v>
      </c>
      <c r="C419" s="491" t="s">
        <v>846</v>
      </c>
      <c r="D419" s="219">
        <v>0</v>
      </c>
      <c r="E419" s="219">
        <f t="shared" ref="E419:E421" si="91">D419+F419</f>
        <v>0.125</v>
      </c>
      <c r="F419" s="108">
        <v>0.125</v>
      </c>
      <c r="G419" s="177">
        <v>500</v>
      </c>
      <c r="H419" s="225" t="s">
        <v>0</v>
      </c>
      <c r="I419" s="177"/>
      <c r="J419" s="177"/>
      <c r="K419" s="177"/>
      <c r="L419" s="177"/>
      <c r="M419" s="177"/>
      <c r="N419" s="177"/>
      <c r="O419" s="177"/>
      <c r="P419" s="177"/>
      <c r="Q419" s="226">
        <v>42660040171</v>
      </c>
      <c r="R419" s="226">
        <v>42660040171</v>
      </c>
    </row>
    <row r="420" spans="1:32" x14ac:dyDescent="0.2">
      <c r="A420" s="124">
        <v>3</v>
      </c>
      <c r="B420" s="227" t="s">
        <v>3</v>
      </c>
      <c r="C420" s="124" t="s">
        <v>846</v>
      </c>
      <c r="D420" s="221">
        <v>0</v>
      </c>
      <c r="E420" s="221">
        <f t="shared" si="91"/>
        <v>0.152</v>
      </c>
      <c r="F420" s="116">
        <v>0.152</v>
      </c>
      <c r="G420" s="177">
        <v>608</v>
      </c>
      <c r="H420" s="222" t="s">
        <v>0</v>
      </c>
      <c r="I420" s="177"/>
      <c r="J420" s="177"/>
      <c r="K420" s="177"/>
      <c r="L420" s="177"/>
      <c r="M420" s="177"/>
      <c r="N420" s="177"/>
      <c r="O420" s="177"/>
      <c r="P420" s="177"/>
      <c r="Q420" s="223">
        <v>42660040172</v>
      </c>
      <c r="R420" s="223">
        <v>42660040172</v>
      </c>
    </row>
    <row r="421" spans="1:32" ht="15" x14ac:dyDescent="0.25">
      <c r="A421" s="109">
        <v>4</v>
      </c>
      <c r="B421" s="228" t="s">
        <v>414</v>
      </c>
      <c r="C421" s="175" t="s">
        <v>846</v>
      </c>
      <c r="D421" s="219">
        <v>0</v>
      </c>
      <c r="E421" s="219">
        <f t="shared" si="91"/>
        <v>0.16</v>
      </c>
      <c r="F421" s="108">
        <v>0.16</v>
      </c>
      <c r="G421" s="177">
        <v>976</v>
      </c>
      <c r="H421" s="225" t="s">
        <v>4</v>
      </c>
      <c r="I421" s="177"/>
      <c r="J421" s="177"/>
      <c r="K421" s="177"/>
      <c r="L421" s="177"/>
      <c r="M421" s="177"/>
      <c r="N421" s="177"/>
      <c r="O421" s="177"/>
      <c r="P421" s="177">
        <v>84</v>
      </c>
      <c r="Q421" s="226">
        <v>42660040115</v>
      </c>
      <c r="R421" s="226">
        <v>42660040115</v>
      </c>
      <c r="T421"/>
      <c r="U421"/>
      <c r="V421"/>
      <c r="W421"/>
      <c r="X421"/>
      <c r="Y421"/>
      <c r="Z421"/>
      <c r="AA421" t="s">
        <v>1097</v>
      </c>
      <c r="AB421"/>
      <c r="AC421"/>
      <c r="AD421"/>
      <c r="AE421"/>
      <c r="AF421"/>
    </row>
    <row r="422" spans="1:32" ht="12.75" customHeight="1" x14ac:dyDescent="0.2">
      <c r="A422" s="137" t="s">
        <v>415</v>
      </c>
      <c r="B422" s="138"/>
      <c r="C422" s="485"/>
      <c r="D422" s="139"/>
      <c r="E422" s="140"/>
      <c r="F422" s="141">
        <f>SUM(F418:F421)</f>
        <v>0.84200000000000008</v>
      </c>
      <c r="G422" s="142">
        <f>SUM(G418:G421)</f>
        <v>4028</v>
      </c>
      <c r="H422" s="143"/>
      <c r="I422" s="94"/>
      <c r="J422" s="144"/>
      <c r="K422" s="145" t="s">
        <v>268</v>
      </c>
      <c r="L422" s="146">
        <f>SUM(L418:L421)</f>
        <v>0</v>
      </c>
      <c r="M422" s="146">
        <f>SUM(M418:M421)</f>
        <v>0</v>
      </c>
      <c r="N422" s="147"/>
      <c r="O422" s="145" t="s">
        <v>269</v>
      </c>
      <c r="P422" s="146">
        <f>SUM(P418:P421)</f>
        <v>84</v>
      </c>
      <c r="Q422" s="147"/>
      <c r="R422" s="147"/>
      <c r="S422" s="102"/>
      <c r="T422" s="625" t="s">
        <v>1092</v>
      </c>
      <c r="U422" s="625" t="s">
        <v>1093</v>
      </c>
      <c r="V422" s="625" t="s">
        <v>1094</v>
      </c>
      <c r="W422" s="625" t="s">
        <v>1095</v>
      </c>
      <c r="X422" s="625" t="s">
        <v>1096</v>
      </c>
      <c r="Y422" s="627" t="s">
        <v>269</v>
      </c>
      <c r="Z422" s="102"/>
      <c r="AA422" s="625" t="s">
        <v>1092</v>
      </c>
      <c r="AB422" s="625" t="s">
        <v>1093</v>
      </c>
      <c r="AC422" s="625" t="s">
        <v>1094</v>
      </c>
      <c r="AD422" s="625" t="s">
        <v>1095</v>
      </c>
      <c r="AE422" s="625" t="s">
        <v>1096</v>
      </c>
      <c r="AF422" s="627" t="s">
        <v>269</v>
      </c>
    </row>
    <row r="423" spans="1:32" ht="12.75" customHeight="1" x14ac:dyDescent="0.2">
      <c r="A423" s="148" t="s">
        <v>270</v>
      </c>
      <c r="B423" s="149"/>
      <c r="C423" s="486"/>
      <c r="D423" s="150"/>
      <c r="E423" s="151"/>
      <c r="F423" s="163">
        <f>F421</f>
        <v>0.16</v>
      </c>
      <c r="G423" s="192">
        <f>G421</f>
        <v>976</v>
      </c>
      <c r="H423" s="154"/>
      <c r="I423" s="155"/>
      <c r="J423" s="147"/>
      <c r="K423" s="136"/>
      <c r="L423" s="156"/>
      <c r="M423" s="156"/>
      <c r="N423" s="147"/>
      <c r="O423" s="147"/>
      <c r="P423" s="147"/>
      <c r="Q423" s="147"/>
      <c r="R423" s="147"/>
      <c r="S423" s="628" t="s">
        <v>844</v>
      </c>
      <c r="T423" s="625" t="s">
        <v>231</v>
      </c>
      <c r="U423" s="625" t="s">
        <v>231</v>
      </c>
      <c r="V423" s="625" t="s">
        <v>231</v>
      </c>
      <c r="W423" s="625" t="s">
        <v>231</v>
      </c>
      <c r="X423" s="625" t="s">
        <v>231</v>
      </c>
      <c r="Y423" s="626" t="s">
        <v>231</v>
      </c>
      <c r="Z423" s="628"/>
      <c r="AA423" s="625" t="s">
        <v>231</v>
      </c>
      <c r="AB423" s="625" t="s">
        <v>231</v>
      </c>
      <c r="AC423" s="625" t="s">
        <v>231</v>
      </c>
      <c r="AD423" s="625" t="s">
        <v>231</v>
      </c>
      <c r="AE423" s="625" t="s">
        <v>231</v>
      </c>
      <c r="AF423" s="626" t="s">
        <v>231</v>
      </c>
    </row>
    <row r="424" spans="1:32" ht="12.75" customHeight="1" x14ac:dyDescent="0.2">
      <c r="A424" s="148" t="s">
        <v>271</v>
      </c>
      <c r="B424" s="149"/>
      <c r="C424" s="486"/>
      <c r="D424" s="150"/>
      <c r="E424" s="151"/>
      <c r="F424" s="163">
        <v>0</v>
      </c>
      <c r="G424" s="192">
        <v>0</v>
      </c>
      <c r="H424" s="162"/>
      <c r="I424" s="94"/>
      <c r="J424" s="159"/>
      <c r="K424" s="160"/>
      <c r="L424" s="160"/>
      <c r="M424" s="160"/>
      <c r="N424" s="161"/>
      <c r="O424" s="147"/>
      <c r="P424" s="147"/>
      <c r="Q424" s="147"/>
      <c r="R424" s="147"/>
      <c r="S424" s="616" t="s">
        <v>847</v>
      </c>
      <c r="T424" s="614">
        <f>SUMIFS(F415:F421,C415:C421,"A",H415:H421,"melnais")</f>
        <v>0</v>
      </c>
      <c r="U424" s="614">
        <f>SUMIFS(F415:F421,C415:C421,"A",H415:H421,"dubultā virsma")</f>
        <v>0</v>
      </c>
      <c r="V424" s="614">
        <f>SUMIFS(F415:F421,C415:C421,"A",H415:H421,"bruģis")</f>
        <v>0</v>
      </c>
      <c r="W424" s="614">
        <f>SUMIFS(F415:F421,C415:C421,"A",H415:H421,"grants")</f>
        <v>0</v>
      </c>
      <c r="X424" s="614">
        <f>SUMIFS(F415:F421,C415:C421,"A",H415:H421,"cits segums")</f>
        <v>0</v>
      </c>
      <c r="Y424" s="614">
        <f>SUM(T424:X424)</f>
        <v>0</v>
      </c>
      <c r="Z424" s="616" t="s">
        <v>847</v>
      </c>
      <c r="AA424" s="614">
        <f>SUMIFS(F415:F421,C415:C421,"A",H415:H421,"melnais", Q415:Q421,"Nepiederošs")</f>
        <v>0</v>
      </c>
      <c r="AB424" s="614">
        <f>SUMIFS(F415:F421,C415:C421,"A",H415:H421,"dubultā virsma", Q415:Q421,"Nepiederošs")</f>
        <v>0</v>
      </c>
      <c r="AC424" s="614">
        <f>SUMIFS(F415:F421,C415:C421,"A",H415:H421,"bruģis", Q415:Q421,"Nepiederošs")</f>
        <v>0</v>
      </c>
      <c r="AD424" s="614">
        <f>SUMIFS(F415:F421,C415:C421,"A",H415:H421,"grants", Q415:Q421,"Nepiederošs")</f>
        <v>0</v>
      </c>
      <c r="AE424" s="614">
        <f>SUMIFS(F415:F421,C415:C421,"A",H415:H421,"cits segums", Q415:Q421,"Nepiederošs")</f>
        <v>0</v>
      </c>
      <c r="AF424" s="614">
        <f>SUM(AA424:AE424)</f>
        <v>0</v>
      </c>
    </row>
    <row r="425" spans="1:32" ht="12.75" customHeight="1" x14ac:dyDescent="0.2">
      <c r="A425" s="148" t="s">
        <v>272</v>
      </c>
      <c r="B425" s="149"/>
      <c r="C425" s="486"/>
      <c r="D425" s="150"/>
      <c r="E425" s="151"/>
      <c r="F425" s="163">
        <f>F418+F419+F420</f>
        <v>0.68200000000000005</v>
      </c>
      <c r="G425" s="192">
        <f>G418+G419+G420</f>
        <v>3052</v>
      </c>
      <c r="H425" s="162"/>
      <c r="I425" s="162"/>
      <c r="J425" s="159"/>
      <c r="K425" s="160"/>
      <c r="L425" s="160"/>
      <c r="M425" s="160"/>
      <c r="N425" s="161"/>
      <c r="O425" s="147"/>
      <c r="P425" s="147"/>
      <c r="Q425" s="147"/>
      <c r="R425" s="147"/>
      <c r="S425" s="617" t="s">
        <v>848</v>
      </c>
      <c r="T425" s="614">
        <f>SUMIFS(F415:F421,C415:C421,"B",H415:H421,"melnais")</f>
        <v>0</v>
      </c>
      <c r="U425" s="614">
        <f>SUMIFS(F415:F421,C415:C421,"B",H415:H421,"dubultā virsma")</f>
        <v>0</v>
      </c>
      <c r="V425" s="614">
        <f>SUMIFS(F415:F421,C415:C421,"B",H415:H421,"bruģis")</f>
        <v>0</v>
      </c>
      <c r="W425" s="614">
        <f>SUMIFS(F415:F421,C415:C421,"B",H415:H421,"grants")</f>
        <v>0</v>
      </c>
      <c r="X425" s="614">
        <f>SUMIFS(F415:F421,C415:C421,"B",H415:H421,"cits segums")</f>
        <v>0</v>
      </c>
      <c r="Y425" s="614">
        <f t="shared" ref="Y425:Y427" si="92">SUM(T425:X425)</f>
        <v>0</v>
      </c>
      <c r="Z425" s="617" t="s">
        <v>848</v>
      </c>
      <c r="AA425" s="614">
        <f>SUMIFS(F415:F421,C415:C421,"B",H415:H421,"melnais", Q415:Q421,"Nepiederošs")</f>
        <v>0</v>
      </c>
      <c r="AB425" s="614">
        <f>SUMIFS(F415:F421,C415:C421,"B",H415:H421,"dubultā virsma", Q415:Q421,"Nepiederošs")</f>
        <v>0</v>
      </c>
      <c r="AC425" s="614">
        <f>SUMIFS(F415:F421,C415:C421,"B",H415:H421,"bruģis", Q415:Q421,"Nepiederošs")</f>
        <v>0</v>
      </c>
      <c r="AD425" s="614">
        <f>SUMIFS(F415:F421,C415:C421,"B",H415:H421,"grants", Q415:Q421,"Nepiederošs")</f>
        <v>0</v>
      </c>
      <c r="AE425" s="614">
        <f>SUMIFS(F415:F421,C415:C421,"B",H415:H421,"cits segums", Q415:Q421,"Nepiederošs")</f>
        <v>0</v>
      </c>
      <c r="AF425" s="614">
        <f t="shared" ref="AF425:AF427" si="93">SUM(AA425:AE425)</f>
        <v>0</v>
      </c>
    </row>
    <row r="426" spans="1:32" ht="12.75" customHeight="1" x14ac:dyDescent="0.2">
      <c r="A426" s="148" t="s">
        <v>401</v>
      </c>
      <c r="B426" s="149"/>
      <c r="C426" s="486"/>
      <c r="D426" s="150"/>
      <c r="E426" s="151"/>
      <c r="F426" s="163">
        <v>0</v>
      </c>
      <c r="G426" s="192">
        <v>0</v>
      </c>
      <c r="H426" s="165"/>
      <c r="I426" s="162"/>
      <c r="J426" s="166"/>
      <c r="K426" s="160"/>
      <c r="L426" s="160"/>
      <c r="M426" s="160"/>
      <c r="N426" s="161"/>
      <c r="O426" s="147"/>
      <c r="P426" s="147"/>
      <c r="Q426" s="147"/>
      <c r="R426" s="147"/>
      <c r="S426" s="615" t="s">
        <v>845</v>
      </c>
      <c r="T426" s="614">
        <f>SUMIFS(F415:F421,C415:C421,"C",H415:H421,"melnais")</f>
        <v>0</v>
      </c>
      <c r="U426" s="614">
        <f>SUMIFS(F415:F421,C415:C421,"C",H415:H421,"dubultā virsma")</f>
        <v>0</v>
      </c>
      <c r="V426" s="614">
        <f>SUMIFS(F415:F421,C415:C421,"C",H415:H421,"bruģis")</f>
        <v>0</v>
      </c>
      <c r="W426" s="614">
        <f>SUMIFS(F415:F421,C415:C421,"C",H415:H421,"grants")</f>
        <v>0</v>
      </c>
      <c r="X426" s="614">
        <f>SUMIFS(F415:F421,C415:C421,"C",H415:H421,"cits segums")</f>
        <v>0</v>
      </c>
      <c r="Y426" s="614">
        <f t="shared" si="92"/>
        <v>0</v>
      </c>
      <c r="Z426" s="615" t="s">
        <v>845</v>
      </c>
      <c r="AA426" s="614">
        <f>SUMIFS(F415:F421,C415:C421,"C",H415:H421,"melnais", Q415:Q421,"Nepiederošs")</f>
        <v>0</v>
      </c>
      <c r="AB426" s="614">
        <f>SUMIFS(F415:F421,C415:C421,"C",H415:H421,"dubultā virsma", Q415:Q421,"Nepiederošs")</f>
        <v>0</v>
      </c>
      <c r="AC426" s="614">
        <f>SUMIFS(F415:F421,C415:C421,"C",H415:H421,"bruģis", Q415:Q421,"Nepiederošs")</f>
        <v>0</v>
      </c>
      <c r="AD426" s="614">
        <f>SUMIFS(F415:F421,C415:C421,"C",H415:H421,"grants", Q415:Q421,"Nepiederošs")</f>
        <v>0</v>
      </c>
      <c r="AE426" s="614">
        <f>SUMIFS(F415:F421,C415:C421,"C",H415:H421,"cits segums", Q415:Q421,"Nepiederošs")</f>
        <v>0</v>
      </c>
      <c r="AF426" s="614">
        <f t="shared" si="93"/>
        <v>0</v>
      </c>
    </row>
    <row r="427" spans="1:32" ht="12.75" customHeight="1" x14ac:dyDescent="0.2">
      <c r="A427" s="193"/>
      <c r="B427" s="193"/>
      <c r="C427" s="33"/>
      <c r="D427" s="38"/>
      <c r="E427" s="38"/>
      <c r="F427" s="194"/>
      <c r="G427" s="195"/>
      <c r="H427" s="165"/>
      <c r="I427" s="162"/>
      <c r="J427" s="166"/>
      <c r="K427" s="160"/>
      <c r="L427" s="160"/>
      <c r="M427" s="160"/>
      <c r="N427" s="161"/>
      <c r="O427" s="147"/>
      <c r="P427" s="147"/>
      <c r="Q427" s="147"/>
      <c r="R427" s="147"/>
      <c r="S427" s="616" t="s">
        <v>846</v>
      </c>
      <c r="T427" s="614">
        <f>SUMIFS(F415:F421,C415:C421,"D",H415:H421,"melnais")</f>
        <v>0.16</v>
      </c>
      <c r="U427" s="614">
        <f>SUMIFS(F415:F421,C415:C421,"D",H415:H421,"dubultā virsma")</f>
        <v>0</v>
      </c>
      <c r="V427" s="614">
        <f>SUMIFS(F415:F421,C415:C421,"D",H415:H421,"bruģis")</f>
        <v>0</v>
      </c>
      <c r="W427" s="614">
        <f>SUMIFS(F415:F421,C415:C421,"D",H415:H421,"grants")</f>
        <v>0.68200000000000005</v>
      </c>
      <c r="X427" s="614">
        <f>SUMIFS(F415:F421,C415:C421,"D",H415:H421,"cits segums")</f>
        <v>0</v>
      </c>
      <c r="Y427" s="614">
        <f t="shared" si="92"/>
        <v>0.84200000000000008</v>
      </c>
      <c r="Z427" s="616" t="s">
        <v>846</v>
      </c>
      <c r="AA427" s="614">
        <f>SUMIFS(F415:F421,C415:C421,"D",H415:H421,"melnais", Q415:Q421,"Nepiederošs")</f>
        <v>0</v>
      </c>
      <c r="AB427" s="614">
        <f>SUMIFS(F415:F421,C415:C421,"D",H415:H421,"dubultā virsma", Q415:Q421,"Nepiederošs")</f>
        <v>0</v>
      </c>
      <c r="AC427" s="614">
        <f>SUMIFS(F415:F421,C415:C421,"D",H415:H421,"bruģis", Q415:Q421,"Nepiederošs")</f>
        <v>0</v>
      </c>
      <c r="AD427" s="614">
        <f>SUMIFS(F415:F421,C415:C421,"D",H415:H421,"grants", Q415:Q421,"Nepiederošs")</f>
        <v>0</v>
      </c>
      <c r="AE427" s="614">
        <f>SUMIFS(F415:F421,C415:C421,"D",H415:H421,"cits segums", Q415:Q421,"Nepiederošs")</f>
        <v>0</v>
      </c>
      <c r="AF427" s="614">
        <f t="shared" si="93"/>
        <v>0</v>
      </c>
    </row>
    <row r="428" spans="1:32" s="38" customFormat="1" ht="15" customHeight="1" x14ac:dyDescent="0.25">
      <c r="A428" s="33"/>
      <c r="C428" s="487"/>
      <c r="D428" s="813" t="s">
        <v>1070</v>
      </c>
      <c r="E428" s="813"/>
      <c r="F428" s="813"/>
      <c r="G428" s="813"/>
      <c r="H428" s="813"/>
      <c r="I428" s="813"/>
      <c r="J428" s="813"/>
      <c r="K428" s="813"/>
      <c r="L428" s="813"/>
      <c r="M428" s="813"/>
      <c r="N428" s="813"/>
      <c r="O428" s="813"/>
      <c r="P428" s="813"/>
      <c r="Q428" s="30"/>
      <c r="R428" s="37"/>
      <c r="S428" s="637"/>
      <c r="T428" s="629">
        <f>SUM(T424:T427)</f>
        <v>0.16</v>
      </c>
      <c r="U428" s="629">
        <f t="shared" ref="U428" si="94">SUM(U424:U427)</f>
        <v>0</v>
      </c>
      <c r="V428" s="629">
        <f t="shared" ref="V428" si="95">SUM(V424:V427)</f>
        <v>0</v>
      </c>
      <c r="W428" s="629">
        <f t="shared" ref="W428" si="96">SUM(W424:W427)</f>
        <v>0.68200000000000005</v>
      </c>
      <c r="X428" s="629">
        <f t="shared" ref="X428" si="97">SUM(X424:X427)</f>
        <v>0</v>
      </c>
      <c r="Y428" s="629">
        <f t="shared" ref="Y428" si="98">SUM(Y424:Y427)</f>
        <v>0.84200000000000008</v>
      </c>
      <c r="Z428"/>
      <c r="AA428" s="629">
        <f>SUM(AA424:AA427)</f>
        <v>0</v>
      </c>
      <c r="AB428" s="629">
        <f t="shared" ref="AB428" si="99">SUM(AB424:AB427)</f>
        <v>0</v>
      </c>
      <c r="AC428" s="629">
        <f>SUM(AC424:AC427)</f>
        <v>0</v>
      </c>
      <c r="AD428" s="629">
        <f t="shared" ref="AD428" si="100">SUM(AD424:AD427)</f>
        <v>0</v>
      </c>
      <c r="AE428" s="629">
        <f t="shared" ref="AE428" si="101">SUM(AE424:AE427)</f>
        <v>0</v>
      </c>
      <c r="AF428" s="629">
        <f t="shared" ref="AF428" si="102">SUM(AF424:AF427)</f>
        <v>0</v>
      </c>
    </row>
    <row r="429" spans="1:32" ht="12.75" customHeight="1" x14ac:dyDescent="0.2">
      <c r="A429" s="818" t="s">
        <v>244</v>
      </c>
      <c r="B429" s="825" t="s">
        <v>388</v>
      </c>
      <c r="C429" s="482"/>
      <c r="D429" s="826" t="s">
        <v>246</v>
      </c>
      <c r="E429" s="827"/>
      <c r="F429" s="827"/>
      <c r="G429" s="827"/>
      <c r="H429" s="827"/>
      <c r="I429" s="827"/>
      <c r="J429" s="827"/>
      <c r="K429" s="827"/>
      <c r="L429" s="827"/>
      <c r="M429" s="827"/>
      <c r="N429" s="827"/>
      <c r="O429" s="827"/>
      <c r="P429" s="828"/>
      <c r="Q429" s="821" t="s">
        <v>247</v>
      </c>
      <c r="R429" s="822"/>
    </row>
    <row r="430" spans="1:32" ht="12.75" customHeight="1" x14ac:dyDescent="0.2">
      <c r="A430" s="818"/>
      <c r="B430" s="825"/>
      <c r="C430" s="410"/>
      <c r="D430" s="816" t="s">
        <v>389</v>
      </c>
      <c r="E430" s="816"/>
      <c r="F430" s="816"/>
      <c r="G430" s="816"/>
      <c r="H430" s="816"/>
      <c r="I430" s="814" t="s">
        <v>249</v>
      </c>
      <c r="J430" s="814"/>
      <c r="K430" s="814"/>
      <c r="L430" s="814"/>
      <c r="M430" s="814"/>
      <c r="N430" s="814"/>
      <c r="O430" s="814"/>
      <c r="P430" s="815" t="s">
        <v>250</v>
      </c>
      <c r="Q430" s="823"/>
      <c r="R430" s="824"/>
    </row>
    <row r="431" spans="1:32" ht="15.2" customHeight="1" x14ac:dyDescent="0.2">
      <c r="A431" s="818"/>
      <c r="B431" s="825"/>
      <c r="C431" s="410"/>
      <c r="D431" s="816" t="s">
        <v>251</v>
      </c>
      <c r="E431" s="816"/>
      <c r="F431" s="817" t="s">
        <v>252</v>
      </c>
      <c r="G431" s="817" t="s">
        <v>257</v>
      </c>
      <c r="H431" s="818" t="s">
        <v>253</v>
      </c>
      <c r="I431" s="819" t="s">
        <v>254</v>
      </c>
      <c r="J431" s="814" t="s">
        <v>255</v>
      </c>
      <c r="K431" s="814"/>
      <c r="L431" s="820" t="s">
        <v>256</v>
      </c>
      <c r="M431" s="820" t="s">
        <v>257</v>
      </c>
      <c r="N431" s="820" t="s">
        <v>258</v>
      </c>
      <c r="O431" s="820" t="s">
        <v>259</v>
      </c>
      <c r="P431" s="809"/>
      <c r="Q431" s="809" t="s">
        <v>260</v>
      </c>
      <c r="R431" s="811" t="s">
        <v>261</v>
      </c>
    </row>
    <row r="432" spans="1:32" ht="33.75" customHeight="1" x14ac:dyDescent="0.2">
      <c r="A432" s="818"/>
      <c r="B432" s="825"/>
      <c r="C432" s="432" t="s">
        <v>844</v>
      </c>
      <c r="D432" s="95" t="s">
        <v>262</v>
      </c>
      <c r="E432" s="95" t="s">
        <v>263</v>
      </c>
      <c r="F432" s="817"/>
      <c r="G432" s="817"/>
      <c r="H432" s="818"/>
      <c r="I432" s="819"/>
      <c r="J432" s="96" t="s">
        <v>231</v>
      </c>
      <c r="K432" s="96" t="s">
        <v>264</v>
      </c>
      <c r="L432" s="820"/>
      <c r="M432" s="820"/>
      <c r="N432" s="820"/>
      <c r="O432" s="820"/>
      <c r="P432" s="810"/>
      <c r="Q432" s="810"/>
      <c r="R432" s="812"/>
    </row>
    <row r="433" spans="1:18" s="99" customFormat="1" ht="12" customHeight="1" x14ac:dyDescent="0.25">
      <c r="A433" s="200">
        <v>1</v>
      </c>
      <c r="B433" s="200">
        <v>2</v>
      </c>
      <c r="C433" s="200"/>
      <c r="D433" s="200">
        <v>3</v>
      </c>
      <c r="E433" s="200">
        <v>4</v>
      </c>
      <c r="F433" s="200">
        <v>5</v>
      </c>
      <c r="G433" s="200">
        <v>6</v>
      </c>
      <c r="H433" s="200">
        <v>7</v>
      </c>
      <c r="I433" s="201">
        <v>8</v>
      </c>
      <c r="J433" s="201">
        <v>9</v>
      </c>
      <c r="K433" s="201">
        <v>10</v>
      </c>
      <c r="L433" s="201">
        <v>11</v>
      </c>
      <c r="M433" s="201">
        <v>12</v>
      </c>
      <c r="N433" s="201">
        <v>13</v>
      </c>
      <c r="O433" s="201">
        <v>14</v>
      </c>
      <c r="P433" s="201">
        <v>15</v>
      </c>
      <c r="Q433" s="201">
        <v>16</v>
      </c>
      <c r="R433" s="200">
        <v>17</v>
      </c>
    </row>
    <row r="434" spans="1:18" x14ac:dyDescent="0.2">
      <c r="A434" s="229">
        <v>1</v>
      </c>
      <c r="B434" s="233" t="s">
        <v>133</v>
      </c>
      <c r="C434" s="237" t="s">
        <v>846</v>
      </c>
      <c r="D434" s="238">
        <v>0</v>
      </c>
      <c r="E434" s="238">
        <f>D434+F434</f>
        <v>0.28000000000000003</v>
      </c>
      <c r="F434" s="238">
        <v>0.28000000000000003</v>
      </c>
      <c r="G434" s="239">
        <v>1120</v>
      </c>
      <c r="H434" s="240" t="s">
        <v>4</v>
      </c>
      <c r="I434" s="237"/>
      <c r="J434" s="237"/>
      <c r="K434" s="237"/>
      <c r="L434" s="237"/>
      <c r="M434" s="237"/>
      <c r="N434" s="237"/>
      <c r="O434" s="237"/>
      <c r="P434" s="237"/>
      <c r="Q434" s="237">
        <v>80420040270</v>
      </c>
      <c r="R434" s="237">
        <v>80420040291</v>
      </c>
    </row>
    <row r="435" spans="1:18" x14ac:dyDescent="0.2">
      <c r="A435" s="234"/>
      <c r="B435" s="235"/>
      <c r="C435" s="237" t="s">
        <v>846</v>
      </c>
      <c r="D435" s="238">
        <f>E434</f>
        <v>0.28000000000000003</v>
      </c>
      <c r="E435" s="238">
        <f t="shared" ref="E435:E453" si="103">D435+F435</f>
        <v>0.52</v>
      </c>
      <c r="F435" s="238">
        <v>0.24</v>
      </c>
      <c r="G435" s="239">
        <v>960</v>
      </c>
      <c r="H435" s="240" t="s">
        <v>4</v>
      </c>
      <c r="I435" s="237"/>
      <c r="J435" s="237"/>
      <c r="K435" s="237"/>
      <c r="L435" s="237"/>
      <c r="M435" s="237"/>
      <c r="N435" s="237"/>
      <c r="O435" s="237"/>
      <c r="P435" s="237"/>
      <c r="Q435" s="237">
        <v>80420040270</v>
      </c>
      <c r="R435" s="237">
        <v>80420040270</v>
      </c>
    </row>
    <row r="436" spans="1:18" x14ac:dyDescent="0.2">
      <c r="A436" s="229">
        <v>2</v>
      </c>
      <c r="B436" s="233" t="s">
        <v>211</v>
      </c>
      <c r="C436" s="237" t="s">
        <v>846</v>
      </c>
      <c r="D436" s="238">
        <v>0</v>
      </c>
      <c r="E436" s="238">
        <f t="shared" si="103"/>
        <v>0.375</v>
      </c>
      <c r="F436" s="238">
        <v>0.375</v>
      </c>
      <c r="G436" s="239">
        <v>2625</v>
      </c>
      <c r="H436" s="240" t="s">
        <v>4</v>
      </c>
      <c r="I436" s="237"/>
      <c r="J436" s="237"/>
      <c r="K436" s="237"/>
      <c r="L436" s="237"/>
      <c r="M436" s="237"/>
      <c r="N436" s="237"/>
      <c r="O436" s="237"/>
      <c r="P436" s="237"/>
      <c r="Q436" s="237">
        <v>80420040271</v>
      </c>
      <c r="R436" s="237">
        <v>80420040271</v>
      </c>
    </row>
    <row r="437" spans="1:18" x14ac:dyDescent="0.2">
      <c r="A437" s="242"/>
      <c r="B437" s="506"/>
      <c r="C437" s="237" t="s">
        <v>846</v>
      </c>
      <c r="D437" s="238">
        <f t="shared" ref="D437:D453" si="104">E436</f>
        <v>0.375</v>
      </c>
      <c r="E437" s="238">
        <f t="shared" si="103"/>
        <v>0.41499999999999998</v>
      </c>
      <c r="F437" s="238">
        <v>0.04</v>
      </c>
      <c r="G437" s="239">
        <v>240</v>
      </c>
      <c r="H437" s="240" t="s">
        <v>4</v>
      </c>
      <c r="I437" s="237"/>
      <c r="J437" s="237"/>
      <c r="K437" s="237"/>
      <c r="L437" s="237"/>
      <c r="M437" s="237"/>
      <c r="N437" s="237"/>
      <c r="O437" s="237"/>
      <c r="P437" s="237"/>
      <c r="Q437" s="237">
        <v>80420040256</v>
      </c>
      <c r="R437" s="237">
        <v>80420040256</v>
      </c>
    </row>
    <row r="438" spans="1:18" x14ac:dyDescent="0.2">
      <c r="A438" s="234">
        <v>3</v>
      </c>
      <c r="B438" s="507" t="s">
        <v>212</v>
      </c>
      <c r="C438" s="237" t="s">
        <v>846</v>
      </c>
      <c r="D438" s="238">
        <v>0</v>
      </c>
      <c r="E438" s="238">
        <f t="shared" si="103"/>
        <v>0.05</v>
      </c>
      <c r="F438" s="238">
        <v>0.05</v>
      </c>
      <c r="G438" s="239">
        <v>200</v>
      </c>
      <c r="H438" s="240" t="s">
        <v>4</v>
      </c>
      <c r="I438" s="237"/>
      <c r="J438" s="237"/>
      <c r="K438" s="237"/>
      <c r="L438" s="237"/>
      <c r="M438" s="237"/>
      <c r="N438" s="237"/>
      <c r="O438" s="237"/>
      <c r="P438" s="237"/>
      <c r="Q438" s="237">
        <v>80420040248</v>
      </c>
      <c r="R438" s="237">
        <v>80420040248</v>
      </c>
    </row>
    <row r="439" spans="1:18" x14ac:dyDescent="0.2">
      <c r="A439" s="229">
        <v>4</v>
      </c>
      <c r="B439" s="233" t="s">
        <v>161</v>
      </c>
      <c r="C439" s="237" t="s">
        <v>846</v>
      </c>
      <c r="D439" s="238">
        <v>0</v>
      </c>
      <c r="E439" s="238">
        <f t="shared" si="103"/>
        <v>6.5000000000000002E-2</v>
      </c>
      <c r="F439" s="238">
        <v>6.5000000000000002E-2</v>
      </c>
      <c r="G439" s="239">
        <v>358</v>
      </c>
      <c r="H439" s="240" t="s">
        <v>4</v>
      </c>
      <c r="I439" s="237"/>
      <c r="J439" s="237"/>
      <c r="K439" s="237"/>
      <c r="L439" s="237"/>
      <c r="M439" s="237"/>
      <c r="N439" s="237"/>
      <c r="O439" s="237"/>
      <c r="P439" s="237"/>
      <c r="Q439" s="237">
        <v>80420040265</v>
      </c>
      <c r="R439" s="237">
        <v>80420040265</v>
      </c>
    </row>
    <row r="440" spans="1:18" x14ac:dyDescent="0.2">
      <c r="A440" s="234"/>
      <c r="B440" s="235"/>
      <c r="C440" s="237" t="s">
        <v>846</v>
      </c>
      <c r="D440" s="238">
        <f t="shared" si="104"/>
        <v>6.5000000000000002E-2</v>
      </c>
      <c r="E440" s="238">
        <f t="shared" si="103"/>
        <v>0.33500000000000002</v>
      </c>
      <c r="F440" s="238">
        <v>0.27</v>
      </c>
      <c r="G440" s="239">
        <v>810</v>
      </c>
      <c r="H440" s="240" t="s">
        <v>0</v>
      </c>
      <c r="I440" s="237"/>
      <c r="J440" s="237"/>
      <c r="K440" s="237"/>
      <c r="L440" s="237"/>
      <c r="M440" s="237"/>
      <c r="N440" s="237"/>
      <c r="O440" s="237"/>
      <c r="P440" s="237"/>
      <c r="Q440" s="237">
        <v>80420040265</v>
      </c>
      <c r="R440" s="237">
        <v>80420040265</v>
      </c>
    </row>
    <row r="441" spans="1:18" ht="33.75" customHeight="1" x14ac:dyDescent="0.2">
      <c r="A441" s="242"/>
      <c r="B441" s="252" t="s">
        <v>369</v>
      </c>
      <c r="C441" s="237" t="s">
        <v>846</v>
      </c>
      <c r="D441" s="238">
        <v>0</v>
      </c>
      <c r="E441" s="238">
        <v>0.20799999999999999</v>
      </c>
      <c r="F441" s="238">
        <v>0.20799999999999999</v>
      </c>
      <c r="G441" s="239">
        <v>624</v>
      </c>
      <c r="H441" s="240" t="s">
        <v>0</v>
      </c>
      <c r="I441" s="237"/>
      <c r="J441" s="237"/>
      <c r="K441" s="237"/>
      <c r="L441" s="237"/>
      <c r="M441" s="237"/>
      <c r="N441" s="237"/>
      <c r="O441" s="237"/>
      <c r="P441" s="237"/>
      <c r="Q441" s="237" t="s">
        <v>416</v>
      </c>
      <c r="R441" s="237" t="s">
        <v>416</v>
      </c>
    </row>
    <row r="442" spans="1:18" x14ac:dyDescent="0.2">
      <c r="A442" s="234">
        <v>5</v>
      </c>
      <c r="B442" s="236" t="s">
        <v>88</v>
      </c>
      <c r="C442" s="237" t="s">
        <v>846</v>
      </c>
      <c r="D442" s="238">
        <v>0</v>
      </c>
      <c r="E442" s="238">
        <f t="shared" si="103"/>
        <v>0.33</v>
      </c>
      <c r="F442" s="238">
        <v>0.33</v>
      </c>
      <c r="G442" s="239">
        <v>1089</v>
      </c>
      <c r="H442" s="240" t="s">
        <v>0</v>
      </c>
      <c r="I442" s="237"/>
      <c r="J442" s="237"/>
      <c r="K442" s="237"/>
      <c r="L442" s="237"/>
      <c r="M442" s="237"/>
      <c r="N442" s="237"/>
      <c r="O442" s="237"/>
      <c r="P442" s="237"/>
      <c r="Q442" s="237">
        <v>80420040267</v>
      </c>
      <c r="R442" s="237">
        <v>80420040267</v>
      </c>
    </row>
    <row r="443" spans="1:18" x14ac:dyDescent="0.2">
      <c r="A443" s="505">
        <v>6</v>
      </c>
      <c r="B443" s="230" t="s">
        <v>237</v>
      </c>
      <c r="C443" s="237" t="s">
        <v>846</v>
      </c>
      <c r="D443" s="238">
        <v>0</v>
      </c>
      <c r="E443" s="238">
        <v>1.1879999999999999</v>
      </c>
      <c r="F443" s="238">
        <v>1.1879999999999999</v>
      </c>
      <c r="G443" s="239">
        <v>4752</v>
      </c>
      <c r="H443" s="240" t="s">
        <v>0</v>
      </c>
      <c r="I443" s="237"/>
      <c r="J443" s="237"/>
      <c r="K443" s="237"/>
      <c r="L443" s="237"/>
      <c r="M443" s="237"/>
      <c r="N443" s="237"/>
      <c r="O443" s="237"/>
      <c r="P443" s="237"/>
      <c r="Q443" s="237">
        <v>80420040335</v>
      </c>
      <c r="R443" s="237">
        <v>80420040335</v>
      </c>
    </row>
    <row r="444" spans="1:18" x14ac:dyDescent="0.2">
      <c r="A444" s="508"/>
      <c r="B444" s="253" t="s">
        <v>233</v>
      </c>
      <c r="C444" s="237" t="s">
        <v>846</v>
      </c>
      <c r="D444" s="238">
        <v>0</v>
      </c>
      <c r="E444" s="238">
        <v>6.3E-2</v>
      </c>
      <c r="F444" s="238">
        <v>6.3E-2</v>
      </c>
      <c r="G444" s="239">
        <v>252</v>
      </c>
      <c r="H444" s="240" t="s">
        <v>0</v>
      </c>
      <c r="I444" s="237"/>
      <c r="J444" s="237"/>
      <c r="K444" s="237"/>
      <c r="L444" s="237"/>
      <c r="M444" s="237"/>
      <c r="N444" s="237"/>
      <c r="O444" s="237"/>
      <c r="P444" s="237"/>
      <c r="Q444" s="237">
        <v>80420040335</v>
      </c>
      <c r="R444" s="237">
        <v>80420040335</v>
      </c>
    </row>
    <row r="445" spans="1:18" x14ac:dyDescent="0.2">
      <c r="A445" s="234">
        <v>7</v>
      </c>
      <c r="B445" s="235" t="s">
        <v>213</v>
      </c>
      <c r="C445" s="237" t="s">
        <v>846</v>
      </c>
      <c r="D445" s="238">
        <v>0</v>
      </c>
      <c r="E445" s="238">
        <f t="shared" si="103"/>
        <v>0.1</v>
      </c>
      <c r="F445" s="238">
        <v>0.1</v>
      </c>
      <c r="G445" s="239">
        <v>360</v>
      </c>
      <c r="H445" s="240" t="s">
        <v>4</v>
      </c>
      <c r="I445" s="237"/>
      <c r="J445" s="237"/>
      <c r="K445" s="237"/>
      <c r="L445" s="237"/>
      <c r="M445" s="237"/>
      <c r="N445" s="237"/>
      <c r="O445" s="237"/>
      <c r="P445" s="237"/>
      <c r="Q445" s="237">
        <v>80420040263</v>
      </c>
      <c r="R445" s="237">
        <v>80420040263</v>
      </c>
    </row>
    <row r="446" spans="1:18" x14ac:dyDescent="0.2">
      <c r="A446" s="234"/>
      <c r="B446" s="235"/>
      <c r="C446" s="237" t="s">
        <v>846</v>
      </c>
      <c r="D446" s="238">
        <f t="shared" si="104"/>
        <v>0.1</v>
      </c>
      <c r="E446" s="238">
        <f t="shared" si="103"/>
        <v>0.45499999999999996</v>
      </c>
      <c r="F446" s="238">
        <v>0.35499999999999998</v>
      </c>
      <c r="G446" s="239">
        <v>1278</v>
      </c>
      <c r="H446" s="240" t="s">
        <v>0</v>
      </c>
      <c r="I446" s="237"/>
      <c r="J446" s="237"/>
      <c r="K446" s="237"/>
      <c r="L446" s="237"/>
      <c r="M446" s="237"/>
      <c r="N446" s="237"/>
      <c r="O446" s="237"/>
      <c r="P446" s="237"/>
      <c r="Q446" s="237">
        <v>80420040263</v>
      </c>
      <c r="R446" s="237">
        <v>80420040263</v>
      </c>
    </row>
    <row r="447" spans="1:18" x14ac:dyDescent="0.2">
      <c r="A447" s="229">
        <v>8</v>
      </c>
      <c r="B447" s="233" t="s">
        <v>214</v>
      </c>
      <c r="C447" s="237" t="s">
        <v>846</v>
      </c>
      <c r="D447" s="238">
        <v>0</v>
      </c>
      <c r="E447" s="238">
        <f t="shared" si="103"/>
        <v>0.33</v>
      </c>
      <c r="F447" s="238">
        <v>0.33</v>
      </c>
      <c r="G447" s="239">
        <v>1470</v>
      </c>
      <c r="H447" s="240" t="s">
        <v>4</v>
      </c>
      <c r="I447" s="237"/>
      <c r="J447" s="237"/>
      <c r="K447" s="237"/>
      <c r="L447" s="237"/>
      <c r="M447" s="237"/>
      <c r="N447" s="237"/>
      <c r="O447" s="237"/>
      <c r="P447" s="237"/>
      <c r="Q447" s="237">
        <v>80420040266</v>
      </c>
      <c r="R447" s="237">
        <v>80420040266</v>
      </c>
    </row>
    <row r="448" spans="1:18" x14ac:dyDescent="0.2">
      <c r="A448" s="242"/>
      <c r="B448" s="506"/>
      <c r="C448" s="237" t="s">
        <v>846</v>
      </c>
      <c r="D448" s="238">
        <f>E447</f>
        <v>0.33</v>
      </c>
      <c r="E448" s="238">
        <f t="shared" si="103"/>
        <v>0.41500000000000004</v>
      </c>
      <c r="F448" s="238">
        <v>8.5000000000000006E-2</v>
      </c>
      <c r="G448" s="239">
        <v>340</v>
      </c>
      <c r="H448" s="240" t="s">
        <v>0</v>
      </c>
      <c r="I448" s="237"/>
      <c r="J448" s="237"/>
      <c r="K448" s="237"/>
      <c r="L448" s="237"/>
      <c r="M448" s="237"/>
      <c r="N448" s="237"/>
      <c r="O448" s="237"/>
      <c r="P448" s="237"/>
      <c r="Q448" s="237">
        <v>80420040266</v>
      </c>
      <c r="R448" s="237">
        <v>80420040266</v>
      </c>
    </row>
    <row r="449" spans="1:32" x14ac:dyDescent="0.2">
      <c r="A449" s="242">
        <v>9</v>
      </c>
      <c r="B449" s="509" t="s">
        <v>215</v>
      </c>
      <c r="C449" s="237" t="s">
        <v>846</v>
      </c>
      <c r="D449" s="238">
        <v>0</v>
      </c>
      <c r="E449" s="238">
        <f t="shared" si="103"/>
        <v>7.2999999999999995E-2</v>
      </c>
      <c r="F449" s="238">
        <v>7.2999999999999995E-2</v>
      </c>
      <c r="G449" s="239">
        <v>292</v>
      </c>
      <c r="H449" s="240" t="s">
        <v>4</v>
      </c>
      <c r="I449" s="237"/>
      <c r="J449" s="237"/>
      <c r="K449" s="237"/>
      <c r="L449" s="237"/>
      <c r="M449" s="237"/>
      <c r="N449" s="237"/>
      <c r="O449" s="237"/>
      <c r="P449" s="237"/>
      <c r="Q449" s="237">
        <v>80420040249</v>
      </c>
      <c r="R449" s="237">
        <v>80420040249</v>
      </c>
    </row>
    <row r="450" spans="1:32" x14ac:dyDescent="0.2">
      <c r="A450" s="231">
        <v>10</v>
      </c>
      <c r="B450" s="232" t="s">
        <v>160</v>
      </c>
      <c r="C450" s="237" t="s">
        <v>846</v>
      </c>
      <c r="D450" s="238">
        <v>0</v>
      </c>
      <c r="E450" s="238">
        <f t="shared" si="103"/>
        <v>0.26500000000000001</v>
      </c>
      <c r="F450" s="238">
        <v>0.26500000000000001</v>
      </c>
      <c r="G450" s="239">
        <v>928</v>
      </c>
      <c r="H450" s="240" t="s">
        <v>0</v>
      </c>
      <c r="I450" s="237"/>
      <c r="J450" s="237"/>
      <c r="K450" s="237"/>
      <c r="L450" s="237"/>
      <c r="M450" s="237"/>
      <c r="N450" s="237"/>
      <c r="O450" s="237"/>
      <c r="P450" s="237"/>
      <c r="Q450" s="237">
        <v>80420040264</v>
      </c>
      <c r="R450" s="237">
        <v>80420040264</v>
      </c>
    </row>
    <row r="451" spans="1:32" x14ac:dyDescent="0.2">
      <c r="A451" s="229">
        <v>11</v>
      </c>
      <c r="B451" s="230" t="s">
        <v>216</v>
      </c>
      <c r="C451" s="237" t="s">
        <v>846</v>
      </c>
      <c r="D451" s="238">
        <v>0</v>
      </c>
      <c r="E451" s="238">
        <f t="shared" si="103"/>
        <v>0.22</v>
      </c>
      <c r="F451" s="238">
        <v>0.22</v>
      </c>
      <c r="G451" s="239">
        <v>1320</v>
      </c>
      <c r="H451" s="240" t="s">
        <v>4</v>
      </c>
      <c r="I451" s="237"/>
      <c r="J451" s="237"/>
      <c r="K451" s="237"/>
      <c r="L451" s="237"/>
      <c r="M451" s="237"/>
      <c r="N451" s="237"/>
      <c r="O451" s="237"/>
      <c r="P451" s="237"/>
      <c r="Q451" s="237">
        <v>80420040269</v>
      </c>
      <c r="R451" s="237">
        <v>80420040269</v>
      </c>
    </row>
    <row r="452" spans="1:32" x14ac:dyDescent="0.2">
      <c r="A452" s="229">
        <v>12</v>
      </c>
      <c r="B452" s="233" t="s">
        <v>217</v>
      </c>
      <c r="C452" s="237" t="s">
        <v>846</v>
      </c>
      <c r="D452" s="238">
        <v>0</v>
      </c>
      <c r="E452" s="238">
        <f t="shared" si="103"/>
        <v>0.05</v>
      </c>
      <c r="F452" s="238">
        <v>0.05</v>
      </c>
      <c r="G452" s="239">
        <v>200</v>
      </c>
      <c r="H452" s="240" t="s">
        <v>0</v>
      </c>
      <c r="I452" s="237"/>
      <c r="J452" s="237"/>
      <c r="K452" s="237"/>
      <c r="L452" s="237"/>
      <c r="M452" s="237"/>
      <c r="N452" s="237"/>
      <c r="O452" s="237"/>
      <c r="P452" s="237"/>
      <c r="Q452" s="237" t="s">
        <v>417</v>
      </c>
      <c r="R452" s="237">
        <v>80420040295</v>
      </c>
    </row>
    <row r="453" spans="1:32" ht="15" x14ac:dyDescent="0.25">
      <c r="A453" s="242"/>
      <c r="B453" s="506"/>
      <c r="C453" s="237" t="s">
        <v>846</v>
      </c>
      <c r="D453" s="238">
        <f t="shared" si="104"/>
        <v>0.05</v>
      </c>
      <c r="E453" s="238">
        <f t="shared" si="103"/>
        <v>0.38500000000000001</v>
      </c>
      <c r="F453" s="238">
        <v>0.33500000000000002</v>
      </c>
      <c r="G453" s="239">
        <v>1340</v>
      </c>
      <c r="H453" s="240" t="s">
        <v>0</v>
      </c>
      <c r="I453" s="237"/>
      <c r="J453" s="237"/>
      <c r="K453" s="237"/>
      <c r="L453" s="237"/>
      <c r="M453" s="237"/>
      <c r="N453" s="237"/>
      <c r="O453" s="237"/>
      <c r="P453" s="237"/>
      <c r="Q453" s="237">
        <v>80420040421</v>
      </c>
      <c r="R453" s="237">
        <v>80420040419</v>
      </c>
      <c r="S453"/>
      <c r="T453"/>
      <c r="U453"/>
      <c r="V453"/>
      <c r="W453"/>
      <c r="X453"/>
      <c r="Y453"/>
      <c r="Z453"/>
      <c r="AA453" t="s">
        <v>1097</v>
      </c>
      <c r="AB453"/>
      <c r="AC453"/>
      <c r="AD453"/>
      <c r="AE453"/>
      <c r="AF453"/>
    </row>
    <row r="454" spans="1:32" ht="12.75" customHeight="1" x14ac:dyDescent="0.2">
      <c r="A454" s="184" t="s">
        <v>418</v>
      </c>
      <c r="B454" s="185"/>
      <c r="C454" s="489"/>
      <c r="D454" s="186"/>
      <c r="E454" s="187"/>
      <c r="F454" s="188">
        <f>SUM(F434:F453)</f>
        <v>4.9219999999999997</v>
      </c>
      <c r="G454" s="189">
        <f>SUM(G434:G453)</f>
        <v>20558</v>
      </c>
      <c r="H454" s="143"/>
      <c r="I454" s="94"/>
      <c r="J454" s="144"/>
      <c r="K454" s="190" t="s">
        <v>268</v>
      </c>
      <c r="L454" s="191">
        <f>SUM(L434:L453)</f>
        <v>0</v>
      </c>
      <c r="M454" s="191">
        <f>SUM(M434:M453)</f>
        <v>0</v>
      </c>
      <c r="N454" s="147"/>
      <c r="O454" s="190" t="s">
        <v>269</v>
      </c>
      <c r="P454" s="191">
        <f>SUM(P434:P453)</f>
        <v>0</v>
      </c>
      <c r="Q454" s="147"/>
      <c r="R454" s="147"/>
      <c r="S454" s="102"/>
      <c r="T454" s="625" t="s">
        <v>1092</v>
      </c>
      <c r="U454" s="625" t="s">
        <v>1093</v>
      </c>
      <c r="V454" s="625" t="s">
        <v>1094</v>
      </c>
      <c r="W454" s="625" t="s">
        <v>1095</v>
      </c>
      <c r="X454" s="625" t="s">
        <v>1096</v>
      </c>
      <c r="Y454" s="627" t="s">
        <v>269</v>
      </c>
      <c r="Z454" s="102"/>
      <c r="AA454" s="625" t="s">
        <v>1092</v>
      </c>
      <c r="AB454" s="625" t="s">
        <v>1093</v>
      </c>
      <c r="AC454" s="625" t="s">
        <v>1094</v>
      </c>
      <c r="AD454" s="625" t="s">
        <v>1095</v>
      </c>
      <c r="AE454" s="625" t="s">
        <v>1096</v>
      </c>
      <c r="AF454" s="627" t="s">
        <v>269</v>
      </c>
    </row>
    <row r="455" spans="1:32" ht="12.75" customHeight="1" x14ac:dyDescent="0.2">
      <c r="A455" s="148" t="s">
        <v>270</v>
      </c>
      <c r="B455" s="149"/>
      <c r="C455" s="486"/>
      <c r="D455" s="150"/>
      <c r="E455" s="151"/>
      <c r="F455" s="163">
        <f>F434+F435+F436+F437+F438+F439+F447+F449+F451</f>
        <v>1.673</v>
      </c>
      <c r="G455" s="192">
        <f>G434+G435+G436+G437+G438+G439+G447+G449+G451</f>
        <v>8585</v>
      </c>
      <c r="H455" s="154"/>
      <c r="I455" s="155"/>
      <c r="J455" s="147"/>
      <c r="K455" s="136"/>
      <c r="L455" s="156"/>
      <c r="M455" s="156"/>
      <c r="N455" s="147"/>
      <c r="O455" s="147"/>
      <c r="P455" s="147"/>
      <c r="Q455" s="147"/>
      <c r="R455" s="147"/>
      <c r="S455" s="628" t="s">
        <v>844</v>
      </c>
      <c r="T455" s="625" t="s">
        <v>231</v>
      </c>
      <c r="U455" s="625" t="s">
        <v>231</v>
      </c>
      <c r="V455" s="625" t="s">
        <v>231</v>
      </c>
      <c r="W455" s="625" t="s">
        <v>231</v>
      </c>
      <c r="X455" s="625" t="s">
        <v>231</v>
      </c>
      <c r="Y455" s="626" t="s">
        <v>231</v>
      </c>
      <c r="Z455" s="628"/>
      <c r="AA455" s="625" t="s">
        <v>231</v>
      </c>
      <c r="AB455" s="625" t="s">
        <v>231</v>
      </c>
      <c r="AC455" s="625" t="s">
        <v>231</v>
      </c>
      <c r="AD455" s="625" t="s">
        <v>231</v>
      </c>
      <c r="AE455" s="625" t="s">
        <v>231</v>
      </c>
      <c r="AF455" s="626" t="s">
        <v>231</v>
      </c>
    </row>
    <row r="456" spans="1:32" ht="12.75" customHeight="1" x14ac:dyDescent="0.2">
      <c r="A456" s="148" t="s">
        <v>271</v>
      </c>
      <c r="B456" s="149"/>
      <c r="C456" s="486"/>
      <c r="D456" s="150"/>
      <c r="E456" s="151"/>
      <c r="F456" s="163">
        <v>0</v>
      </c>
      <c r="G456" s="158">
        <v>0</v>
      </c>
      <c r="H456" s="162"/>
      <c r="I456" s="94"/>
      <c r="J456" s="159"/>
      <c r="K456" s="160"/>
      <c r="L456" s="160"/>
      <c r="M456" s="160"/>
      <c r="N456" s="161"/>
      <c r="O456" s="147"/>
      <c r="P456" s="147"/>
      <c r="Q456" s="147"/>
      <c r="R456" s="147"/>
      <c r="S456" s="616" t="s">
        <v>847</v>
      </c>
      <c r="T456" s="614">
        <f>SUMIFS(F434:F453,C434:C453,"A",H434:H453,"melnais")</f>
        <v>0</v>
      </c>
      <c r="U456" s="614">
        <f>SUMIFS(F434:F453,C434:C453,"A",H434:H453,"dubultā virsma")</f>
        <v>0</v>
      </c>
      <c r="V456" s="614">
        <f>SUMIFS(F434:F453,C434:C453,"A",H434:H453,"bruģis")</f>
        <v>0</v>
      </c>
      <c r="W456" s="614">
        <f>SUMIFS(F434:F453,C434:C453,"A",H434:H453,"grants")</f>
        <v>0</v>
      </c>
      <c r="X456" s="614">
        <f>SUMIFS(F434:F453,C434:C453,"A",H434:H453,"cits segums")</f>
        <v>0</v>
      </c>
      <c r="Y456" s="614">
        <f>SUM(T456:X456)</f>
        <v>0</v>
      </c>
      <c r="Z456" s="616" t="s">
        <v>847</v>
      </c>
      <c r="AA456" s="614">
        <f>SUMIFS(F434:F453,C434:C453,"A",H434:H453,"melnais", Q434:Q453,"Nepiederošs")</f>
        <v>0</v>
      </c>
      <c r="AB456" s="614">
        <f>SUMIFS(F434:F453,C434:C453,"A",H434:H453,"dubultā virsma", Q434:Q453,"Nepiederošs")</f>
        <v>0</v>
      </c>
      <c r="AC456" s="614">
        <f>SUMIFS(F434:F453,C434:C453,"A",H434:H453,"bruģis", Q434:Q453,"Nepiederošs")</f>
        <v>0</v>
      </c>
      <c r="AD456" s="614">
        <f>SUMIFS(F434:F453,C434:C453,"A",H434:H453,"grants", Q434:Q453,"Nepiederošs")</f>
        <v>0</v>
      </c>
      <c r="AE456" s="614">
        <f>SUMIFS(F434:F453,C434:C453,"A",H434:H453,"cits segums", Q434:Q453,"Nepiederošs")</f>
        <v>0</v>
      </c>
      <c r="AF456" s="614">
        <f>SUM(AA456:AE456)</f>
        <v>0</v>
      </c>
    </row>
    <row r="457" spans="1:32" ht="12.75" customHeight="1" x14ac:dyDescent="0.2">
      <c r="A457" s="148" t="s">
        <v>272</v>
      </c>
      <c r="B457" s="149"/>
      <c r="C457" s="486"/>
      <c r="D457" s="150"/>
      <c r="E457" s="151"/>
      <c r="F457" s="163">
        <f>F440+F442+F445+F446+F448+F450+F452+F453+F441+F443+F444</f>
        <v>3.2490000000000001</v>
      </c>
      <c r="G457" s="192">
        <f>G440+G442+G445+G446+G448+G450+G452+G453+G441+G443+G444</f>
        <v>11973</v>
      </c>
      <c r="H457" s="162"/>
      <c r="I457" s="162"/>
      <c r="J457" s="159"/>
      <c r="K457" s="160"/>
      <c r="L457" s="160"/>
      <c r="M457" s="160"/>
      <c r="N457" s="161"/>
      <c r="O457" s="147"/>
      <c r="P457" s="147"/>
      <c r="Q457" s="147"/>
      <c r="R457" s="147"/>
      <c r="S457" s="617" t="s">
        <v>848</v>
      </c>
      <c r="T457" s="614">
        <f>SUMIFS(F434:F453,C434:C453,"B",H434:H453,"melnais")</f>
        <v>0</v>
      </c>
      <c r="U457" s="614">
        <f>SUMIFS(F434:F453,C434:C453,"B",H434:H453,"dubultā virsma")</f>
        <v>0</v>
      </c>
      <c r="V457" s="614">
        <f>SUMIFS(F434:F453,C434:C453,"B",H434:H453,"bruģis")</f>
        <v>0</v>
      </c>
      <c r="W457" s="614">
        <f>SUMIFS(F434:F453,C434:C453,"B",H434:H453,"grants")</f>
        <v>0</v>
      </c>
      <c r="X457" s="614">
        <f>SUMIFS(F434:F453,C434:C453,"B",H434:H453,"cits segums")</f>
        <v>0</v>
      </c>
      <c r="Y457" s="614">
        <f t="shared" ref="Y457:Y459" si="105">SUM(T457:X457)</f>
        <v>0</v>
      </c>
      <c r="Z457" s="617" t="s">
        <v>848</v>
      </c>
      <c r="AA457" s="614">
        <f>SUMIFS(F434:F453,C434:C453,"B",H434:H453,"melnais", Q434:Q453,"Nepiederošs")</f>
        <v>0</v>
      </c>
      <c r="AB457" s="614">
        <f>SUMIFS(F434:F453,C434:C453,"B",H434:H453,"dubultā virsma", Q434:Q453,"Nepiederošs")</f>
        <v>0</v>
      </c>
      <c r="AC457" s="614">
        <f>SUMIFS(F434:F453,C434:C453,"B",H434:H453,"bruģis", Q434:Q453,"Nepiederošs")</f>
        <v>0</v>
      </c>
      <c r="AD457" s="614">
        <f>SUMIFS(F434:F453,C434:C453,"B",H434:H453,"grants", Q434:Q453,"Nepiederošs")</f>
        <v>0</v>
      </c>
      <c r="AE457" s="614">
        <f>SUMIFS(F434:F453,C434:C453,"B",H434:H453,"cits segums", Q434:Q453,"Nepiederošs")</f>
        <v>0</v>
      </c>
      <c r="AF457" s="614">
        <f t="shared" ref="AF457:AF459" si="106">SUM(AA457:AE457)</f>
        <v>0</v>
      </c>
    </row>
    <row r="458" spans="1:32" ht="12.75" customHeight="1" x14ac:dyDescent="0.2">
      <c r="A458" s="148" t="s">
        <v>401</v>
      </c>
      <c r="B458" s="149"/>
      <c r="C458" s="486"/>
      <c r="D458" s="150"/>
      <c r="E458" s="151"/>
      <c r="F458" s="163">
        <v>0</v>
      </c>
      <c r="G458" s="158">
        <v>0</v>
      </c>
      <c r="H458" s="165"/>
      <c r="I458" s="162"/>
      <c r="J458" s="166"/>
      <c r="K458" s="160"/>
      <c r="L458" s="160"/>
      <c r="M458" s="160"/>
      <c r="N458" s="161"/>
      <c r="O458" s="147"/>
      <c r="P458" s="147"/>
      <c r="Q458" s="147"/>
      <c r="R458" s="147"/>
      <c r="S458" s="615" t="s">
        <v>845</v>
      </c>
      <c r="T458" s="614">
        <f>SUMIFS(F434:F453,C434:C453,"C",H434:H453,"melnais")</f>
        <v>0</v>
      </c>
      <c r="U458" s="614">
        <f>SUMIFS(F434:F453,C434:C453,"C",H434:H453,"dubultā virsma")</f>
        <v>0</v>
      </c>
      <c r="V458" s="614">
        <f>SUMIFS(F434:F453,C434:C453,"C",H434:H453,"bruģis")</f>
        <v>0</v>
      </c>
      <c r="W458" s="614">
        <f>SUMIFS(F434:F453,C434:C453,"C",H434:H453,"grants")</f>
        <v>0</v>
      </c>
      <c r="X458" s="614">
        <f>SUMIFS(F434:F453,C434:C453,"C",H434:H453,"cits segums")</f>
        <v>0</v>
      </c>
      <c r="Y458" s="614">
        <f t="shared" si="105"/>
        <v>0</v>
      </c>
      <c r="Z458" s="615" t="s">
        <v>845</v>
      </c>
      <c r="AA458" s="614">
        <f>SUMIFS(F434:F453,C434:C453,"C",H434:H453,"melnais", Q434:Q453,"Nepiederošs")</f>
        <v>0</v>
      </c>
      <c r="AB458" s="614">
        <f>SUMIFS(F434:F453,C434:C453,"C",H434:H453,"dubultā virsma", Q434:Q453,"Nepiederošs")</f>
        <v>0</v>
      </c>
      <c r="AC458" s="614">
        <f>SUMIFS(F434:F453,C434:C453,"C",H434:H453,"bruģis", Q434:Q453,"Nepiederošs")</f>
        <v>0</v>
      </c>
      <c r="AD458" s="614">
        <f>SUMIFS(F434:F453,C434:C453,"C",H434:H453,"grants", Q434:Q453,"Nepiederošs")</f>
        <v>0</v>
      </c>
      <c r="AE458" s="614">
        <f>SUMIFS(F434:F453,C434:C453,"C",H434:H453,"cits segums", Q434:Q453,"Nepiederošs")</f>
        <v>0</v>
      </c>
      <c r="AF458" s="614">
        <f t="shared" si="106"/>
        <v>0</v>
      </c>
    </row>
    <row r="459" spans="1:32" ht="12.75" customHeight="1" x14ac:dyDescent="0.2">
      <c r="A459" s="193"/>
      <c r="B459" s="193"/>
      <c r="C459" s="33"/>
      <c r="D459" s="38"/>
      <c r="E459" s="38"/>
      <c r="F459" s="194"/>
      <c r="G459" s="203"/>
      <c r="H459" s="165"/>
      <c r="I459" s="162"/>
      <c r="J459" s="166"/>
      <c r="K459" s="160"/>
      <c r="L459" s="160"/>
      <c r="M459" s="160"/>
      <c r="N459" s="161"/>
      <c r="O459" s="147"/>
      <c r="P459" s="147"/>
      <c r="Q459" s="147"/>
      <c r="R459" s="147"/>
      <c r="S459" s="616" t="s">
        <v>846</v>
      </c>
      <c r="T459" s="614">
        <f>SUMIFS(F434:F453,C434:C453,"D",H434:H453,"melnais")</f>
        <v>1.7730000000000001</v>
      </c>
      <c r="U459" s="614">
        <f>SUMIFS(F434:F453,C434:C453,"D",H434:H453,"dubultā virsma")</f>
        <v>0</v>
      </c>
      <c r="V459" s="614">
        <f>SUMIFS(F434:F453,C434:C453,"D",H434:H453,"bruģis")</f>
        <v>0</v>
      </c>
      <c r="W459" s="614">
        <f>SUMIFS(F434:F453,C434:C453,"D",H434:H453,"grants")</f>
        <v>3.149</v>
      </c>
      <c r="X459" s="614">
        <f>SUMIFS(F434:F453,C434:C453,"D",H434:H453,"cits segums")</f>
        <v>0</v>
      </c>
      <c r="Y459" s="614">
        <f t="shared" si="105"/>
        <v>4.9220000000000006</v>
      </c>
      <c r="Z459" s="616" t="s">
        <v>846</v>
      </c>
      <c r="AA459" s="614">
        <f>SUMIFS(F434:F453,C434:C453,"D",H434:H453,"melnais", Q434:Q453,"Nepiederošs")</f>
        <v>0</v>
      </c>
      <c r="AB459" s="614">
        <f>SUMIFS(F434:F453,C434:C453,"D",H434:H453,"dubultā virsma", Q434:Q453,"Nepiederošs")</f>
        <v>0</v>
      </c>
      <c r="AC459" s="614">
        <f>SUMIFS(F434:F453,C434:C453,"D",H434:H453,"bruģis", Q434:Q453,"Nepiederošs")</f>
        <v>0</v>
      </c>
      <c r="AD459" s="614">
        <f>SUMIFS(F434:F453,C434:C453,"D",H434:H453,"grants", Q434:Q453,"Nepiederošs")</f>
        <v>0</v>
      </c>
      <c r="AE459" s="614">
        <f>SUMIFS(F434:F453,C434:C453,"D",H434:H453,"cits segums", Q434:Q453,"Nepiederošs")</f>
        <v>0</v>
      </c>
      <c r="AF459" s="614">
        <f t="shared" si="106"/>
        <v>0</v>
      </c>
    </row>
    <row r="460" spans="1:32" s="38" customFormat="1" ht="15" customHeight="1" x14ac:dyDescent="0.25">
      <c r="A460" s="33"/>
      <c r="C460" s="487"/>
      <c r="D460" s="813" t="s">
        <v>1071</v>
      </c>
      <c r="E460" s="813"/>
      <c r="F460" s="813"/>
      <c r="G460" s="813"/>
      <c r="H460" s="813"/>
      <c r="I460" s="813"/>
      <c r="J460" s="813"/>
      <c r="K460" s="813"/>
      <c r="L460" s="813"/>
      <c r="M460" s="813"/>
      <c r="N460" s="813"/>
      <c r="O460" s="813"/>
      <c r="P460" s="813"/>
      <c r="Q460" s="30"/>
      <c r="R460" s="37"/>
      <c r="S460" s="637"/>
      <c r="T460" s="629">
        <f>SUM(T456:T459)</f>
        <v>1.7730000000000001</v>
      </c>
      <c r="U460" s="629">
        <f t="shared" ref="U460" si="107">SUM(U456:U459)</f>
        <v>0</v>
      </c>
      <c r="V460" s="629">
        <f t="shared" ref="V460" si="108">SUM(V456:V459)</f>
        <v>0</v>
      </c>
      <c r="W460" s="629">
        <f t="shared" ref="W460" si="109">SUM(W456:W459)</f>
        <v>3.149</v>
      </c>
      <c r="X460" s="629">
        <f t="shared" ref="X460" si="110">SUM(X456:X459)</f>
        <v>0</v>
      </c>
      <c r="Y460" s="629">
        <f t="shared" ref="Y460" si="111">SUM(Y456:Y459)</f>
        <v>4.9220000000000006</v>
      </c>
      <c r="Z460"/>
      <c r="AA460" s="629">
        <f>SUM(AA456:AA459)</f>
        <v>0</v>
      </c>
      <c r="AB460" s="629">
        <f t="shared" ref="AB460" si="112">SUM(AB456:AB459)</f>
        <v>0</v>
      </c>
      <c r="AC460" s="629">
        <f>SUM(AC456:AC459)</f>
        <v>0</v>
      </c>
      <c r="AD460" s="629">
        <f t="shared" ref="AD460" si="113">SUM(AD456:AD459)</f>
        <v>0</v>
      </c>
      <c r="AE460" s="629">
        <f t="shared" ref="AE460" si="114">SUM(AE456:AE459)</f>
        <v>0</v>
      </c>
      <c r="AF460" s="629">
        <f t="shared" ref="AF460" si="115">SUM(AF456:AF459)</f>
        <v>0</v>
      </c>
    </row>
    <row r="461" spans="1:32" ht="12.75" customHeight="1" x14ac:dyDescent="0.2">
      <c r="A461" s="818" t="s">
        <v>244</v>
      </c>
      <c r="B461" s="825" t="s">
        <v>388</v>
      </c>
      <c r="C461" s="482"/>
      <c r="D461" s="826" t="s">
        <v>246</v>
      </c>
      <c r="E461" s="827"/>
      <c r="F461" s="827"/>
      <c r="G461" s="827"/>
      <c r="H461" s="827"/>
      <c r="I461" s="827"/>
      <c r="J461" s="827"/>
      <c r="K461" s="827"/>
      <c r="L461" s="827"/>
      <c r="M461" s="827"/>
      <c r="N461" s="827"/>
      <c r="O461" s="827"/>
      <c r="P461" s="828"/>
      <c r="Q461" s="821" t="s">
        <v>247</v>
      </c>
      <c r="R461" s="822"/>
    </row>
    <row r="462" spans="1:32" ht="12.75" customHeight="1" x14ac:dyDescent="0.2">
      <c r="A462" s="818"/>
      <c r="B462" s="825"/>
      <c r="C462" s="410"/>
      <c r="D462" s="816" t="s">
        <v>389</v>
      </c>
      <c r="E462" s="816"/>
      <c r="F462" s="816"/>
      <c r="G462" s="816"/>
      <c r="H462" s="816"/>
      <c r="I462" s="814" t="s">
        <v>249</v>
      </c>
      <c r="J462" s="814"/>
      <c r="K462" s="814"/>
      <c r="L462" s="814"/>
      <c r="M462" s="814"/>
      <c r="N462" s="814"/>
      <c r="O462" s="814"/>
      <c r="P462" s="815" t="s">
        <v>250</v>
      </c>
      <c r="Q462" s="823"/>
      <c r="R462" s="824"/>
    </row>
    <row r="463" spans="1:32" ht="15.2" customHeight="1" x14ac:dyDescent="0.2">
      <c r="A463" s="818"/>
      <c r="B463" s="825"/>
      <c r="C463" s="410"/>
      <c r="D463" s="816" t="s">
        <v>251</v>
      </c>
      <c r="E463" s="816"/>
      <c r="F463" s="817" t="s">
        <v>252</v>
      </c>
      <c r="G463" s="817" t="s">
        <v>257</v>
      </c>
      <c r="H463" s="818" t="s">
        <v>253</v>
      </c>
      <c r="I463" s="819" t="s">
        <v>254</v>
      </c>
      <c r="J463" s="814" t="s">
        <v>255</v>
      </c>
      <c r="K463" s="814"/>
      <c r="L463" s="820" t="s">
        <v>256</v>
      </c>
      <c r="M463" s="820" t="s">
        <v>257</v>
      </c>
      <c r="N463" s="820" t="s">
        <v>258</v>
      </c>
      <c r="O463" s="820" t="s">
        <v>259</v>
      </c>
      <c r="P463" s="809"/>
      <c r="Q463" s="809" t="s">
        <v>260</v>
      </c>
      <c r="R463" s="811" t="s">
        <v>261</v>
      </c>
    </row>
    <row r="464" spans="1:32" ht="33.75" customHeight="1" x14ac:dyDescent="0.2">
      <c r="A464" s="818"/>
      <c r="B464" s="825"/>
      <c r="C464" s="432" t="s">
        <v>844</v>
      </c>
      <c r="D464" s="95" t="s">
        <v>262</v>
      </c>
      <c r="E464" s="95" t="s">
        <v>263</v>
      </c>
      <c r="F464" s="817"/>
      <c r="G464" s="817"/>
      <c r="H464" s="818"/>
      <c r="I464" s="819"/>
      <c r="J464" s="96" t="s">
        <v>231</v>
      </c>
      <c r="K464" s="96" t="s">
        <v>264</v>
      </c>
      <c r="L464" s="820"/>
      <c r="M464" s="820"/>
      <c r="N464" s="820"/>
      <c r="O464" s="820"/>
      <c r="P464" s="810"/>
      <c r="Q464" s="810"/>
      <c r="R464" s="812"/>
    </row>
    <row r="465" spans="1:18" s="99" customFormat="1" ht="12" customHeight="1" x14ac:dyDescent="0.25">
      <c r="A465" s="200">
        <v>1</v>
      </c>
      <c r="B465" s="200">
        <v>2</v>
      </c>
      <c r="C465" s="200"/>
      <c r="D465" s="200">
        <v>3</v>
      </c>
      <c r="E465" s="200">
        <v>4</v>
      </c>
      <c r="F465" s="200">
        <v>5</v>
      </c>
      <c r="G465" s="200">
        <v>6</v>
      </c>
      <c r="H465" s="200">
        <v>7</v>
      </c>
      <c r="I465" s="201">
        <v>8</v>
      </c>
      <c r="J465" s="201">
        <v>9</v>
      </c>
      <c r="K465" s="201">
        <v>10</v>
      </c>
      <c r="L465" s="201">
        <v>11</v>
      </c>
      <c r="M465" s="201">
        <v>12</v>
      </c>
      <c r="N465" s="201">
        <v>13</v>
      </c>
      <c r="O465" s="201">
        <v>14</v>
      </c>
      <c r="P465" s="201">
        <v>15</v>
      </c>
      <c r="Q465" s="201">
        <v>16</v>
      </c>
      <c r="R465" s="200">
        <v>17</v>
      </c>
    </row>
    <row r="466" spans="1:18" x14ac:dyDescent="0.2">
      <c r="A466" s="237">
        <v>1</v>
      </c>
      <c r="B466" s="241" t="s">
        <v>150</v>
      </c>
      <c r="C466" s="237" t="s">
        <v>846</v>
      </c>
      <c r="D466" s="238">
        <v>0</v>
      </c>
      <c r="E466" s="238">
        <f>D466+F466</f>
        <v>0.47</v>
      </c>
      <c r="F466" s="238">
        <v>0.47</v>
      </c>
      <c r="G466" s="241">
        <v>1410</v>
      </c>
      <c r="H466" s="241" t="s">
        <v>0</v>
      </c>
      <c r="I466" s="241"/>
      <c r="J466" s="241"/>
      <c r="K466" s="241"/>
      <c r="L466" s="241"/>
      <c r="M466" s="241"/>
      <c r="N466" s="241"/>
      <c r="O466" s="241"/>
      <c r="P466" s="241"/>
      <c r="Q466" s="237">
        <v>80420010401</v>
      </c>
      <c r="R466" s="237">
        <v>80420010401</v>
      </c>
    </row>
    <row r="467" spans="1:18" x14ac:dyDescent="0.2">
      <c r="A467" s="237">
        <v>2</v>
      </c>
      <c r="B467" s="241" t="s">
        <v>219</v>
      </c>
      <c r="C467" s="237" t="s">
        <v>846</v>
      </c>
      <c r="D467" s="238">
        <v>0</v>
      </c>
      <c r="E467" s="238">
        <f t="shared" ref="E467:E495" si="116">D467+F467</f>
        <v>0.255</v>
      </c>
      <c r="F467" s="238">
        <v>0.255</v>
      </c>
      <c r="G467" s="241">
        <v>765</v>
      </c>
      <c r="H467" s="241" t="s">
        <v>0</v>
      </c>
      <c r="I467" s="241"/>
      <c r="J467" s="241"/>
      <c r="K467" s="241"/>
      <c r="L467" s="241"/>
      <c r="M467" s="241"/>
      <c r="N467" s="241"/>
      <c r="O467" s="241"/>
      <c r="P467" s="241"/>
      <c r="Q467" s="237">
        <v>80420010412</v>
      </c>
      <c r="R467" s="237">
        <v>80420010420</v>
      </c>
    </row>
    <row r="468" spans="1:18" x14ac:dyDescent="0.2">
      <c r="A468" s="237">
        <v>3</v>
      </c>
      <c r="B468" s="241" t="s">
        <v>1</v>
      </c>
      <c r="C468" s="237" t="s">
        <v>846</v>
      </c>
      <c r="D468" s="238">
        <v>0</v>
      </c>
      <c r="E468" s="238">
        <f t="shared" si="116"/>
        <v>0.74</v>
      </c>
      <c r="F468" s="238">
        <v>0.74</v>
      </c>
      <c r="G468" s="241">
        <v>2220</v>
      </c>
      <c r="H468" s="241" t="s">
        <v>0</v>
      </c>
      <c r="I468" s="241"/>
      <c r="J468" s="241"/>
      <c r="K468" s="241"/>
      <c r="L468" s="241"/>
      <c r="M468" s="241"/>
      <c r="N468" s="241"/>
      <c r="O468" s="241"/>
      <c r="P468" s="241"/>
      <c r="Q468" s="237">
        <v>80420010386</v>
      </c>
      <c r="R468" s="237">
        <v>80420010406</v>
      </c>
    </row>
    <row r="469" spans="1:18" x14ac:dyDescent="0.2">
      <c r="A469" s="237">
        <v>4</v>
      </c>
      <c r="B469" s="241" t="s">
        <v>123</v>
      </c>
      <c r="C469" s="237" t="s">
        <v>846</v>
      </c>
      <c r="D469" s="238">
        <v>0</v>
      </c>
      <c r="E469" s="238">
        <f t="shared" si="116"/>
        <v>0.23</v>
      </c>
      <c r="F469" s="238">
        <v>0.23</v>
      </c>
      <c r="G469" s="241">
        <v>690</v>
      </c>
      <c r="H469" s="241" t="s">
        <v>0</v>
      </c>
      <c r="I469" s="241"/>
      <c r="J469" s="241"/>
      <c r="K469" s="241"/>
      <c r="L469" s="241"/>
      <c r="M469" s="241"/>
      <c r="N469" s="241"/>
      <c r="O469" s="241"/>
      <c r="P469" s="241"/>
      <c r="Q469" s="237">
        <v>80420010393</v>
      </c>
      <c r="R469" s="237">
        <v>80420010407</v>
      </c>
    </row>
    <row r="470" spans="1:18" x14ac:dyDescent="0.2">
      <c r="A470" s="237">
        <v>5</v>
      </c>
      <c r="B470" s="241" t="s">
        <v>119</v>
      </c>
      <c r="C470" s="237" t="s">
        <v>846</v>
      </c>
      <c r="D470" s="238">
        <v>0</v>
      </c>
      <c r="E470" s="238">
        <f t="shared" si="116"/>
        <v>0.17</v>
      </c>
      <c r="F470" s="238">
        <v>0.17</v>
      </c>
      <c r="G470" s="241">
        <v>510</v>
      </c>
      <c r="H470" s="241" t="s">
        <v>325</v>
      </c>
      <c r="I470" s="241"/>
      <c r="J470" s="241"/>
      <c r="K470" s="241"/>
      <c r="L470" s="241"/>
      <c r="M470" s="241"/>
      <c r="N470" s="241"/>
      <c r="O470" s="241"/>
      <c r="P470" s="241"/>
      <c r="Q470" s="237">
        <v>80420010159</v>
      </c>
      <c r="R470" s="237">
        <v>80420010404</v>
      </c>
    </row>
    <row r="471" spans="1:18" x14ac:dyDescent="0.2">
      <c r="A471" s="237">
        <v>6</v>
      </c>
      <c r="B471" s="241" t="s">
        <v>220</v>
      </c>
      <c r="C471" s="237" t="s">
        <v>846</v>
      </c>
      <c r="D471" s="238">
        <v>0</v>
      </c>
      <c r="E471" s="238">
        <f t="shared" si="116"/>
        <v>0.47</v>
      </c>
      <c r="F471" s="238">
        <v>0.47</v>
      </c>
      <c r="G471" s="241">
        <v>1410</v>
      </c>
      <c r="H471" s="241" t="s">
        <v>0</v>
      </c>
      <c r="I471" s="241"/>
      <c r="J471" s="241"/>
      <c r="K471" s="241"/>
      <c r="L471" s="241"/>
      <c r="M471" s="241"/>
      <c r="N471" s="241"/>
      <c r="O471" s="241"/>
      <c r="P471" s="241"/>
      <c r="Q471" s="237">
        <v>80420010411</v>
      </c>
      <c r="R471" s="237">
        <v>80420010419</v>
      </c>
    </row>
    <row r="472" spans="1:18" x14ac:dyDescent="0.2">
      <c r="A472" s="237">
        <v>7</v>
      </c>
      <c r="B472" s="240" t="s">
        <v>229</v>
      </c>
      <c r="C472" s="237" t="s">
        <v>846</v>
      </c>
      <c r="D472" s="238">
        <v>0</v>
      </c>
      <c r="E472" s="238">
        <f t="shared" si="116"/>
        <v>0.02</v>
      </c>
      <c r="F472" s="238">
        <v>0.02</v>
      </c>
      <c r="G472" s="239">
        <v>60</v>
      </c>
      <c r="H472" s="240" t="s">
        <v>325</v>
      </c>
      <c r="I472" s="240"/>
      <c r="J472" s="240"/>
      <c r="K472" s="240"/>
      <c r="L472" s="240"/>
      <c r="M472" s="240"/>
      <c r="N472" s="240"/>
      <c r="O472" s="240"/>
      <c r="P472" s="240"/>
      <c r="Q472" s="237">
        <v>80420010414</v>
      </c>
      <c r="R472" s="237">
        <v>80420010422</v>
      </c>
    </row>
    <row r="473" spans="1:18" x14ac:dyDescent="0.2">
      <c r="A473" s="237">
        <v>8</v>
      </c>
      <c r="B473" s="241" t="s">
        <v>221</v>
      </c>
      <c r="C473" s="237" t="s">
        <v>846</v>
      </c>
      <c r="D473" s="238">
        <v>0</v>
      </c>
      <c r="E473" s="238">
        <f t="shared" si="116"/>
        <v>0.56999999999999995</v>
      </c>
      <c r="F473" s="238">
        <v>0.56999999999999995</v>
      </c>
      <c r="G473" s="241">
        <v>3420</v>
      </c>
      <c r="H473" s="241" t="s">
        <v>0</v>
      </c>
      <c r="I473" s="241"/>
      <c r="J473" s="241"/>
      <c r="K473" s="241"/>
      <c r="L473" s="241"/>
      <c r="M473" s="241"/>
      <c r="N473" s="241"/>
      <c r="O473" s="241"/>
      <c r="P473" s="241"/>
      <c r="Q473" s="237">
        <v>80420010500</v>
      </c>
      <c r="R473" s="237">
        <v>80420010500</v>
      </c>
    </row>
    <row r="474" spans="1:18" x14ac:dyDescent="0.2">
      <c r="A474" s="229">
        <v>9</v>
      </c>
      <c r="B474" s="230" t="s">
        <v>87</v>
      </c>
      <c r="C474" s="237" t="s">
        <v>846</v>
      </c>
      <c r="D474" s="238">
        <v>0</v>
      </c>
      <c r="E474" s="238">
        <f t="shared" si="116"/>
        <v>0.22500000000000001</v>
      </c>
      <c r="F474" s="238">
        <v>0.22500000000000001</v>
      </c>
      <c r="G474" s="241">
        <v>675</v>
      </c>
      <c r="H474" s="241" t="s">
        <v>0</v>
      </c>
      <c r="I474" s="241"/>
      <c r="J474" s="241"/>
      <c r="K474" s="241"/>
      <c r="L474" s="241"/>
      <c r="M474" s="241"/>
      <c r="N474" s="241"/>
      <c r="O474" s="241"/>
      <c r="P474" s="241"/>
      <c r="Q474" s="237">
        <v>80420010406</v>
      </c>
      <c r="R474" s="237">
        <v>80420010412</v>
      </c>
    </row>
    <row r="475" spans="1:18" x14ac:dyDescent="0.2">
      <c r="A475" s="242"/>
      <c r="B475" s="243"/>
      <c r="C475" s="237" t="s">
        <v>846</v>
      </c>
      <c r="D475" s="238">
        <f>E474</f>
        <v>0.22500000000000001</v>
      </c>
      <c r="E475" s="238">
        <f t="shared" si="116"/>
        <v>0.28500000000000003</v>
      </c>
      <c r="F475" s="238">
        <v>0.06</v>
      </c>
      <c r="G475" s="241">
        <v>180</v>
      </c>
      <c r="H475" s="241" t="s">
        <v>0</v>
      </c>
      <c r="I475" s="241"/>
      <c r="J475" s="241"/>
      <c r="K475" s="241"/>
      <c r="L475" s="241"/>
      <c r="M475" s="241"/>
      <c r="N475" s="241"/>
      <c r="O475" s="241"/>
      <c r="P475" s="241"/>
      <c r="Q475" s="237">
        <v>80420010406</v>
      </c>
      <c r="R475" s="237">
        <v>80420010413</v>
      </c>
    </row>
    <row r="476" spans="1:18" x14ac:dyDescent="0.2">
      <c r="A476" s="237">
        <v>10</v>
      </c>
      <c r="B476" s="240" t="s">
        <v>78</v>
      </c>
      <c r="C476" s="237" t="s">
        <v>846</v>
      </c>
      <c r="D476" s="238">
        <v>0</v>
      </c>
      <c r="E476" s="238">
        <f t="shared" si="116"/>
        <v>0.06</v>
      </c>
      <c r="F476" s="238">
        <v>0.06</v>
      </c>
      <c r="G476" s="239">
        <v>180</v>
      </c>
      <c r="H476" s="240" t="s">
        <v>325</v>
      </c>
      <c r="I476" s="240"/>
      <c r="J476" s="240"/>
      <c r="K476" s="240"/>
      <c r="L476" s="240"/>
      <c r="M476" s="240"/>
      <c r="N476" s="240"/>
      <c r="O476" s="240"/>
      <c r="P476" s="240"/>
      <c r="Q476" s="237">
        <v>80420010410</v>
      </c>
      <c r="R476" s="237">
        <v>80420010418</v>
      </c>
    </row>
    <row r="477" spans="1:18" x14ac:dyDescent="0.2">
      <c r="A477" s="237">
        <v>11</v>
      </c>
      <c r="B477" s="241" t="s">
        <v>222</v>
      </c>
      <c r="C477" s="237" t="s">
        <v>846</v>
      </c>
      <c r="D477" s="238">
        <v>0</v>
      </c>
      <c r="E477" s="238">
        <f t="shared" si="116"/>
        <v>0.4</v>
      </c>
      <c r="F477" s="238">
        <v>0.4</v>
      </c>
      <c r="G477" s="241">
        <v>1200</v>
      </c>
      <c r="H477" s="241" t="s">
        <v>0</v>
      </c>
      <c r="I477" s="241"/>
      <c r="J477" s="241"/>
      <c r="K477" s="241"/>
      <c r="L477" s="241"/>
      <c r="M477" s="241"/>
      <c r="N477" s="241"/>
      <c r="O477" s="241"/>
      <c r="P477" s="241"/>
      <c r="Q477" s="237">
        <v>80420010155</v>
      </c>
      <c r="R477" s="237">
        <v>80420010393</v>
      </c>
    </row>
    <row r="478" spans="1:18" x14ac:dyDescent="0.2">
      <c r="A478" s="229">
        <v>12</v>
      </c>
      <c r="B478" s="230" t="s">
        <v>70</v>
      </c>
      <c r="C478" s="237" t="s">
        <v>846</v>
      </c>
      <c r="D478" s="238">
        <v>0</v>
      </c>
      <c r="E478" s="238">
        <f t="shared" si="116"/>
        <v>0.04</v>
      </c>
      <c r="F478" s="238">
        <v>0.04</v>
      </c>
      <c r="G478" s="241">
        <v>120</v>
      </c>
      <c r="H478" s="241" t="s">
        <v>0</v>
      </c>
      <c r="I478" s="241"/>
      <c r="J478" s="241"/>
      <c r="K478" s="241"/>
      <c r="L478" s="241"/>
      <c r="M478" s="241"/>
      <c r="N478" s="241"/>
      <c r="O478" s="241"/>
      <c r="P478" s="241"/>
      <c r="Q478" s="237">
        <v>80420010406</v>
      </c>
      <c r="R478" s="237">
        <v>80420010414</v>
      </c>
    </row>
    <row r="479" spans="1:18" x14ac:dyDescent="0.2">
      <c r="A479" s="242"/>
      <c r="B479" s="243"/>
      <c r="C479" s="237" t="s">
        <v>846</v>
      </c>
      <c r="D479" s="238">
        <f>E478</f>
        <v>0.04</v>
      </c>
      <c r="E479" s="238">
        <f t="shared" si="116"/>
        <v>0.23</v>
      </c>
      <c r="F479" s="238">
        <v>0.19</v>
      </c>
      <c r="G479" s="241">
        <v>570</v>
      </c>
      <c r="H479" s="241" t="s">
        <v>0</v>
      </c>
      <c r="I479" s="241"/>
      <c r="J479" s="241"/>
      <c r="K479" s="241"/>
      <c r="L479" s="241"/>
      <c r="M479" s="241"/>
      <c r="N479" s="241"/>
      <c r="O479" s="241"/>
      <c r="P479" s="241"/>
      <c r="Q479" s="237">
        <v>80420010275</v>
      </c>
      <c r="R479" s="237">
        <v>80420010405</v>
      </c>
    </row>
    <row r="480" spans="1:18" x14ac:dyDescent="0.2">
      <c r="A480" s="237">
        <v>13</v>
      </c>
      <c r="B480" s="241" t="s">
        <v>223</v>
      </c>
      <c r="C480" s="237" t="s">
        <v>846</v>
      </c>
      <c r="D480" s="238">
        <v>0</v>
      </c>
      <c r="E480" s="238">
        <f t="shared" si="116"/>
        <v>0.14499999999999999</v>
      </c>
      <c r="F480" s="238">
        <v>0.14499999999999999</v>
      </c>
      <c r="G480" s="241">
        <v>435</v>
      </c>
      <c r="H480" s="241" t="s">
        <v>0</v>
      </c>
      <c r="I480" s="241"/>
      <c r="J480" s="241"/>
      <c r="K480" s="241"/>
      <c r="L480" s="241"/>
      <c r="M480" s="241"/>
      <c r="N480" s="241"/>
      <c r="O480" s="241"/>
      <c r="P480" s="241"/>
      <c r="Q480" s="237">
        <v>80420010407</v>
      </c>
      <c r="R480" s="237">
        <v>80420010415</v>
      </c>
    </row>
    <row r="481" spans="1:32" x14ac:dyDescent="0.2">
      <c r="A481" s="237">
        <v>14</v>
      </c>
      <c r="B481" s="241" t="s">
        <v>64</v>
      </c>
      <c r="C481" s="237" t="s">
        <v>846</v>
      </c>
      <c r="D481" s="238">
        <v>0</v>
      </c>
      <c r="E481" s="238">
        <f t="shared" si="116"/>
        <v>0.22500000000000001</v>
      </c>
      <c r="F481" s="238">
        <v>0.22500000000000001</v>
      </c>
      <c r="G481" s="241">
        <v>675</v>
      </c>
      <c r="H481" s="241" t="s">
        <v>0</v>
      </c>
      <c r="I481" s="241"/>
      <c r="J481" s="241"/>
      <c r="K481" s="241"/>
      <c r="L481" s="241"/>
      <c r="M481" s="241"/>
      <c r="N481" s="241"/>
      <c r="O481" s="241"/>
      <c r="P481" s="241"/>
      <c r="Q481" s="237">
        <v>80420010158</v>
      </c>
      <c r="R481" s="237">
        <v>80420010403</v>
      </c>
    </row>
    <row r="482" spans="1:32" x14ac:dyDescent="0.2">
      <c r="A482" s="237">
        <v>15</v>
      </c>
      <c r="B482" s="241" t="s">
        <v>52</v>
      </c>
      <c r="C482" s="237" t="s">
        <v>846</v>
      </c>
      <c r="D482" s="238">
        <v>0</v>
      </c>
      <c r="E482" s="238">
        <f t="shared" si="116"/>
        <v>0.2</v>
      </c>
      <c r="F482" s="238">
        <v>0.2</v>
      </c>
      <c r="G482" s="241">
        <v>600</v>
      </c>
      <c r="H482" s="241" t="s">
        <v>0</v>
      </c>
      <c r="I482" s="241"/>
      <c r="J482" s="241"/>
      <c r="K482" s="241"/>
      <c r="L482" s="241"/>
      <c r="M482" s="241"/>
      <c r="N482" s="241"/>
      <c r="O482" s="241"/>
      <c r="P482" s="241"/>
      <c r="Q482" s="237">
        <v>80420010395</v>
      </c>
      <c r="R482" s="237">
        <v>80420010408</v>
      </c>
    </row>
    <row r="483" spans="1:32" x14ac:dyDescent="0.2">
      <c r="A483" s="237">
        <v>16</v>
      </c>
      <c r="B483" s="241" t="s">
        <v>3</v>
      </c>
      <c r="C483" s="237" t="s">
        <v>846</v>
      </c>
      <c r="D483" s="238">
        <v>0</v>
      </c>
      <c r="E483" s="238">
        <f t="shared" si="116"/>
        <v>0.17</v>
      </c>
      <c r="F483" s="238">
        <v>0.17</v>
      </c>
      <c r="G483" s="241">
        <v>510</v>
      </c>
      <c r="H483" s="241" t="s">
        <v>0</v>
      </c>
      <c r="I483" s="241"/>
      <c r="J483" s="241"/>
      <c r="K483" s="241"/>
      <c r="L483" s="241"/>
      <c r="M483" s="241"/>
      <c r="N483" s="241"/>
      <c r="O483" s="241"/>
      <c r="P483" s="241"/>
      <c r="Q483" s="237">
        <v>80420010390</v>
      </c>
      <c r="R483" s="237">
        <v>80420010390</v>
      </c>
    </row>
    <row r="484" spans="1:32" x14ac:dyDescent="0.2">
      <c r="A484" s="237">
        <v>17</v>
      </c>
      <c r="B484" s="241" t="s">
        <v>224</v>
      </c>
      <c r="C484" s="237" t="s">
        <v>846</v>
      </c>
      <c r="D484" s="238">
        <v>0</v>
      </c>
      <c r="E484" s="238">
        <f t="shared" si="116"/>
        <v>0.22</v>
      </c>
      <c r="F484" s="238">
        <v>0.22</v>
      </c>
      <c r="G484" s="241">
        <v>660</v>
      </c>
      <c r="H484" s="241" t="s">
        <v>0</v>
      </c>
      <c r="I484" s="241"/>
      <c r="J484" s="241"/>
      <c r="K484" s="241"/>
      <c r="L484" s="241"/>
      <c r="M484" s="241"/>
      <c r="N484" s="241"/>
      <c r="O484" s="241"/>
      <c r="P484" s="241"/>
      <c r="Q484" s="237">
        <v>80420010413</v>
      </c>
      <c r="R484" s="237">
        <v>80420010421</v>
      </c>
    </row>
    <row r="485" spans="1:32" x14ac:dyDescent="0.2">
      <c r="A485" s="242">
        <v>18</v>
      </c>
      <c r="B485" s="243" t="s">
        <v>225</v>
      </c>
      <c r="C485" s="237" t="s">
        <v>846</v>
      </c>
      <c r="D485" s="238">
        <f>E484</f>
        <v>0.22</v>
      </c>
      <c r="E485" s="238">
        <f t="shared" si="116"/>
        <v>0.44</v>
      </c>
      <c r="F485" s="238">
        <v>0.22</v>
      </c>
      <c r="G485" s="241">
        <v>660</v>
      </c>
      <c r="H485" s="241" t="s">
        <v>0</v>
      </c>
      <c r="I485" s="241"/>
      <c r="J485" s="241"/>
      <c r="K485" s="241"/>
      <c r="L485" s="241"/>
      <c r="M485" s="241"/>
      <c r="N485" s="241"/>
      <c r="O485" s="241"/>
      <c r="P485" s="241"/>
      <c r="Q485" s="237">
        <v>80420010398</v>
      </c>
      <c r="R485" s="237">
        <v>80420010398</v>
      </c>
    </row>
    <row r="486" spans="1:32" x14ac:dyDescent="0.2">
      <c r="A486" s="237">
        <v>19</v>
      </c>
      <c r="B486" s="241" t="s">
        <v>226</v>
      </c>
      <c r="C486" s="237" t="s">
        <v>846</v>
      </c>
      <c r="D486" s="238">
        <v>0</v>
      </c>
      <c r="E486" s="238">
        <f t="shared" si="116"/>
        <v>0.33500000000000002</v>
      </c>
      <c r="F486" s="238">
        <v>0.33500000000000002</v>
      </c>
      <c r="G486" s="241">
        <v>1005</v>
      </c>
      <c r="H486" s="241" t="s">
        <v>0</v>
      </c>
      <c r="I486" s="241"/>
      <c r="J486" s="241"/>
      <c r="K486" s="241"/>
      <c r="L486" s="241"/>
      <c r="M486" s="241"/>
      <c r="N486" s="241"/>
      <c r="O486" s="241"/>
      <c r="P486" s="241"/>
      <c r="Q486" s="237">
        <v>80420010403</v>
      </c>
      <c r="R486" s="237">
        <v>80420010409</v>
      </c>
    </row>
    <row r="487" spans="1:32" x14ac:dyDescent="0.2">
      <c r="A487" s="231">
        <v>20</v>
      </c>
      <c r="B487" s="232" t="s">
        <v>32</v>
      </c>
      <c r="C487" s="237" t="s">
        <v>846</v>
      </c>
      <c r="D487" s="238">
        <v>0</v>
      </c>
      <c r="E487" s="238">
        <f t="shared" si="116"/>
        <v>0.16500000000000001</v>
      </c>
      <c r="F487" s="238">
        <v>0.16500000000000001</v>
      </c>
      <c r="G487" s="241">
        <v>495</v>
      </c>
      <c r="H487" s="241" t="s">
        <v>0</v>
      </c>
      <c r="I487" s="241"/>
      <c r="J487" s="241"/>
      <c r="K487" s="241"/>
      <c r="L487" s="241"/>
      <c r="M487" s="241"/>
      <c r="N487" s="241"/>
      <c r="O487" s="241"/>
      <c r="P487" s="241"/>
      <c r="Q487" s="237">
        <v>80420010409</v>
      </c>
      <c r="R487" s="237">
        <v>80420010417</v>
      </c>
    </row>
    <row r="488" spans="1:32" x14ac:dyDescent="0.2">
      <c r="A488" s="237">
        <v>21</v>
      </c>
      <c r="B488" s="241" t="s">
        <v>31</v>
      </c>
      <c r="C488" s="237" t="s">
        <v>846</v>
      </c>
      <c r="D488" s="238">
        <v>0</v>
      </c>
      <c r="E488" s="238">
        <f t="shared" si="116"/>
        <v>0.2</v>
      </c>
      <c r="F488" s="238">
        <v>0.2</v>
      </c>
      <c r="G488" s="241">
        <v>600</v>
      </c>
      <c r="H488" s="241" t="s">
        <v>0</v>
      </c>
      <c r="I488" s="241"/>
      <c r="J488" s="241"/>
      <c r="K488" s="241"/>
      <c r="L488" s="241"/>
      <c r="M488" s="241"/>
      <c r="N488" s="241"/>
      <c r="O488" s="241"/>
      <c r="P488" s="241"/>
      <c r="Q488" s="237">
        <v>80420010388</v>
      </c>
      <c r="R488" s="237">
        <v>80420010388</v>
      </c>
    </row>
    <row r="489" spans="1:32" x14ac:dyDescent="0.2">
      <c r="A489" s="229">
        <v>22</v>
      </c>
      <c r="B489" s="230" t="s">
        <v>227</v>
      </c>
      <c r="C489" s="237" t="s">
        <v>846</v>
      </c>
      <c r="D489" s="238">
        <v>0</v>
      </c>
      <c r="E489" s="238">
        <f t="shared" si="116"/>
        <v>1.4999999999999999E-2</v>
      </c>
      <c r="F489" s="238">
        <v>1.4999999999999999E-2</v>
      </c>
      <c r="G489" s="241">
        <v>45</v>
      </c>
      <c r="H489" s="241" t="s">
        <v>0</v>
      </c>
      <c r="I489" s="241"/>
      <c r="J489" s="241"/>
      <c r="K489" s="241"/>
      <c r="L489" s="241"/>
      <c r="M489" s="241"/>
      <c r="N489" s="241"/>
      <c r="O489" s="241"/>
      <c r="P489" s="241"/>
      <c r="Q489" s="237">
        <v>80420010401</v>
      </c>
      <c r="R489" s="237">
        <v>80420010401</v>
      </c>
    </row>
    <row r="490" spans="1:32" x14ac:dyDescent="0.2">
      <c r="A490" s="234"/>
      <c r="B490" s="236"/>
      <c r="C490" s="237" t="s">
        <v>846</v>
      </c>
      <c r="D490" s="238">
        <f>E489</f>
        <v>1.4999999999999999E-2</v>
      </c>
      <c r="E490" s="238">
        <f t="shared" si="116"/>
        <v>0.24</v>
      </c>
      <c r="F490" s="238">
        <v>0.22500000000000001</v>
      </c>
      <c r="G490" s="241">
        <v>675</v>
      </c>
      <c r="H490" s="241" t="s">
        <v>0</v>
      </c>
      <c r="I490" s="241"/>
      <c r="J490" s="241"/>
      <c r="K490" s="241"/>
      <c r="L490" s="241"/>
      <c r="M490" s="241"/>
      <c r="N490" s="241"/>
      <c r="O490" s="241"/>
      <c r="P490" s="241"/>
      <c r="Q490" s="237">
        <v>80420010399</v>
      </c>
      <c r="R490" s="237">
        <v>80420010399</v>
      </c>
    </row>
    <row r="491" spans="1:32" x14ac:dyDescent="0.2">
      <c r="A491" s="242"/>
      <c r="B491" s="243"/>
      <c r="C491" s="237" t="s">
        <v>846</v>
      </c>
      <c r="D491" s="238">
        <f>E490</f>
        <v>0.24</v>
      </c>
      <c r="E491" s="238">
        <f t="shared" si="116"/>
        <v>0.30499999999999999</v>
      </c>
      <c r="F491" s="238">
        <v>6.5000000000000002E-2</v>
      </c>
      <c r="G491" s="241">
        <v>195</v>
      </c>
      <c r="H491" s="241" t="s">
        <v>0</v>
      </c>
      <c r="I491" s="241"/>
      <c r="J491" s="241"/>
      <c r="K491" s="241"/>
      <c r="L491" s="241"/>
      <c r="M491" s="241"/>
      <c r="N491" s="241"/>
      <c r="O491" s="241"/>
      <c r="P491" s="241"/>
      <c r="Q491" s="237">
        <v>80420010399</v>
      </c>
      <c r="R491" s="237">
        <v>80420010275</v>
      </c>
    </row>
    <row r="492" spans="1:32" x14ac:dyDescent="0.2">
      <c r="A492" s="229">
        <v>23</v>
      </c>
      <c r="B492" s="230" t="s">
        <v>159</v>
      </c>
      <c r="C492" s="237" t="s">
        <v>846</v>
      </c>
      <c r="D492" s="238">
        <v>0</v>
      </c>
      <c r="E492" s="238">
        <f t="shared" si="116"/>
        <v>0.14499999999999999</v>
      </c>
      <c r="F492" s="238">
        <v>0.14499999999999999</v>
      </c>
      <c r="G492" s="241">
        <v>435</v>
      </c>
      <c r="H492" s="241" t="s">
        <v>0</v>
      </c>
      <c r="I492" s="241"/>
      <c r="J492" s="241"/>
      <c r="K492" s="241"/>
      <c r="L492" s="241"/>
      <c r="M492" s="241"/>
      <c r="N492" s="241"/>
      <c r="O492" s="241"/>
      <c r="P492" s="241"/>
      <c r="Q492" s="237">
        <v>80420010408</v>
      </c>
      <c r="R492" s="237">
        <v>80420010416</v>
      </c>
    </row>
    <row r="493" spans="1:32" x14ac:dyDescent="0.2">
      <c r="A493" s="242"/>
      <c r="B493" s="243"/>
      <c r="C493" s="237" t="s">
        <v>846</v>
      </c>
      <c r="D493" s="238">
        <f>E492</f>
        <v>0.14499999999999999</v>
      </c>
      <c r="E493" s="238">
        <f t="shared" si="116"/>
        <v>0.20499999999999999</v>
      </c>
      <c r="F493" s="238">
        <v>0.06</v>
      </c>
      <c r="G493" s="241">
        <v>180</v>
      </c>
      <c r="H493" s="241" t="s">
        <v>0</v>
      </c>
      <c r="I493" s="241"/>
      <c r="J493" s="241"/>
      <c r="K493" s="241"/>
      <c r="L493" s="241"/>
      <c r="M493" s="241"/>
      <c r="N493" s="241"/>
      <c r="O493" s="241"/>
      <c r="P493" s="241"/>
      <c r="Q493" s="237">
        <v>80420010155</v>
      </c>
      <c r="R493" s="237">
        <v>80420010393</v>
      </c>
    </row>
    <row r="494" spans="1:32" x14ac:dyDescent="0.2">
      <c r="A494" s="237">
        <v>24</v>
      </c>
      <c r="B494" s="241" t="s">
        <v>11</v>
      </c>
      <c r="C494" s="237" t="s">
        <v>846</v>
      </c>
      <c r="D494" s="238">
        <v>0</v>
      </c>
      <c r="E494" s="238">
        <f t="shared" si="116"/>
        <v>0.22500000000000001</v>
      </c>
      <c r="F494" s="238">
        <v>0.22500000000000001</v>
      </c>
      <c r="G494" s="241">
        <v>675</v>
      </c>
      <c r="H494" s="241" t="s">
        <v>0</v>
      </c>
      <c r="I494" s="241"/>
      <c r="J494" s="241"/>
      <c r="K494" s="241"/>
      <c r="L494" s="241"/>
      <c r="M494" s="241"/>
      <c r="N494" s="241"/>
      <c r="O494" s="241"/>
      <c r="P494" s="241"/>
      <c r="Q494" s="237">
        <v>80420010405</v>
      </c>
      <c r="R494" s="237">
        <v>80420010411</v>
      </c>
    </row>
    <row r="495" spans="1:32" ht="15" x14ac:dyDescent="0.25">
      <c r="A495" s="237">
        <v>25</v>
      </c>
      <c r="B495" s="241" t="s">
        <v>158</v>
      </c>
      <c r="C495" s="237" t="s">
        <v>846</v>
      </c>
      <c r="D495" s="238">
        <v>0</v>
      </c>
      <c r="E495" s="238">
        <f t="shared" si="116"/>
        <v>0.2</v>
      </c>
      <c r="F495" s="238">
        <v>0.2</v>
      </c>
      <c r="G495" s="241">
        <v>600</v>
      </c>
      <c r="H495" s="241" t="s">
        <v>0</v>
      </c>
      <c r="I495" s="241"/>
      <c r="J495" s="241"/>
      <c r="K495" s="241"/>
      <c r="L495" s="241"/>
      <c r="M495" s="241"/>
      <c r="N495" s="241"/>
      <c r="O495" s="241"/>
      <c r="P495" s="241"/>
      <c r="Q495" s="237">
        <v>80420010404</v>
      </c>
      <c r="R495" s="237">
        <v>80420010410</v>
      </c>
      <c r="S495"/>
      <c r="T495"/>
      <c r="U495"/>
      <c r="V495"/>
      <c r="W495"/>
      <c r="X495"/>
      <c r="Y495"/>
      <c r="Z495"/>
      <c r="AA495" t="s">
        <v>1097</v>
      </c>
      <c r="AB495"/>
      <c r="AC495"/>
      <c r="AD495"/>
      <c r="AE495"/>
      <c r="AF495"/>
    </row>
    <row r="496" spans="1:32" ht="12.75" customHeight="1" x14ac:dyDescent="0.2">
      <c r="A496" s="137" t="s">
        <v>419</v>
      </c>
      <c r="B496" s="138"/>
      <c r="C496" s="485"/>
      <c r="D496" s="139"/>
      <c r="E496" s="140"/>
      <c r="F496" s="141">
        <f>SUM(F466:F495)</f>
        <v>6.7149999999999981</v>
      </c>
      <c r="G496" s="142">
        <f>SUM(G466:G495)</f>
        <v>21855</v>
      </c>
      <c r="H496" s="143"/>
      <c r="I496" s="94"/>
      <c r="J496" s="144"/>
      <c r="K496" s="145" t="s">
        <v>268</v>
      </c>
      <c r="L496" s="146">
        <f>SUM(L466:L495)</f>
        <v>0</v>
      </c>
      <c r="M496" s="146">
        <f>SUM(M466:M495)</f>
        <v>0</v>
      </c>
      <c r="N496" s="147"/>
      <c r="O496" s="145" t="s">
        <v>269</v>
      </c>
      <c r="P496" s="146">
        <f>SUM(P466:P495)</f>
        <v>0</v>
      </c>
      <c r="Q496" s="147"/>
      <c r="R496" s="147"/>
      <c r="S496" s="102"/>
      <c r="T496" s="625" t="s">
        <v>1092</v>
      </c>
      <c r="U496" s="625" t="s">
        <v>1093</v>
      </c>
      <c r="V496" s="625" t="s">
        <v>1094</v>
      </c>
      <c r="W496" s="625" t="s">
        <v>1095</v>
      </c>
      <c r="X496" s="625" t="s">
        <v>1096</v>
      </c>
      <c r="Y496" s="627" t="s">
        <v>269</v>
      </c>
      <c r="Z496" s="102"/>
      <c r="AA496" s="625" t="s">
        <v>1092</v>
      </c>
      <c r="AB496" s="625" t="s">
        <v>1093</v>
      </c>
      <c r="AC496" s="625" t="s">
        <v>1094</v>
      </c>
      <c r="AD496" s="625" t="s">
        <v>1095</v>
      </c>
      <c r="AE496" s="625" t="s">
        <v>1096</v>
      </c>
      <c r="AF496" s="627" t="s">
        <v>269</v>
      </c>
    </row>
    <row r="497" spans="1:32" ht="12.75" customHeight="1" x14ac:dyDescent="0.2">
      <c r="A497" s="148" t="s">
        <v>270</v>
      </c>
      <c r="B497" s="149"/>
      <c r="C497" s="486"/>
      <c r="D497" s="150"/>
      <c r="E497" s="151"/>
      <c r="F497" s="163">
        <v>0</v>
      </c>
      <c r="G497" s="158">
        <v>0</v>
      </c>
      <c r="H497" s="154"/>
      <c r="I497" s="155"/>
      <c r="J497" s="147"/>
      <c r="K497" s="136"/>
      <c r="L497" s="156"/>
      <c r="M497" s="156"/>
      <c r="N497" s="147"/>
      <c r="O497" s="147"/>
      <c r="P497" s="147"/>
      <c r="Q497" s="147"/>
      <c r="R497" s="147"/>
      <c r="S497" s="628" t="s">
        <v>844</v>
      </c>
      <c r="T497" s="625" t="s">
        <v>231</v>
      </c>
      <c r="U497" s="625" t="s">
        <v>231</v>
      </c>
      <c r="V497" s="625" t="s">
        <v>231</v>
      </c>
      <c r="W497" s="625" t="s">
        <v>231</v>
      </c>
      <c r="X497" s="625" t="s">
        <v>231</v>
      </c>
      <c r="Y497" s="626" t="s">
        <v>231</v>
      </c>
      <c r="Z497" s="628"/>
      <c r="AA497" s="625" t="s">
        <v>231</v>
      </c>
      <c r="AB497" s="625" t="s">
        <v>231</v>
      </c>
      <c r="AC497" s="625" t="s">
        <v>231</v>
      </c>
      <c r="AD497" s="625" t="s">
        <v>231</v>
      </c>
      <c r="AE497" s="625" t="s">
        <v>231</v>
      </c>
      <c r="AF497" s="626" t="s">
        <v>231</v>
      </c>
    </row>
    <row r="498" spans="1:32" ht="12.75" customHeight="1" x14ac:dyDescent="0.2">
      <c r="A498" s="148" t="s">
        <v>271</v>
      </c>
      <c r="B498" s="149"/>
      <c r="C498" s="486"/>
      <c r="D498" s="150"/>
      <c r="E498" s="151"/>
      <c r="F498" s="163">
        <v>0</v>
      </c>
      <c r="G498" s="158">
        <v>0</v>
      </c>
      <c r="H498" s="162"/>
      <c r="I498" s="94"/>
      <c r="J498" s="159"/>
      <c r="K498" s="160"/>
      <c r="L498" s="160"/>
      <c r="M498" s="160"/>
      <c r="N498" s="161"/>
      <c r="O498" s="147"/>
      <c r="P498" s="147"/>
      <c r="Q498" s="147"/>
      <c r="R498" s="147"/>
      <c r="S498" s="616" t="s">
        <v>847</v>
      </c>
      <c r="T498" s="614">
        <f>SUMIFS(F461:F495,C461:C495,"A",H461:H495,"melnais")</f>
        <v>0</v>
      </c>
      <c r="U498" s="614">
        <f>SUMIFS(F461:F495,C461:C495,"A",H461:H495,"dubultā virsma")</f>
        <v>0</v>
      </c>
      <c r="V498" s="614">
        <f>SUMIFS(F461:F495,C461:C495,"A",H461:H495,"bruģis")</f>
        <v>0</v>
      </c>
      <c r="W498" s="614">
        <f>SUMIFS(F461:F495,C461:C495,"A",H461:H495,"grants")</f>
        <v>0</v>
      </c>
      <c r="X498" s="614">
        <f>SUMIFS(F461:F495,C461:C495,"A",H461:H495,"cits segums")</f>
        <v>0</v>
      </c>
      <c r="Y498" s="614">
        <f>SUM(T498:X498)</f>
        <v>0</v>
      </c>
      <c r="Z498" s="616" t="s">
        <v>847</v>
      </c>
      <c r="AA498" s="614">
        <f>SUMIFS(F461:F495,C461:C495,"A",H461:H495,"melnais", Q461:Q495,"Nepiederošs")</f>
        <v>0</v>
      </c>
      <c r="AB498" s="614">
        <f>SUMIFS(F461:F495,C461:C495,"A",H461:H495,"dubultā virsma", Q461:Q495,"Nepiederošs")</f>
        <v>0</v>
      </c>
      <c r="AC498" s="614">
        <f>SUMIFS(F461:F495,C461:C495,"A",H461:H495,"bruģis", Q461:Q495,"Nepiederošs")</f>
        <v>0</v>
      </c>
      <c r="AD498" s="614">
        <f>SUMIFS(F461:F495,C461:C495,"A",H461:H495,"grants", Q461:Q495,"Nepiederošs")</f>
        <v>0</v>
      </c>
      <c r="AE498" s="614">
        <f>SUMIFS(F461:F495,C461:C495,"A",H461:H495,"cits segums", Q461:Q495,"Nepiederošs")</f>
        <v>0</v>
      </c>
      <c r="AF498" s="614">
        <f>SUM(AA498:AE498)</f>
        <v>0</v>
      </c>
    </row>
    <row r="499" spans="1:32" ht="12.75" customHeight="1" x14ac:dyDescent="0.2">
      <c r="A499" s="148" t="s">
        <v>272</v>
      </c>
      <c r="B499" s="149"/>
      <c r="C499" s="486"/>
      <c r="D499" s="150"/>
      <c r="E499" s="151"/>
      <c r="F499" s="163">
        <f>SUM(F466:F469)+F471+F473+F474+F475+SUM(F477:F495)</f>
        <v>6.4650000000000007</v>
      </c>
      <c r="G499" s="192">
        <f>SUM(G466:G469)+G471+G473+G474+G475+SUM(G477:G495)</f>
        <v>21105</v>
      </c>
      <c r="H499" s="162"/>
      <c r="I499" s="162"/>
      <c r="J499" s="159"/>
      <c r="K499" s="160"/>
      <c r="L499" s="160"/>
      <c r="M499" s="160"/>
      <c r="N499" s="161"/>
      <c r="O499" s="147"/>
      <c r="P499" s="147"/>
      <c r="Q499" s="147"/>
      <c r="R499" s="147"/>
      <c r="S499" s="617" t="s">
        <v>848</v>
      </c>
      <c r="T499" s="614">
        <f>SUMIFS(F461:F495,C461:C495,"B",H461:H495,"melnais")</f>
        <v>0</v>
      </c>
      <c r="U499" s="614">
        <f>SUMIFS(F461:F495,C461:C495,"B",H461:H495,"dubultā virsma")</f>
        <v>0</v>
      </c>
      <c r="V499" s="614">
        <f>SUMIFS(F461:F495,C461:C495,"B",H461:H495,"bruģis")</f>
        <v>0</v>
      </c>
      <c r="W499" s="614">
        <f>SUMIFS(F461:F495,C461:C495,"B",H461:H495,"grants")</f>
        <v>0</v>
      </c>
      <c r="X499" s="614">
        <f>SUMIFS(F461:F495,C461:C495,"B",H461:H495,"cits segums")</f>
        <v>0</v>
      </c>
      <c r="Y499" s="614">
        <f t="shared" ref="Y499:Y501" si="117">SUM(T499:X499)</f>
        <v>0</v>
      </c>
      <c r="Z499" s="617" t="s">
        <v>848</v>
      </c>
      <c r="AA499" s="614">
        <f>SUMIFS(F461:F495,C461:C495,"B",H461:H495,"melnais", Q461:Q495,"Nepiederošs")</f>
        <v>0</v>
      </c>
      <c r="AB499" s="614">
        <f>SUMIFS(F461:F495,C461:C495,"B",H461:H495,"dubultā virsma", Q461:Q495,"Nepiederošs")</f>
        <v>0</v>
      </c>
      <c r="AC499" s="614">
        <f>SUMIFS(F461:F495,C461:C495,"B",H461:H495,"bruģis", Q461:Q495,"Nepiederošs")</f>
        <v>0</v>
      </c>
      <c r="AD499" s="614">
        <f>SUMIFS(F461:F495,C461:C495,"B",H461:H495,"grants", Q461:Q495,"Nepiederošs")</f>
        <v>0</v>
      </c>
      <c r="AE499" s="614">
        <f>SUMIFS(F461:F495,C461:C495,"B",H461:H495,"cits segums", Q461:Q495,"Nepiederošs")</f>
        <v>0</v>
      </c>
      <c r="AF499" s="614">
        <f t="shared" ref="AF499:AF501" si="118">SUM(AA499:AE499)</f>
        <v>0</v>
      </c>
    </row>
    <row r="500" spans="1:32" ht="12.75" customHeight="1" x14ac:dyDescent="0.2">
      <c r="A500" s="148" t="s">
        <v>401</v>
      </c>
      <c r="B500" s="149"/>
      <c r="C500" s="486"/>
      <c r="D500" s="150"/>
      <c r="E500" s="151"/>
      <c r="F500" s="163">
        <f>F476+F472+F470</f>
        <v>0.25</v>
      </c>
      <c r="G500" s="192">
        <f>G476+G472+G470</f>
        <v>750</v>
      </c>
      <c r="H500" s="165"/>
      <c r="I500" s="162"/>
      <c r="J500" s="166"/>
      <c r="K500" s="160"/>
      <c r="L500" s="160"/>
      <c r="M500" s="160"/>
      <c r="N500" s="161"/>
      <c r="O500" s="147"/>
      <c r="P500" s="147"/>
      <c r="Q500" s="147"/>
      <c r="R500" s="147"/>
      <c r="S500" s="615" t="s">
        <v>845</v>
      </c>
      <c r="T500" s="614">
        <f>SUMIFS(F461:F495,C461:C495,"C",H461:H495,"melnais")</f>
        <v>0</v>
      </c>
      <c r="U500" s="614">
        <f>SUMIFS(F461:F495,C461:C495,"C",H461:H495,"dubultā virsma")</f>
        <v>0</v>
      </c>
      <c r="V500" s="614">
        <f>SUMIFS(F461:F495,C461:C495,"C",H461:H495,"bruģis")</f>
        <v>0</v>
      </c>
      <c r="W500" s="614">
        <f>SUMIFS(F461:F495,C461:C495,"C",H461:H495,"grants")</f>
        <v>0</v>
      </c>
      <c r="X500" s="614">
        <f>SUMIFS(F461:F495,C461:C495,"C",H461:H495,"cits segums")</f>
        <v>0</v>
      </c>
      <c r="Y500" s="614">
        <f t="shared" si="117"/>
        <v>0</v>
      </c>
      <c r="Z500" s="615" t="s">
        <v>845</v>
      </c>
      <c r="AA500" s="614">
        <f>SUMIFS(F461:F495,C461:C495,"C",H461:H495,"melnais", Q461:Q495,"Nepiederošs")</f>
        <v>0</v>
      </c>
      <c r="AB500" s="614">
        <f>SUMIFS(F461:F495,C461:C495,"C",H461:H495,"dubultā virsma", Q461:Q495,"Nepiederošs")</f>
        <v>0</v>
      </c>
      <c r="AC500" s="614">
        <f>SUMIFS(F461:F495,C461:C495,"C",H461:H495,"bruģis", Q461:Q495,"Nepiederošs")</f>
        <v>0</v>
      </c>
      <c r="AD500" s="614">
        <f>SUMIFS(F461:F495,C461:C495,"C",H461:H495,"grants", Q461:Q495,"Nepiederošs")</f>
        <v>0</v>
      </c>
      <c r="AE500" s="614">
        <f>SUMIFS(F461:F495,C461:C495,"C",H461:H495,"cits segums", Q461:Q495,"Nepiederošs")</f>
        <v>0</v>
      </c>
      <c r="AF500" s="614">
        <f t="shared" si="118"/>
        <v>0</v>
      </c>
    </row>
    <row r="501" spans="1:32" x14ac:dyDescent="0.2">
      <c r="C501" s="33"/>
      <c r="S501" s="616" t="s">
        <v>846</v>
      </c>
      <c r="T501" s="614">
        <f>SUMIFS(F461:F495,C461:C495,"D",H461:H495,"melnais")</f>
        <v>0</v>
      </c>
      <c r="U501" s="614">
        <f>SUMIFS(F461:F495,C461:C495,"D",H461:H495,"dubultā virsma")</f>
        <v>0</v>
      </c>
      <c r="V501" s="614">
        <f>SUMIFS(F461:F495,C461:C495,"D",H461:H495,"bruģis")</f>
        <v>0</v>
      </c>
      <c r="W501" s="614">
        <f>SUMIFS(F461:F495,C461:C495,"D",H461:H495,"grants")</f>
        <v>6.4649999999999981</v>
      </c>
      <c r="X501" s="614">
        <f>SUMIFS(F461:F495,C461:C495,"D",H461:H495,"cits segums")</f>
        <v>0.25</v>
      </c>
      <c r="Y501" s="614">
        <f t="shared" si="117"/>
        <v>6.7149999999999981</v>
      </c>
      <c r="Z501" s="616" t="s">
        <v>846</v>
      </c>
      <c r="AA501" s="614">
        <f>SUMIFS(F461:F495,C461:C495,"D",H461:H495,"melnais", Q461:Q495,"Nepiederošs")</f>
        <v>0</v>
      </c>
      <c r="AB501" s="614">
        <f>SUMIFS(F461:F495,C461:C495,"D",H461:H495,"dubultā virsma", Q461:Q495,"Nepiederošs")</f>
        <v>0</v>
      </c>
      <c r="AC501" s="614">
        <f>SUMIFS(F461:F495,C461:C495,"D",H461:H495,"bruģis", Q461:Q495,"Nepiederošs")</f>
        <v>0</v>
      </c>
      <c r="AD501" s="614">
        <f>SUMIFS(F461:F495,C461:C495,"D",H461:H495,"grants", Q461:Q495,"Nepiederošs")</f>
        <v>0</v>
      </c>
      <c r="AE501" s="614">
        <f>SUMIFS(F461:F495,C461:C495,"D",H461:H495,"cits segums", Q461:Q495,"Nepiederošs")</f>
        <v>0</v>
      </c>
      <c r="AF501" s="614">
        <f t="shared" si="118"/>
        <v>0</v>
      </c>
    </row>
    <row r="502" spans="1:32" s="38" customFormat="1" ht="15" customHeight="1" x14ac:dyDescent="0.25">
      <c r="A502" s="33"/>
      <c r="C502" s="487"/>
      <c r="D502" s="813" t="s">
        <v>1072</v>
      </c>
      <c r="E502" s="813"/>
      <c r="F502" s="813"/>
      <c r="G502" s="813"/>
      <c r="H502" s="813"/>
      <c r="I502" s="813"/>
      <c r="J502" s="813"/>
      <c r="K502" s="813"/>
      <c r="L502" s="813"/>
      <c r="M502" s="813"/>
      <c r="N502" s="813"/>
      <c r="O502" s="813"/>
      <c r="P502" s="813"/>
      <c r="Q502" s="30"/>
      <c r="R502" s="37"/>
      <c r="S502" s="637"/>
      <c r="T502" s="629">
        <f>SUM(T498:T501)</f>
        <v>0</v>
      </c>
      <c r="U502" s="629">
        <f t="shared" ref="U502" si="119">SUM(U498:U501)</f>
        <v>0</v>
      </c>
      <c r="V502" s="629">
        <f t="shared" ref="V502" si="120">SUM(V498:V501)</f>
        <v>0</v>
      </c>
      <c r="W502" s="629">
        <f t="shared" ref="W502" si="121">SUM(W498:W501)</f>
        <v>6.4649999999999981</v>
      </c>
      <c r="X502" s="629">
        <f t="shared" ref="X502" si="122">SUM(X498:X501)</f>
        <v>0.25</v>
      </c>
      <c r="Y502" s="629">
        <f t="shared" ref="Y502" si="123">SUM(Y498:Y501)</f>
        <v>6.7149999999999981</v>
      </c>
      <c r="Z502"/>
      <c r="AA502" s="629">
        <f>SUM(AA498:AA501)</f>
        <v>0</v>
      </c>
      <c r="AB502" s="629">
        <f t="shared" ref="AB502" si="124">SUM(AB498:AB501)</f>
        <v>0</v>
      </c>
      <c r="AC502" s="629">
        <f>SUM(AC498:AC501)</f>
        <v>0</v>
      </c>
      <c r="AD502" s="629">
        <f t="shared" ref="AD502" si="125">SUM(AD498:AD501)</f>
        <v>0</v>
      </c>
      <c r="AE502" s="629">
        <f t="shared" ref="AE502" si="126">SUM(AE498:AE501)</f>
        <v>0</v>
      </c>
      <c r="AF502" s="629">
        <f t="shared" ref="AF502" si="127">SUM(AF498:AF501)</f>
        <v>0</v>
      </c>
    </row>
    <row r="503" spans="1:32" ht="12.75" customHeight="1" x14ac:dyDescent="0.2">
      <c r="A503" s="818" t="s">
        <v>244</v>
      </c>
      <c r="B503" s="825" t="s">
        <v>388</v>
      </c>
      <c r="C503" s="482"/>
      <c r="D503" s="826" t="s">
        <v>246</v>
      </c>
      <c r="E503" s="827"/>
      <c r="F503" s="827"/>
      <c r="G503" s="827"/>
      <c r="H503" s="827"/>
      <c r="I503" s="827"/>
      <c r="J503" s="827"/>
      <c r="K503" s="827"/>
      <c r="L503" s="827"/>
      <c r="M503" s="827"/>
      <c r="N503" s="827"/>
      <c r="O503" s="827"/>
      <c r="P503" s="828"/>
      <c r="Q503" s="821" t="s">
        <v>247</v>
      </c>
      <c r="R503" s="822"/>
    </row>
    <row r="504" spans="1:32" ht="12.75" customHeight="1" x14ac:dyDescent="0.2">
      <c r="A504" s="818"/>
      <c r="B504" s="825"/>
      <c r="C504" s="410"/>
      <c r="D504" s="816" t="s">
        <v>389</v>
      </c>
      <c r="E504" s="816"/>
      <c r="F504" s="816"/>
      <c r="G504" s="816"/>
      <c r="H504" s="816"/>
      <c r="I504" s="814" t="s">
        <v>249</v>
      </c>
      <c r="J504" s="814"/>
      <c r="K504" s="814"/>
      <c r="L504" s="814"/>
      <c r="M504" s="814"/>
      <c r="N504" s="814"/>
      <c r="O504" s="814"/>
      <c r="P504" s="815" t="s">
        <v>250</v>
      </c>
      <c r="Q504" s="823"/>
      <c r="R504" s="824"/>
    </row>
    <row r="505" spans="1:32" ht="15.2" customHeight="1" x14ac:dyDescent="0.2">
      <c r="A505" s="818"/>
      <c r="B505" s="825"/>
      <c r="C505" s="410"/>
      <c r="D505" s="816" t="s">
        <v>251</v>
      </c>
      <c r="E505" s="816"/>
      <c r="F505" s="817" t="s">
        <v>252</v>
      </c>
      <c r="G505" s="817" t="s">
        <v>257</v>
      </c>
      <c r="H505" s="818" t="s">
        <v>253</v>
      </c>
      <c r="I505" s="819" t="s">
        <v>254</v>
      </c>
      <c r="J505" s="814" t="s">
        <v>255</v>
      </c>
      <c r="K505" s="814"/>
      <c r="L505" s="820" t="s">
        <v>256</v>
      </c>
      <c r="M505" s="820" t="s">
        <v>257</v>
      </c>
      <c r="N505" s="820" t="s">
        <v>258</v>
      </c>
      <c r="O505" s="820" t="s">
        <v>259</v>
      </c>
      <c r="P505" s="809"/>
      <c r="Q505" s="809" t="s">
        <v>260</v>
      </c>
      <c r="R505" s="811" t="s">
        <v>261</v>
      </c>
    </row>
    <row r="506" spans="1:32" ht="33.75" customHeight="1" x14ac:dyDescent="0.2">
      <c r="A506" s="818"/>
      <c r="B506" s="825"/>
      <c r="C506" s="432" t="s">
        <v>844</v>
      </c>
      <c r="D506" s="95" t="s">
        <v>262</v>
      </c>
      <c r="E506" s="95" t="s">
        <v>263</v>
      </c>
      <c r="F506" s="817"/>
      <c r="G506" s="817"/>
      <c r="H506" s="818"/>
      <c r="I506" s="819"/>
      <c r="J506" s="96" t="s">
        <v>231</v>
      </c>
      <c r="K506" s="96" t="s">
        <v>264</v>
      </c>
      <c r="L506" s="820"/>
      <c r="M506" s="820"/>
      <c r="N506" s="820"/>
      <c r="O506" s="820"/>
      <c r="P506" s="810"/>
      <c r="Q506" s="810"/>
      <c r="R506" s="812"/>
    </row>
    <row r="507" spans="1:32" s="99" customFormat="1" ht="12" customHeight="1" x14ac:dyDescent="0.25">
      <c r="A507" s="97">
        <v>1</v>
      </c>
      <c r="B507" s="97">
        <v>2</v>
      </c>
      <c r="C507" s="97"/>
      <c r="D507" s="97">
        <v>3</v>
      </c>
      <c r="E507" s="97">
        <v>4</v>
      </c>
      <c r="F507" s="97">
        <v>5</v>
      </c>
      <c r="G507" s="97">
        <v>6</v>
      </c>
      <c r="H507" s="97">
        <v>7</v>
      </c>
      <c r="I507" s="98">
        <v>8</v>
      </c>
      <c r="J507" s="98">
        <v>9</v>
      </c>
      <c r="K507" s="98">
        <v>10</v>
      </c>
      <c r="L507" s="98">
        <v>11</v>
      </c>
      <c r="M507" s="98">
        <v>12</v>
      </c>
      <c r="N507" s="98">
        <v>13</v>
      </c>
      <c r="O507" s="98">
        <v>14</v>
      </c>
      <c r="P507" s="98">
        <v>15</v>
      </c>
      <c r="Q507" s="98">
        <v>16</v>
      </c>
      <c r="R507" s="97">
        <v>17</v>
      </c>
    </row>
    <row r="508" spans="1:32" x14ac:dyDescent="0.2">
      <c r="A508" s="167">
        <v>1</v>
      </c>
      <c r="B508" s="297" t="s">
        <v>588</v>
      </c>
      <c r="C508" s="167" t="s">
        <v>846</v>
      </c>
      <c r="D508" s="263">
        <v>0</v>
      </c>
      <c r="E508" s="263">
        <v>0.12</v>
      </c>
      <c r="F508" s="264">
        <f>E508-D508</f>
        <v>0.12</v>
      </c>
      <c r="G508" s="257">
        <v>420</v>
      </c>
      <c r="H508" s="241" t="s">
        <v>0</v>
      </c>
      <c r="I508" s="258"/>
      <c r="J508" s="259"/>
      <c r="K508" s="259"/>
      <c r="L508" s="259"/>
      <c r="M508" s="259"/>
      <c r="N508" s="259"/>
      <c r="O508" s="259"/>
      <c r="P508" s="259"/>
      <c r="Q508" s="261">
        <v>80740030773</v>
      </c>
      <c r="R508" s="262">
        <v>80740030773</v>
      </c>
    </row>
    <row r="509" spans="1:32" x14ac:dyDescent="0.2">
      <c r="A509" s="167">
        <v>2</v>
      </c>
      <c r="B509" s="298" t="s">
        <v>587</v>
      </c>
      <c r="C509" s="501" t="s">
        <v>846</v>
      </c>
      <c r="D509" s="302">
        <v>0</v>
      </c>
      <c r="E509" s="263">
        <v>0.21</v>
      </c>
      <c r="F509" s="264">
        <v>0.21</v>
      </c>
      <c r="G509" s="257">
        <v>1300</v>
      </c>
      <c r="H509" s="177" t="s">
        <v>4</v>
      </c>
      <c r="I509" s="258"/>
      <c r="J509" s="259"/>
      <c r="K509" s="259"/>
      <c r="L509" s="259"/>
      <c r="M509" s="259"/>
      <c r="N509" s="259"/>
      <c r="O509" s="259"/>
      <c r="P509" s="259"/>
      <c r="Q509" s="261">
        <v>80740030768</v>
      </c>
      <c r="R509" s="262">
        <v>80740030768</v>
      </c>
    </row>
    <row r="510" spans="1:32" x14ac:dyDescent="0.2">
      <c r="A510" s="173"/>
      <c r="B510" s="304" t="s">
        <v>238</v>
      </c>
      <c r="C510" s="501" t="s">
        <v>846</v>
      </c>
      <c r="D510" s="302">
        <v>0</v>
      </c>
      <c r="E510" s="263">
        <v>0.08</v>
      </c>
      <c r="F510" s="264">
        <v>0.08</v>
      </c>
      <c r="G510" s="257">
        <v>280</v>
      </c>
      <c r="H510" s="177" t="s">
        <v>4</v>
      </c>
      <c r="I510" s="258"/>
      <c r="J510" s="259"/>
      <c r="K510" s="259"/>
      <c r="L510" s="259"/>
      <c r="M510" s="259"/>
      <c r="N510" s="259"/>
      <c r="O510" s="259"/>
      <c r="P510" s="259"/>
      <c r="Q510" s="261">
        <v>80740030768</v>
      </c>
      <c r="R510" s="261">
        <v>80740030768</v>
      </c>
    </row>
    <row r="511" spans="1:32" x14ac:dyDescent="0.2">
      <c r="A511" s="171">
        <v>3</v>
      </c>
      <c r="B511" s="179" t="s">
        <v>131</v>
      </c>
      <c r="C511" s="501" t="s">
        <v>846</v>
      </c>
      <c r="D511" s="263">
        <v>0</v>
      </c>
      <c r="E511" s="263">
        <v>0.23</v>
      </c>
      <c r="F511" s="264">
        <v>0.23</v>
      </c>
      <c r="G511" s="257">
        <v>1150</v>
      </c>
      <c r="H511" s="241" t="s">
        <v>0</v>
      </c>
      <c r="I511" s="258"/>
      <c r="J511" s="259"/>
      <c r="K511" s="259"/>
      <c r="L511" s="259"/>
      <c r="M511" s="259"/>
      <c r="N511" s="259"/>
      <c r="O511" s="259"/>
      <c r="P511" s="259"/>
      <c r="Q511" s="261">
        <v>80740030757</v>
      </c>
      <c r="R511" s="262">
        <v>80740030757</v>
      </c>
    </row>
    <row r="512" spans="1:32" x14ac:dyDescent="0.2">
      <c r="A512" s="167">
        <v>4</v>
      </c>
      <c r="B512" s="298" t="s">
        <v>1</v>
      </c>
      <c r="C512" s="501" t="s">
        <v>846</v>
      </c>
      <c r="D512" s="302">
        <v>0</v>
      </c>
      <c r="E512" s="263">
        <v>0.16</v>
      </c>
      <c r="F512" s="264">
        <v>0.16</v>
      </c>
      <c r="G512" s="257">
        <v>1080</v>
      </c>
      <c r="H512" s="177" t="s">
        <v>4</v>
      </c>
      <c r="I512" s="258"/>
      <c r="J512" s="259"/>
      <c r="K512" s="259"/>
      <c r="L512" s="259"/>
      <c r="M512" s="259"/>
      <c r="N512" s="259"/>
      <c r="O512" s="259"/>
      <c r="P512" s="259"/>
      <c r="Q512" s="261">
        <v>80740030785</v>
      </c>
      <c r="R512" s="262">
        <v>80740030785</v>
      </c>
    </row>
    <row r="513" spans="1:18" x14ac:dyDescent="0.2">
      <c r="A513" s="173"/>
      <c r="B513" s="299"/>
      <c r="C513" s="501" t="s">
        <v>846</v>
      </c>
      <c r="D513" s="302">
        <v>0.16</v>
      </c>
      <c r="E513" s="263">
        <v>0.53</v>
      </c>
      <c r="F513" s="264">
        <v>0.37</v>
      </c>
      <c r="G513" s="257">
        <v>1935</v>
      </c>
      <c r="H513" s="241" t="s">
        <v>0</v>
      </c>
      <c r="I513" s="258"/>
      <c r="J513" s="259"/>
      <c r="K513" s="259"/>
      <c r="L513" s="259"/>
      <c r="M513" s="259"/>
      <c r="N513" s="259"/>
      <c r="O513" s="259"/>
      <c r="P513" s="259"/>
      <c r="Q513" s="261" t="s">
        <v>421</v>
      </c>
      <c r="R513" s="262">
        <v>80740030250006</v>
      </c>
    </row>
    <row r="514" spans="1:18" x14ac:dyDescent="0.2">
      <c r="A514" s="173">
        <v>5</v>
      </c>
      <c r="B514" s="202" t="s">
        <v>586</v>
      </c>
      <c r="C514" s="501" t="s">
        <v>846</v>
      </c>
      <c r="D514" s="263">
        <v>0</v>
      </c>
      <c r="E514" s="263">
        <v>0.64</v>
      </c>
      <c r="F514" s="264">
        <v>0.64</v>
      </c>
      <c r="G514" s="257">
        <v>5600</v>
      </c>
      <c r="H514" s="241" t="s">
        <v>0</v>
      </c>
      <c r="I514" s="258"/>
      <c r="J514" s="259"/>
      <c r="K514" s="259"/>
      <c r="L514" s="259"/>
      <c r="M514" s="259"/>
      <c r="N514" s="259"/>
      <c r="O514" s="259"/>
      <c r="P514" s="259"/>
      <c r="Q514" s="261">
        <v>80740030790</v>
      </c>
      <c r="R514" s="262">
        <v>80740030971</v>
      </c>
    </row>
    <row r="515" spans="1:18" x14ac:dyDescent="0.2">
      <c r="A515" s="167">
        <v>6</v>
      </c>
      <c r="B515" s="297" t="s">
        <v>585</v>
      </c>
      <c r="C515" s="501" t="s">
        <v>846</v>
      </c>
      <c r="D515" s="263">
        <v>0</v>
      </c>
      <c r="E515" s="263">
        <v>0.65</v>
      </c>
      <c r="F515" s="264">
        <v>0.65</v>
      </c>
      <c r="G515" s="257">
        <v>3900</v>
      </c>
      <c r="H515" s="177" t="s">
        <v>4</v>
      </c>
      <c r="I515" s="258"/>
      <c r="J515" s="259"/>
      <c r="K515" s="259"/>
      <c r="L515" s="259"/>
      <c r="M515" s="259"/>
      <c r="N515" s="259"/>
      <c r="O515" s="259"/>
      <c r="P515" s="259"/>
      <c r="Q515" s="261">
        <v>80740030777</v>
      </c>
      <c r="R515" s="262">
        <v>80740030777</v>
      </c>
    </row>
    <row r="516" spans="1:18" x14ac:dyDescent="0.2">
      <c r="A516" s="167">
        <v>7</v>
      </c>
      <c r="B516" s="298" t="s">
        <v>584</v>
      </c>
      <c r="C516" s="501" t="s">
        <v>846</v>
      </c>
      <c r="D516" s="302">
        <v>0</v>
      </c>
      <c r="E516" s="263">
        <v>0.1</v>
      </c>
      <c r="F516" s="264">
        <v>0.1</v>
      </c>
      <c r="G516" s="257">
        <v>600</v>
      </c>
      <c r="H516" s="177" t="s">
        <v>4</v>
      </c>
      <c r="I516" s="258"/>
      <c r="J516" s="259"/>
      <c r="K516" s="259"/>
      <c r="L516" s="259"/>
      <c r="M516" s="259"/>
      <c r="N516" s="259"/>
      <c r="O516" s="259"/>
      <c r="P516" s="259"/>
      <c r="Q516" s="261">
        <v>80740030774</v>
      </c>
      <c r="R516" s="262">
        <v>80740030774</v>
      </c>
    </row>
    <row r="517" spans="1:18" x14ac:dyDescent="0.2">
      <c r="A517" s="171"/>
      <c r="B517" s="303"/>
      <c r="C517" s="501" t="s">
        <v>846</v>
      </c>
      <c r="D517" s="302">
        <v>0.1</v>
      </c>
      <c r="E517" s="263">
        <v>0.18</v>
      </c>
      <c r="F517" s="264">
        <v>7.9999999999999988E-2</v>
      </c>
      <c r="G517" s="257">
        <v>480</v>
      </c>
      <c r="H517" s="241" t="s">
        <v>0</v>
      </c>
      <c r="I517" s="258"/>
      <c r="J517" s="259"/>
      <c r="K517" s="259"/>
      <c r="L517" s="259"/>
      <c r="M517" s="259"/>
      <c r="N517" s="259"/>
      <c r="O517" s="259"/>
      <c r="P517" s="259"/>
      <c r="Q517" s="261">
        <v>80740030774</v>
      </c>
      <c r="R517" s="262">
        <v>80740030774</v>
      </c>
    </row>
    <row r="518" spans="1:18" x14ac:dyDescent="0.2">
      <c r="A518" s="167">
        <v>8</v>
      </c>
      <c r="B518" s="298" t="s">
        <v>583</v>
      </c>
      <c r="C518" s="501" t="s">
        <v>846</v>
      </c>
      <c r="D518" s="302">
        <v>0</v>
      </c>
      <c r="E518" s="263">
        <v>0.21</v>
      </c>
      <c r="F518" s="264">
        <v>0.21</v>
      </c>
      <c r="G518" s="257">
        <v>2240</v>
      </c>
      <c r="H518" s="177" t="s">
        <v>4</v>
      </c>
      <c r="I518" s="258"/>
      <c r="J518" s="259"/>
      <c r="K518" s="259"/>
      <c r="L518" s="259"/>
      <c r="M518" s="259"/>
      <c r="N518" s="259"/>
      <c r="O518" s="259"/>
      <c r="P518" s="259"/>
      <c r="Q518" s="261">
        <v>80740030755</v>
      </c>
      <c r="R518" s="262" t="s">
        <v>422</v>
      </c>
    </row>
    <row r="519" spans="1:18" x14ac:dyDescent="0.2">
      <c r="A519" s="173"/>
      <c r="B519" s="299"/>
      <c r="C519" s="175" t="s">
        <v>846</v>
      </c>
      <c r="D519" s="302">
        <v>0.21</v>
      </c>
      <c r="E519" s="263">
        <v>0.37</v>
      </c>
      <c r="F519" s="264">
        <v>0.16</v>
      </c>
      <c r="G519" s="257">
        <v>3248</v>
      </c>
      <c r="H519" s="241" t="s">
        <v>0</v>
      </c>
      <c r="I519" s="258"/>
      <c r="J519" s="259"/>
      <c r="K519" s="259"/>
      <c r="L519" s="259"/>
      <c r="M519" s="259"/>
      <c r="N519" s="259"/>
      <c r="O519" s="259"/>
      <c r="P519" s="259"/>
      <c r="Q519" s="261">
        <v>80740030755</v>
      </c>
      <c r="R519" s="262" t="s">
        <v>422</v>
      </c>
    </row>
    <row r="520" spans="1:18" x14ac:dyDescent="0.2">
      <c r="A520" s="173">
        <v>9</v>
      </c>
      <c r="B520" s="202" t="s">
        <v>582</v>
      </c>
      <c r="C520" s="173" t="s">
        <v>846</v>
      </c>
      <c r="D520" s="263">
        <v>0</v>
      </c>
      <c r="E520" s="263">
        <v>0.35</v>
      </c>
      <c r="F520" s="264">
        <v>0.35</v>
      </c>
      <c r="G520" s="257">
        <v>1570</v>
      </c>
      <c r="H520" s="241" t="s">
        <v>0</v>
      </c>
      <c r="I520" s="258"/>
      <c r="J520" s="259"/>
      <c r="K520" s="259"/>
      <c r="L520" s="259"/>
      <c r="M520" s="259"/>
      <c r="N520" s="259"/>
      <c r="O520" s="259"/>
      <c r="P520" s="259"/>
      <c r="Q520" s="261">
        <v>80740030759</v>
      </c>
      <c r="R520" s="262">
        <v>80740030759</v>
      </c>
    </row>
    <row r="521" spans="1:18" x14ac:dyDescent="0.2">
      <c r="A521" s="175">
        <v>10</v>
      </c>
      <c r="B521" s="177" t="s">
        <v>581</v>
      </c>
      <c r="C521" s="175" t="s">
        <v>846</v>
      </c>
      <c r="D521" s="263">
        <v>0</v>
      </c>
      <c r="E521" s="263">
        <v>0.67</v>
      </c>
      <c r="F521" s="264">
        <v>0.67</v>
      </c>
      <c r="G521" s="257">
        <v>3060</v>
      </c>
      <c r="H521" s="241" t="s">
        <v>0</v>
      </c>
      <c r="I521" s="258"/>
      <c r="J521" s="259"/>
      <c r="K521" s="259"/>
      <c r="L521" s="259"/>
      <c r="M521" s="259"/>
      <c r="N521" s="259"/>
      <c r="O521" s="259"/>
      <c r="P521" s="259"/>
      <c r="Q521" s="261">
        <v>80740030780</v>
      </c>
      <c r="R521" s="262">
        <v>80740030972</v>
      </c>
    </row>
    <row r="522" spans="1:18" x14ac:dyDescent="0.2">
      <c r="A522" s="175">
        <v>11</v>
      </c>
      <c r="B522" s="177" t="s">
        <v>580</v>
      </c>
      <c r="C522" s="173" t="s">
        <v>846</v>
      </c>
      <c r="D522" s="263">
        <v>0</v>
      </c>
      <c r="E522" s="263">
        <v>0.31</v>
      </c>
      <c r="F522" s="264">
        <v>0.31</v>
      </c>
      <c r="G522" s="257">
        <v>2170</v>
      </c>
      <c r="H522" s="177" t="s">
        <v>4</v>
      </c>
      <c r="I522" s="258"/>
      <c r="J522" s="259"/>
      <c r="K522" s="259"/>
      <c r="L522" s="259"/>
      <c r="M522" s="259"/>
      <c r="N522" s="259"/>
      <c r="O522" s="259"/>
      <c r="P522" s="259"/>
      <c r="Q522" s="261">
        <v>80740030654</v>
      </c>
      <c r="R522" s="262">
        <v>80740030654</v>
      </c>
    </row>
    <row r="523" spans="1:18" x14ac:dyDescent="0.2">
      <c r="A523" s="175">
        <v>12</v>
      </c>
      <c r="B523" s="177" t="s">
        <v>579</v>
      </c>
      <c r="C523" s="175" t="s">
        <v>846</v>
      </c>
      <c r="D523" s="263">
        <v>0</v>
      </c>
      <c r="E523" s="263">
        <v>0.17</v>
      </c>
      <c r="F523" s="264">
        <v>0.17</v>
      </c>
      <c r="G523" s="257">
        <v>850</v>
      </c>
      <c r="H523" s="241" t="s">
        <v>0</v>
      </c>
      <c r="I523" s="258"/>
      <c r="J523" s="259"/>
      <c r="K523" s="259"/>
      <c r="L523" s="259"/>
      <c r="M523" s="259"/>
      <c r="N523" s="259"/>
      <c r="O523" s="259"/>
      <c r="P523" s="259"/>
      <c r="Q523" s="261">
        <v>80740030763</v>
      </c>
      <c r="R523" s="262">
        <v>80740030763</v>
      </c>
    </row>
    <row r="524" spans="1:18" x14ac:dyDescent="0.2">
      <c r="A524" s="175">
        <v>13</v>
      </c>
      <c r="B524" s="177" t="s">
        <v>578</v>
      </c>
      <c r="C524" s="173" t="s">
        <v>846</v>
      </c>
      <c r="D524" s="263">
        <v>0</v>
      </c>
      <c r="E524" s="263">
        <v>0.49</v>
      </c>
      <c r="F524" s="264">
        <v>0.49</v>
      </c>
      <c r="G524" s="257">
        <v>3430</v>
      </c>
      <c r="H524" s="241" t="s">
        <v>0</v>
      </c>
      <c r="I524" s="258"/>
      <c r="J524" s="259"/>
      <c r="K524" s="259"/>
      <c r="L524" s="259"/>
      <c r="M524" s="259"/>
      <c r="N524" s="259"/>
      <c r="O524" s="259"/>
      <c r="P524" s="259"/>
      <c r="Q524" s="261">
        <v>80740030784</v>
      </c>
      <c r="R524" s="262">
        <v>80740030784</v>
      </c>
    </row>
    <row r="525" spans="1:18" x14ac:dyDescent="0.2">
      <c r="A525" s="175">
        <v>14</v>
      </c>
      <c r="B525" s="177" t="s">
        <v>577</v>
      </c>
      <c r="C525" s="175" t="s">
        <v>846</v>
      </c>
      <c r="D525" s="263">
        <v>0</v>
      </c>
      <c r="E525" s="263">
        <v>0.31</v>
      </c>
      <c r="F525" s="264">
        <v>0.31</v>
      </c>
      <c r="G525" s="257">
        <v>1550</v>
      </c>
      <c r="H525" s="241" t="s">
        <v>0</v>
      </c>
      <c r="I525" s="258"/>
      <c r="J525" s="259"/>
      <c r="K525" s="259"/>
      <c r="L525" s="259"/>
      <c r="M525" s="259"/>
      <c r="N525" s="259"/>
      <c r="O525" s="259"/>
      <c r="P525" s="259"/>
      <c r="Q525" s="261">
        <v>80740030758</v>
      </c>
      <c r="R525" s="262">
        <v>80740030758</v>
      </c>
    </row>
    <row r="526" spans="1:18" x14ac:dyDescent="0.2">
      <c r="A526" s="175">
        <v>15</v>
      </c>
      <c r="B526" s="177" t="s">
        <v>576</v>
      </c>
      <c r="C526" s="173" t="s">
        <v>846</v>
      </c>
      <c r="D526" s="263">
        <v>0</v>
      </c>
      <c r="E526" s="263">
        <v>0.68</v>
      </c>
      <c r="F526" s="264">
        <v>0.68</v>
      </c>
      <c r="G526" s="257">
        <v>4080</v>
      </c>
      <c r="H526" s="241" t="s">
        <v>0</v>
      </c>
      <c r="I526" s="258"/>
      <c r="J526" s="259"/>
      <c r="K526" s="259"/>
      <c r="L526" s="259"/>
      <c r="M526" s="259"/>
      <c r="N526" s="259"/>
      <c r="O526" s="259"/>
      <c r="P526" s="259"/>
      <c r="Q526" s="261">
        <v>80740030665</v>
      </c>
      <c r="R526" s="262">
        <v>80740030665</v>
      </c>
    </row>
    <row r="527" spans="1:18" x14ac:dyDescent="0.2">
      <c r="A527" s="167">
        <v>16</v>
      </c>
      <c r="B527" s="297" t="s">
        <v>68</v>
      </c>
      <c r="C527" s="175" t="s">
        <v>846</v>
      </c>
      <c r="D527" s="263">
        <v>0</v>
      </c>
      <c r="E527" s="263">
        <v>0.27</v>
      </c>
      <c r="F527" s="264">
        <v>0.27</v>
      </c>
      <c r="G527" s="257">
        <v>1215</v>
      </c>
      <c r="H527" s="241" t="s">
        <v>0</v>
      </c>
      <c r="I527" s="260"/>
      <c r="J527" s="259"/>
      <c r="K527" s="259"/>
      <c r="L527" s="259"/>
      <c r="M527" s="259"/>
      <c r="N527" s="259"/>
      <c r="O527" s="259"/>
      <c r="P527" s="259"/>
      <c r="Q527" s="261">
        <v>80740030804</v>
      </c>
      <c r="R527" s="262">
        <v>80740030804</v>
      </c>
    </row>
    <row r="528" spans="1:18" x14ac:dyDescent="0.2">
      <c r="A528" s="167">
        <v>17</v>
      </c>
      <c r="B528" s="298" t="s">
        <v>575</v>
      </c>
      <c r="C528" s="175" t="s">
        <v>846</v>
      </c>
      <c r="D528" s="302">
        <v>0</v>
      </c>
      <c r="E528" s="263">
        <v>0.32900000000000001</v>
      </c>
      <c r="F528" s="264">
        <v>0.32900000000000001</v>
      </c>
      <c r="G528" s="257">
        <v>1480</v>
      </c>
      <c r="H528" s="177" t="s">
        <v>4</v>
      </c>
      <c r="I528" s="260"/>
      <c r="J528" s="259"/>
      <c r="K528" s="259"/>
      <c r="L528" s="259"/>
      <c r="M528" s="259"/>
      <c r="N528" s="259"/>
      <c r="O528" s="259"/>
      <c r="P528" s="259"/>
      <c r="Q528" s="261">
        <v>80740030767</v>
      </c>
      <c r="R528" s="262">
        <v>80740030767</v>
      </c>
    </row>
    <row r="529" spans="1:18" x14ac:dyDescent="0.2">
      <c r="A529" s="173"/>
      <c r="B529" s="299"/>
      <c r="C529" s="175" t="s">
        <v>846</v>
      </c>
      <c r="D529" s="302">
        <v>0.32900000000000001</v>
      </c>
      <c r="E529" s="263">
        <v>0.66</v>
      </c>
      <c r="F529" s="264">
        <v>0.33100000000000002</v>
      </c>
      <c r="G529" s="257">
        <v>1490</v>
      </c>
      <c r="H529" s="241" t="s">
        <v>0</v>
      </c>
      <c r="I529" s="260"/>
      <c r="J529" s="259"/>
      <c r="K529" s="259"/>
      <c r="L529" s="259"/>
      <c r="M529" s="259"/>
      <c r="N529" s="259"/>
      <c r="O529" s="259"/>
      <c r="P529" s="259"/>
      <c r="Q529" s="261">
        <v>80740030767</v>
      </c>
      <c r="R529" s="262">
        <v>80740030767</v>
      </c>
    </row>
    <row r="530" spans="1:18" x14ac:dyDescent="0.2">
      <c r="A530" s="171">
        <v>18</v>
      </c>
      <c r="B530" s="303" t="s">
        <v>574</v>
      </c>
      <c r="C530" s="175" t="s">
        <v>846</v>
      </c>
      <c r="D530" s="302">
        <v>0</v>
      </c>
      <c r="E530" s="263">
        <v>7.0999999999999994E-2</v>
      </c>
      <c r="F530" s="264">
        <v>7.0999999999999994E-2</v>
      </c>
      <c r="G530" s="257">
        <v>426</v>
      </c>
      <c r="H530" s="177" t="s">
        <v>4</v>
      </c>
      <c r="I530" s="260"/>
      <c r="J530" s="259"/>
      <c r="K530" s="259"/>
      <c r="L530" s="259"/>
      <c r="M530" s="259"/>
      <c r="N530" s="259"/>
      <c r="O530" s="259"/>
      <c r="P530" s="259"/>
      <c r="Q530" s="261">
        <v>80740030664</v>
      </c>
      <c r="R530" s="262">
        <v>80740030664</v>
      </c>
    </row>
    <row r="531" spans="1:18" x14ac:dyDescent="0.2">
      <c r="A531" s="173"/>
      <c r="B531" s="299"/>
      <c r="C531" s="175" t="s">
        <v>846</v>
      </c>
      <c r="D531" s="302">
        <v>7.0999999999999994E-2</v>
      </c>
      <c r="E531" s="263">
        <v>0.47</v>
      </c>
      <c r="F531" s="264">
        <v>0.39899999999999997</v>
      </c>
      <c r="G531" s="257">
        <v>2394</v>
      </c>
      <c r="H531" s="241" t="s">
        <v>0</v>
      </c>
      <c r="I531" s="260"/>
      <c r="J531" s="259"/>
      <c r="K531" s="259"/>
      <c r="L531" s="259"/>
      <c r="M531" s="259"/>
      <c r="N531" s="259"/>
      <c r="O531" s="259"/>
      <c r="P531" s="259"/>
      <c r="Q531" s="261">
        <v>80740030664</v>
      </c>
      <c r="R531" s="262">
        <v>80740030664</v>
      </c>
    </row>
    <row r="532" spans="1:18" x14ac:dyDescent="0.2">
      <c r="A532" s="173">
        <v>19</v>
      </c>
      <c r="B532" s="202" t="s">
        <v>573</v>
      </c>
      <c r="C532" s="175" t="s">
        <v>846</v>
      </c>
      <c r="D532" s="263">
        <v>0</v>
      </c>
      <c r="E532" s="263">
        <v>0.94</v>
      </c>
      <c r="F532" s="264">
        <v>0.94</v>
      </c>
      <c r="G532" s="257">
        <v>4230</v>
      </c>
      <c r="H532" s="177" t="s">
        <v>4</v>
      </c>
      <c r="I532" s="260"/>
      <c r="J532" s="259"/>
      <c r="K532" s="259"/>
      <c r="L532" s="259"/>
      <c r="M532" s="259"/>
      <c r="N532" s="259"/>
      <c r="O532" s="259"/>
      <c r="P532" s="259"/>
      <c r="Q532" s="261">
        <v>80740030649</v>
      </c>
      <c r="R532" s="262">
        <v>80740030649</v>
      </c>
    </row>
    <row r="533" spans="1:18" x14ac:dyDescent="0.2">
      <c r="A533" s="167">
        <v>20</v>
      </c>
      <c r="B533" s="297" t="s">
        <v>572</v>
      </c>
      <c r="C533" s="175" t="s">
        <v>846</v>
      </c>
      <c r="D533" s="263">
        <v>0</v>
      </c>
      <c r="E533" s="263">
        <v>0.45</v>
      </c>
      <c r="F533" s="264">
        <v>0.45</v>
      </c>
      <c r="G533" s="257">
        <v>2250</v>
      </c>
      <c r="H533" s="241" t="s">
        <v>0</v>
      </c>
      <c r="I533" s="260"/>
      <c r="J533" s="259"/>
      <c r="K533" s="259"/>
      <c r="L533" s="259"/>
      <c r="M533" s="259"/>
      <c r="N533" s="259"/>
      <c r="O533" s="259"/>
      <c r="P533" s="259"/>
      <c r="Q533" s="261">
        <v>80740030772</v>
      </c>
      <c r="R533" s="262">
        <v>80740030772</v>
      </c>
    </row>
    <row r="534" spans="1:18" x14ac:dyDescent="0.2">
      <c r="A534" s="167">
        <v>21</v>
      </c>
      <c r="B534" s="298" t="s">
        <v>571</v>
      </c>
      <c r="C534" s="175" t="s">
        <v>846</v>
      </c>
      <c r="D534" s="302">
        <v>0</v>
      </c>
      <c r="E534" s="263">
        <v>0.62</v>
      </c>
      <c r="F534" s="264">
        <v>0.62</v>
      </c>
      <c r="G534" s="257">
        <v>2360</v>
      </c>
      <c r="H534" s="241" t="s">
        <v>0</v>
      </c>
      <c r="I534" s="260"/>
      <c r="J534" s="259"/>
      <c r="K534" s="259"/>
      <c r="L534" s="259"/>
      <c r="M534" s="259"/>
      <c r="N534" s="259"/>
      <c r="O534" s="259"/>
      <c r="P534" s="259"/>
      <c r="Q534" s="261">
        <v>80740030788</v>
      </c>
      <c r="R534" s="262">
        <v>80740030788</v>
      </c>
    </row>
    <row r="535" spans="1:18" x14ac:dyDescent="0.2">
      <c r="A535" s="171"/>
      <c r="B535" s="303"/>
      <c r="C535" s="175" t="s">
        <v>846</v>
      </c>
      <c r="D535" s="604">
        <v>0</v>
      </c>
      <c r="E535" s="605">
        <v>0.245</v>
      </c>
      <c r="F535" s="606">
        <v>0.245</v>
      </c>
      <c r="G535" s="607">
        <v>858</v>
      </c>
      <c r="H535" s="241" t="s">
        <v>0</v>
      </c>
      <c r="I535" s="260"/>
      <c r="J535" s="197"/>
      <c r="K535" s="197"/>
      <c r="L535" s="197"/>
      <c r="M535" s="197"/>
      <c r="N535" s="197"/>
      <c r="O535" s="197"/>
      <c r="P535" s="197"/>
      <c r="Q535" s="262">
        <v>80740030704</v>
      </c>
      <c r="R535" s="262">
        <v>80740030704</v>
      </c>
    </row>
    <row r="536" spans="1:18" x14ac:dyDescent="0.2">
      <c r="A536" s="173"/>
      <c r="B536" s="299"/>
      <c r="C536" s="175" t="s">
        <v>846</v>
      </c>
      <c r="D536" s="604">
        <v>0.245</v>
      </c>
      <c r="E536" s="605">
        <v>0.47499999999999998</v>
      </c>
      <c r="F536" s="606">
        <v>0.22999999999999998</v>
      </c>
      <c r="G536" s="607">
        <v>460</v>
      </c>
      <c r="H536" s="240" t="s">
        <v>325</v>
      </c>
      <c r="I536" s="260"/>
      <c r="J536" s="197"/>
      <c r="K536" s="197"/>
      <c r="L536" s="197"/>
      <c r="M536" s="197"/>
      <c r="N536" s="197"/>
      <c r="O536" s="197"/>
      <c r="P536" s="197"/>
      <c r="Q536" s="262">
        <v>80740030704</v>
      </c>
      <c r="R536" s="262">
        <v>80740030704</v>
      </c>
    </row>
    <row r="537" spans="1:18" x14ac:dyDescent="0.2">
      <c r="A537" s="173">
        <v>22</v>
      </c>
      <c r="B537" s="202" t="s">
        <v>570</v>
      </c>
      <c r="C537" s="175" t="s">
        <v>846</v>
      </c>
      <c r="D537" s="263">
        <v>0</v>
      </c>
      <c r="E537" s="263">
        <v>0.14000000000000001</v>
      </c>
      <c r="F537" s="264">
        <v>0.14000000000000001</v>
      </c>
      <c r="G537" s="257">
        <v>630</v>
      </c>
      <c r="H537" s="241" t="s">
        <v>0</v>
      </c>
      <c r="I537" s="260"/>
      <c r="J537" s="259"/>
      <c r="K537" s="259"/>
      <c r="L537" s="259"/>
      <c r="M537" s="259"/>
      <c r="N537" s="259"/>
      <c r="O537" s="259"/>
      <c r="P537" s="259"/>
      <c r="Q537" s="261">
        <v>80740030760</v>
      </c>
      <c r="R537" s="262">
        <v>80740030760</v>
      </c>
    </row>
    <row r="538" spans="1:18" x14ac:dyDescent="0.2">
      <c r="A538" s="175">
        <v>23</v>
      </c>
      <c r="B538" s="177" t="s">
        <v>569</v>
      </c>
      <c r="C538" s="175" t="s">
        <v>846</v>
      </c>
      <c r="D538" s="263">
        <v>0</v>
      </c>
      <c r="E538" s="263">
        <v>1.375</v>
      </c>
      <c r="F538" s="264">
        <v>1.375</v>
      </c>
      <c r="G538" s="257">
        <v>8656</v>
      </c>
      <c r="H538" s="177" t="s">
        <v>4</v>
      </c>
      <c r="I538" s="260"/>
      <c r="J538" s="259"/>
      <c r="K538" s="259"/>
      <c r="L538" s="259"/>
      <c r="M538" s="259"/>
      <c r="N538" s="259"/>
      <c r="O538" s="259"/>
      <c r="P538" s="259"/>
      <c r="Q538" s="261">
        <v>80740030653</v>
      </c>
      <c r="R538" s="262">
        <v>80740030653</v>
      </c>
    </row>
    <row r="539" spans="1:18" x14ac:dyDescent="0.2">
      <c r="A539" s="167">
        <v>24</v>
      </c>
      <c r="B539" s="297" t="s">
        <v>568</v>
      </c>
      <c r="C539" s="175" t="s">
        <v>846</v>
      </c>
      <c r="D539" s="263">
        <v>0</v>
      </c>
      <c r="E539" s="263">
        <v>0.06</v>
      </c>
      <c r="F539" s="264">
        <v>0.06</v>
      </c>
      <c r="G539" s="257">
        <v>300</v>
      </c>
      <c r="H539" s="241" t="s">
        <v>0</v>
      </c>
      <c r="I539" s="260"/>
      <c r="J539" s="259"/>
      <c r="K539" s="259"/>
      <c r="L539" s="259"/>
      <c r="M539" s="259"/>
      <c r="N539" s="259"/>
      <c r="O539" s="259"/>
      <c r="P539" s="259"/>
      <c r="Q539" s="261">
        <v>80740030761</v>
      </c>
      <c r="R539" s="262">
        <v>80740030761</v>
      </c>
    </row>
    <row r="540" spans="1:18" x14ac:dyDescent="0.2">
      <c r="A540" s="167">
        <v>25</v>
      </c>
      <c r="B540" s="298" t="s">
        <v>567</v>
      </c>
      <c r="C540" s="175" t="s">
        <v>846</v>
      </c>
      <c r="D540" s="302">
        <v>0</v>
      </c>
      <c r="E540" s="263">
        <v>0.154</v>
      </c>
      <c r="F540" s="264">
        <v>0.154</v>
      </c>
      <c r="G540" s="257">
        <v>1442</v>
      </c>
      <c r="H540" s="177" t="s">
        <v>4</v>
      </c>
      <c r="I540" s="260"/>
      <c r="J540" s="259"/>
      <c r="K540" s="259"/>
      <c r="L540" s="259"/>
      <c r="M540" s="259"/>
      <c r="N540" s="259"/>
      <c r="O540" s="259"/>
      <c r="P540" s="259"/>
      <c r="Q540" s="261">
        <v>80740030766</v>
      </c>
      <c r="R540" s="262">
        <v>80740030766</v>
      </c>
    </row>
    <row r="541" spans="1:18" x14ac:dyDescent="0.2">
      <c r="A541" s="173"/>
      <c r="B541" s="299"/>
      <c r="C541" s="175" t="s">
        <v>846</v>
      </c>
      <c r="D541" s="302">
        <v>0</v>
      </c>
      <c r="E541" s="263">
        <v>5.6000000000000001E-2</v>
      </c>
      <c r="F541" s="264">
        <v>5.6000000000000001E-2</v>
      </c>
      <c r="G541" s="257">
        <v>392</v>
      </c>
      <c r="H541" s="241" t="s">
        <v>0</v>
      </c>
      <c r="I541" s="260"/>
      <c r="J541" s="259"/>
      <c r="K541" s="259"/>
      <c r="L541" s="259"/>
      <c r="M541" s="259"/>
      <c r="N541" s="259"/>
      <c r="O541" s="259"/>
      <c r="P541" s="259"/>
      <c r="Q541" s="261" t="s">
        <v>421</v>
      </c>
      <c r="R541" s="262">
        <v>80740030807</v>
      </c>
    </row>
    <row r="542" spans="1:18" x14ac:dyDescent="0.2">
      <c r="A542" s="173">
        <v>26</v>
      </c>
      <c r="B542" s="202" t="s">
        <v>566</v>
      </c>
      <c r="C542" s="502" t="s">
        <v>846</v>
      </c>
      <c r="D542" s="263">
        <v>0</v>
      </c>
      <c r="E542" s="263">
        <v>0.74</v>
      </c>
      <c r="F542" s="264">
        <v>0.74</v>
      </c>
      <c r="G542" s="257">
        <v>2590</v>
      </c>
      <c r="H542" s="241" t="s">
        <v>0</v>
      </c>
      <c r="I542" s="260"/>
      <c r="J542" s="259"/>
      <c r="K542" s="259"/>
      <c r="L542" s="259"/>
      <c r="M542" s="259"/>
      <c r="N542" s="259"/>
      <c r="O542" s="259"/>
      <c r="P542" s="259"/>
      <c r="Q542" s="261">
        <v>80740030638</v>
      </c>
      <c r="R542" s="262">
        <v>80740030638</v>
      </c>
    </row>
    <row r="543" spans="1:18" ht="22.5" x14ac:dyDescent="0.2">
      <c r="A543" s="175"/>
      <c r="B543" s="177" t="s">
        <v>565</v>
      </c>
      <c r="C543" s="175" t="s">
        <v>846</v>
      </c>
      <c r="D543" s="264">
        <v>0</v>
      </c>
      <c r="E543" s="264">
        <v>0.49</v>
      </c>
      <c r="F543" s="264">
        <v>0.49</v>
      </c>
      <c r="G543" s="256">
        <v>2940</v>
      </c>
      <c r="H543" s="177" t="s">
        <v>4</v>
      </c>
      <c r="I543" s="260"/>
      <c r="J543" s="259"/>
      <c r="K543" s="259"/>
      <c r="L543" s="259"/>
      <c r="M543" s="259"/>
      <c r="N543" s="259"/>
      <c r="O543" s="259"/>
      <c r="P543" s="259"/>
      <c r="Q543" s="267" t="s">
        <v>423</v>
      </c>
      <c r="R543" s="268" t="s">
        <v>423</v>
      </c>
    </row>
    <row r="544" spans="1:18" x14ac:dyDescent="0.2">
      <c r="A544" s="175">
        <v>28</v>
      </c>
      <c r="B544" s="177" t="s">
        <v>564</v>
      </c>
      <c r="C544" s="175" t="s">
        <v>846</v>
      </c>
      <c r="D544" s="263">
        <v>0</v>
      </c>
      <c r="E544" s="263">
        <v>0.56000000000000016</v>
      </c>
      <c r="F544" s="264">
        <v>0.56000000000000016</v>
      </c>
      <c r="G544" s="257">
        <v>2800</v>
      </c>
      <c r="H544" s="177" t="s">
        <v>4</v>
      </c>
      <c r="I544" s="260"/>
      <c r="J544" s="259"/>
      <c r="K544" s="259"/>
      <c r="L544" s="259"/>
      <c r="M544" s="259"/>
      <c r="N544" s="259"/>
      <c r="O544" s="259"/>
      <c r="P544" s="259"/>
      <c r="Q544" s="261">
        <v>80740030771</v>
      </c>
      <c r="R544" s="262">
        <v>80740030771</v>
      </c>
    </row>
    <row r="545" spans="1:18" x14ac:dyDescent="0.2">
      <c r="A545" s="175">
        <v>29</v>
      </c>
      <c r="B545" s="177" t="s">
        <v>563</v>
      </c>
      <c r="C545" s="175" t="s">
        <v>846</v>
      </c>
      <c r="D545" s="263">
        <v>0</v>
      </c>
      <c r="E545" s="263">
        <v>0.18</v>
      </c>
      <c r="F545" s="264">
        <v>0.18</v>
      </c>
      <c r="G545" s="257">
        <v>900</v>
      </c>
      <c r="H545" s="177" t="s">
        <v>4</v>
      </c>
      <c r="I545" s="260"/>
      <c r="J545" s="259"/>
      <c r="K545" s="259"/>
      <c r="L545" s="259"/>
      <c r="M545" s="259"/>
      <c r="N545" s="259"/>
      <c r="O545" s="259"/>
      <c r="P545" s="259"/>
      <c r="Q545" s="261">
        <v>80740030789</v>
      </c>
      <c r="R545" s="262">
        <v>80740030789</v>
      </c>
    </row>
    <row r="546" spans="1:18" ht="22.5" x14ac:dyDescent="0.2">
      <c r="A546" s="175">
        <v>30</v>
      </c>
      <c r="B546" s="177" t="s">
        <v>562</v>
      </c>
      <c r="C546" s="175" t="s">
        <v>846</v>
      </c>
      <c r="D546" s="264">
        <v>0</v>
      </c>
      <c r="E546" s="264">
        <v>0.68</v>
      </c>
      <c r="F546" s="264">
        <v>0.68</v>
      </c>
      <c r="G546" s="256">
        <v>3400</v>
      </c>
      <c r="H546" s="241" t="s">
        <v>0</v>
      </c>
      <c r="I546" s="197" t="s">
        <v>429</v>
      </c>
      <c r="J546" s="259">
        <v>0.18</v>
      </c>
      <c r="K546" s="272" t="s">
        <v>430</v>
      </c>
      <c r="L546" s="271">
        <v>12</v>
      </c>
      <c r="M546" s="261">
        <v>74</v>
      </c>
      <c r="N546" s="259"/>
      <c r="O546" s="259"/>
      <c r="P546" s="259"/>
      <c r="Q546" s="273">
        <v>80740030782</v>
      </c>
      <c r="R546" s="274">
        <v>80740030782</v>
      </c>
    </row>
    <row r="547" spans="1:18" ht="22.5" x14ac:dyDescent="0.2">
      <c r="A547" s="175"/>
      <c r="B547" s="177" t="s">
        <v>561</v>
      </c>
      <c r="C547" s="175" t="s">
        <v>846</v>
      </c>
      <c r="D547" s="264">
        <v>0</v>
      </c>
      <c r="E547" s="264">
        <v>0.18</v>
      </c>
      <c r="F547" s="264">
        <v>0.18</v>
      </c>
      <c r="G547" s="256">
        <v>720</v>
      </c>
      <c r="H547" s="177" t="s">
        <v>4</v>
      </c>
      <c r="I547" s="260"/>
      <c r="J547" s="259"/>
      <c r="K547" s="259"/>
      <c r="L547" s="259"/>
      <c r="M547" s="259"/>
      <c r="N547" s="259"/>
      <c r="O547" s="259"/>
      <c r="P547" s="259"/>
      <c r="Q547" s="267" t="s">
        <v>424</v>
      </c>
      <c r="R547" s="268" t="s">
        <v>424</v>
      </c>
    </row>
    <row r="548" spans="1:18" x14ac:dyDescent="0.2">
      <c r="A548" s="175">
        <v>32</v>
      </c>
      <c r="B548" s="177" t="s">
        <v>560</v>
      </c>
      <c r="C548" s="175" t="s">
        <v>846</v>
      </c>
      <c r="D548" s="263">
        <v>0</v>
      </c>
      <c r="E548" s="263">
        <v>1.04</v>
      </c>
      <c r="F548" s="264">
        <v>1.04</v>
      </c>
      <c r="G548" s="257">
        <v>4160</v>
      </c>
      <c r="H548" s="241" t="s">
        <v>0</v>
      </c>
      <c r="I548" s="260"/>
      <c r="J548" s="259"/>
      <c r="K548" s="259"/>
      <c r="L548" s="259"/>
      <c r="M548" s="259"/>
      <c r="N548" s="259"/>
      <c r="O548" s="259"/>
      <c r="P548" s="259"/>
      <c r="Q548" s="261">
        <v>80740030639</v>
      </c>
      <c r="R548" s="262">
        <v>80740030639</v>
      </c>
    </row>
    <row r="549" spans="1:18" x14ac:dyDescent="0.2">
      <c r="A549" s="175">
        <v>33</v>
      </c>
      <c r="B549" s="177" t="s">
        <v>559</v>
      </c>
      <c r="C549" s="175" t="s">
        <v>846</v>
      </c>
      <c r="D549" s="263">
        <v>0</v>
      </c>
      <c r="E549" s="263">
        <v>0.78</v>
      </c>
      <c r="F549" s="264">
        <v>0.78</v>
      </c>
      <c r="G549" s="257">
        <v>3900</v>
      </c>
      <c r="H549" s="241" t="s">
        <v>0</v>
      </c>
      <c r="I549" s="260"/>
      <c r="J549" s="259"/>
      <c r="K549" s="259"/>
      <c r="L549" s="259"/>
      <c r="M549" s="259"/>
      <c r="N549" s="259"/>
      <c r="O549" s="259"/>
      <c r="P549" s="259"/>
      <c r="Q549" s="261">
        <v>80740030663</v>
      </c>
      <c r="R549" s="262">
        <v>80740030663</v>
      </c>
    </row>
    <row r="550" spans="1:18" x14ac:dyDescent="0.2">
      <c r="A550" s="175">
        <v>34</v>
      </c>
      <c r="B550" s="177" t="s">
        <v>558</v>
      </c>
      <c r="C550" s="175" t="s">
        <v>846</v>
      </c>
      <c r="D550" s="263">
        <v>0</v>
      </c>
      <c r="E550" s="263">
        <v>0.68</v>
      </c>
      <c r="F550" s="264">
        <v>0.68</v>
      </c>
      <c r="G550" s="257">
        <v>4080</v>
      </c>
      <c r="H550" s="241" t="s">
        <v>0</v>
      </c>
      <c r="I550" s="260"/>
      <c r="J550" s="259"/>
      <c r="K550" s="259"/>
      <c r="L550" s="259"/>
      <c r="M550" s="259"/>
      <c r="N550" s="259"/>
      <c r="O550" s="259"/>
      <c r="P550" s="259"/>
      <c r="Q550" s="261">
        <v>80740030652</v>
      </c>
      <c r="R550" s="262">
        <v>80740030652</v>
      </c>
    </row>
    <row r="551" spans="1:18" x14ac:dyDescent="0.2">
      <c r="A551" s="175">
        <v>35</v>
      </c>
      <c r="B551" s="177" t="s">
        <v>557</v>
      </c>
      <c r="C551" s="175" t="s">
        <v>846</v>
      </c>
      <c r="D551" s="263">
        <v>0</v>
      </c>
      <c r="E551" s="263">
        <v>0.16</v>
      </c>
      <c r="F551" s="264">
        <v>0.16</v>
      </c>
      <c r="G551" s="257">
        <v>640</v>
      </c>
      <c r="H551" s="241" t="s">
        <v>0</v>
      </c>
      <c r="I551" s="260"/>
      <c r="J551" s="259"/>
      <c r="K551" s="259"/>
      <c r="L551" s="259"/>
      <c r="M551" s="259"/>
      <c r="N551" s="259"/>
      <c r="O551" s="259"/>
      <c r="P551" s="259"/>
      <c r="Q551" s="261">
        <v>80740030770</v>
      </c>
      <c r="R551" s="262">
        <v>80740030770</v>
      </c>
    </row>
    <row r="552" spans="1:18" x14ac:dyDescent="0.2">
      <c r="A552" s="175">
        <v>36</v>
      </c>
      <c r="B552" s="177" t="s">
        <v>556</v>
      </c>
      <c r="C552" s="175" t="s">
        <v>846</v>
      </c>
      <c r="D552" s="263">
        <v>0</v>
      </c>
      <c r="E552" s="263">
        <v>0.08</v>
      </c>
      <c r="F552" s="264">
        <v>0.08</v>
      </c>
      <c r="G552" s="257">
        <v>310</v>
      </c>
      <c r="H552" s="177" t="s">
        <v>4</v>
      </c>
      <c r="I552" s="260"/>
      <c r="J552" s="259"/>
      <c r="K552" s="259"/>
      <c r="L552" s="259"/>
      <c r="M552" s="259"/>
      <c r="N552" s="259"/>
      <c r="O552" s="259"/>
      <c r="P552" s="259"/>
      <c r="Q552" s="261">
        <v>80740030779</v>
      </c>
      <c r="R552" s="262">
        <v>80740030779</v>
      </c>
    </row>
    <row r="553" spans="1:18" x14ac:dyDescent="0.2">
      <c r="A553" s="175">
        <v>37</v>
      </c>
      <c r="B553" s="177" t="s">
        <v>555</v>
      </c>
      <c r="C553" s="175" t="s">
        <v>846</v>
      </c>
      <c r="D553" s="263">
        <v>0</v>
      </c>
      <c r="E553" s="263">
        <v>0.2</v>
      </c>
      <c r="F553" s="264">
        <v>0.2</v>
      </c>
      <c r="G553" s="257">
        <v>700</v>
      </c>
      <c r="H553" s="241" t="s">
        <v>0</v>
      </c>
      <c r="I553" s="260"/>
      <c r="J553" s="259"/>
      <c r="K553" s="259"/>
      <c r="L553" s="259"/>
      <c r="M553" s="259"/>
      <c r="N553" s="259"/>
      <c r="O553" s="259"/>
      <c r="P553" s="259"/>
      <c r="Q553" s="261">
        <v>80740030783</v>
      </c>
      <c r="R553" s="262">
        <v>80740030783</v>
      </c>
    </row>
    <row r="554" spans="1:18" x14ac:dyDescent="0.2">
      <c r="A554" s="167">
        <v>38</v>
      </c>
      <c r="B554" s="297" t="s">
        <v>554</v>
      </c>
      <c r="C554" s="175" t="s">
        <v>846</v>
      </c>
      <c r="D554" s="263">
        <v>0</v>
      </c>
      <c r="E554" s="263">
        <v>0.1</v>
      </c>
      <c r="F554" s="264">
        <v>0.1</v>
      </c>
      <c r="G554" s="257">
        <v>700</v>
      </c>
      <c r="H554" s="241" t="s">
        <v>0</v>
      </c>
      <c r="I554" s="260"/>
      <c r="J554" s="259"/>
      <c r="K554" s="259"/>
      <c r="L554" s="259"/>
      <c r="M554" s="259"/>
      <c r="N554" s="259"/>
      <c r="O554" s="259"/>
      <c r="P554" s="259"/>
      <c r="Q554" s="261">
        <v>80740030769</v>
      </c>
      <c r="R554" s="262">
        <v>80740030769</v>
      </c>
    </row>
    <row r="555" spans="1:18" x14ac:dyDescent="0.2">
      <c r="A555" s="167">
        <v>39</v>
      </c>
      <c r="B555" s="298" t="s">
        <v>553</v>
      </c>
      <c r="C555" s="175" t="s">
        <v>846</v>
      </c>
      <c r="D555" s="302">
        <v>0</v>
      </c>
      <c r="E555" s="263">
        <v>0.26</v>
      </c>
      <c r="F555" s="264">
        <v>0.26</v>
      </c>
      <c r="G555" s="257">
        <v>1560</v>
      </c>
      <c r="H555" s="177" t="s">
        <v>4</v>
      </c>
      <c r="I555" s="260"/>
      <c r="J555" s="259"/>
      <c r="K555" s="259"/>
      <c r="L555" s="259"/>
      <c r="M555" s="259"/>
      <c r="N555" s="259"/>
      <c r="O555" s="259"/>
      <c r="P555" s="259"/>
      <c r="Q555" s="261">
        <v>807400301008</v>
      </c>
      <c r="R555" s="262">
        <v>80740030803</v>
      </c>
    </row>
    <row r="556" spans="1:18" x14ac:dyDescent="0.2">
      <c r="A556" s="173"/>
      <c r="B556" s="299"/>
      <c r="C556" s="175" t="s">
        <v>846</v>
      </c>
      <c r="D556" s="302">
        <v>0.26</v>
      </c>
      <c r="E556" s="263">
        <v>0.83</v>
      </c>
      <c r="F556" s="264">
        <v>0.56999999999999995</v>
      </c>
      <c r="G556" s="257">
        <v>3420</v>
      </c>
      <c r="H556" s="241" t="s">
        <v>0</v>
      </c>
      <c r="I556" s="260"/>
      <c r="J556" s="259"/>
      <c r="K556" s="259"/>
      <c r="L556" s="259"/>
      <c r="M556" s="259"/>
      <c r="N556" s="259"/>
      <c r="O556" s="259"/>
      <c r="P556" s="259"/>
      <c r="Q556" s="261">
        <v>807400301008</v>
      </c>
      <c r="R556" s="262">
        <v>80740030803</v>
      </c>
    </row>
    <row r="557" spans="1:18" x14ac:dyDescent="0.2">
      <c r="A557" s="173">
        <v>40</v>
      </c>
      <c r="B557" s="202" t="s">
        <v>552</v>
      </c>
      <c r="C557" s="175" t="s">
        <v>846</v>
      </c>
      <c r="D557" s="263">
        <v>0</v>
      </c>
      <c r="E557" s="263">
        <v>0.22</v>
      </c>
      <c r="F557" s="264">
        <v>0.22</v>
      </c>
      <c r="G557" s="257">
        <v>1100</v>
      </c>
      <c r="H557" s="241" t="s">
        <v>0</v>
      </c>
      <c r="I557" s="260"/>
      <c r="J557" s="259"/>
      <c r="K557" s="259"/>
      <c r="L557" s="259"/>
      <c r="M557" s="259"/>
      <c r="N557" s="259"/>
      <c r="O557" s="259"/>
      <c r="P557" s="259"/>
      <c r="Q557" s="261">
        <v>80740030762</v>
      </c>
      <c r="R557" s="262">
        <v>80740030762</v>
      </c>
    </row>
    <row r="558" spans="1:18" x14ac:dyDescent="0.2">
      <c r="A558" s="175">
        <v>41</v>
      </c>
      <c r="B558" s="177" t="s">
        <v>551</v>
      </c>
      <c r="C558" s="175" t="s">
        <v>846</v>
      </c>
      <c r="D558" s="263">
        <v>0</v>
      </c>
      <c r="E558" s="263">
        <v>0.15</v>
      </c>
      <c r="F558" s="264">
        <v>0.15</v>
      </c>
      <c r="G558" s="257">
        <v>675</v>
      </c>
      <c r="H558" s="241" t="s">
        <v>0</v>
      </c>
      <c r="I558" s="260"/>
      <c r="J558" s="259"/>
      <c r="K558" s="259"/>
      <c r="L558" s="259"/>
      <c r="M558" s="259"/>
      <c r="N558" s="259"/>
      <c r="O558" s="259"/>
      <c r="P558" s="259"/>
      <c r="Q558" s="261">
        <v>80740030764</v>
      </c>
      <c r="R558" s="262">
        <v>80740030764</v>
      </c>
    </row>
    <row r="559" spans="1:18" x14ac:dyDescent="0.2">
      <c r="A559" s="167">
        <v>42</v>
      </c>
      <c r="B559" s="297" t="s">
        <v>550</v>
      </c>
      <c r="C559" s="175" t="s">
        <v>846</v>
      </c>
      <c r="D559" s="263">
        <v>0</v>
      </c>
      <c r="E559" s="263">
        <v>0.11600000000000001</v>
      </c>
      <c r="F559" s="264">
        <v>0.11600000000000001</v>
      </c>
      <c r="G559" s="257">
        <v>464</v>
      </c>
      <c r="H559" s="241" t="s">
        <v>0</v>
      </c>
      <c r="I559" s="260"/>
      <c r="J559" s="259"/>
      <c r="K559" s="259"/>
      <c r="L559" s="259"/>
      <c r="M559" s="259"/>
      <c r="N559" s="259"/>
      <c r="O559" s="259"/>
      <c r="P559" s="259"/>
      <c r="Q559" s="261" t="s">
        <v>421</v>
      </c>
      <c r="R559" s="262">
        <v>80740030684003</v>
      </c>
    </row>
    <row r="560" spans="1:18" x14ac:dyDescent="0.2">
      <c r="A560" s="167">
        <v>43</v>
      </c>
      <c r="B560" s="298" t="s">
        <v>549</v>
      </c>
      <c r="C560" s="175" t="s">
        <v>846</v>
      </c>
      <c r="D560" s="302">
        <v>0</v>
      </c>
      <c r="E560" s="263">
        <v>0.08</v>
      </c>
      <c r="F560" s="264">
        <v>0.08</v>
      </c>
      <c r="G560" s="257">
        <v>36</v>
      </c>
      <c r="H560" s="241" t="s">
        <v>0</v>
      </c>
      <c r="I560" s="260"/>
      <c r="J560" s="259"/>
      <c r="K560" s="259"/>
      <c r="L560" s="259"/>
      <c r="M560" s="259"/>
      <c r="N560" s="259"/>
      <c r="O560" s="259"/>
      <c r="P560" s="259"/>
      <c r="Q560" s="261" t="s">
        <v>421</v>
      </c>
      <c r="R560" s="262">
        <v>80740030252005</v>
      </c>
    </row>
    <row r="561" spans="1:32" x14ac:dyDescent="0.2">
      <c r="A561" s="173"/>
      <c r="B561" s="299"/>
      <c r="C561" s="175" t="s">
        <v>846</v>
      </c>
      <c r="D561" s="302">
        <v>0.08</v>
      </c>
      <c r="E561" s="263">
        <v>0.43</v>
      </c>
      <c r="F561" s="264">
        <v>0.35</v>
      </c>
      <c r="G561" s="257">
        <v>1899</v>
      </c>
      <c r="H561" s="177" t="s">
        <v>4</v>
      </c>
      <c r="I561" s="260"/>
      <c r="J561" s="259"/>
      <c r="K561" s="259"/>
      <c r="L561" s="259"/>
      <c r="M561" s="259"/>
      <c r="N561" s="259"/>
      <c r="O561" s="259"/>
      <c r="P561" s="259"/>
      <c r="Q561" s="261" t="s">
        <v>421</v>
      </c>
      <c r="R561" s="262">
        <v>80740030252005</v>
      </c>
    </row>
    <row r="562" spans="1:32" x14ac:dyDescent="0.2">
      <c r="A562" s="173">
        <v>44</v>
      </c>
      <c r="B562" s="202" t="s">
        <v>548</v>
      </c>
      <c r="C562" s="173" t="s">
        <v>846</v>
      </c>
      <c r="D562" s="263">
        <v>0</v>
      </c>
      <c r="E562" s="263">
        <v>0.22900000000000001</v>
      </c>
      <c r="F562" s="264">
        <v>0.22900000000000001</v>
      </c>
      <c r="G562" s="257">
        <v>687</v>
      </c>
      <c r="H562" s="241" t="s">
        <v>0</v>
      </c>
      <c r="I562" s="260"/>
      <c r="J562" s="259"/>
      <c r="K562" s="259"/>
      <c r="L562" s="259"/>
      <c r="M562" s="259"/>
      <c r="N562" s="259"/>
      <c r="O562" s="259"/>
      <c r="P562" s="259"/>
      <c r="Q562" s="261" t="s">
        <v>421</v>
      </c>
      <c r="R562" s="262">
        <v>80740030250003</v>
      </c>
    </row>
    <row r="563" spans="1:32" x14ac:dyDescent="0.2">
      <c r="A563" s="175">
        <v>45</v>
      </c>
      <c r="B563" s="177" t="s">
        <v>547</v>
      </c>
      <c r="C563" s="175" t="s">
        <v>846</v>
      </c>
      <c r="D563" s="605">
        <v>0</v>
      </c>
      <c r="E563" s="605">
        <v>0.27</v>
      </c>
      <c r="F563" s="606">
        <v>0.27</v>
      </c>
      <c r="G563" s="607">
        <v>804</v>
      </c>
      <c r="H563" s="241" t="s">
        <v>0</v>
      </c>
      <c r="I563" s="260"/>
      <c r="J563" s="197"/>
      <c r="K563" s="197"/>
      <c r="L563" s="197"/>
      <c r="M563" s="197"/>
      <c r="N563" s="197"/>
      <c r="O563" s="197"/>
      <c r="P563" s="197"/>
      <c r="Q563" s="262" t="s">
        <v>421</v>
      </c>
      <c r="R563" s="262">
        <v>80740030564001</v>
      </c>
    </row>
    <row r="564" spans="1:32" ht="15" x14ac:dyDescent="0.25">
      <c r="A564" s="175">
        <v>46</v>
      </c>
      <c r="B564" s="177" t="s">
        <v>546</v>
      </c>
      <c r="C564" s="175" t="s">
        <v>846</v>
      </c>
      <c r="D564" s="263">
        <v>0</v>
      </c>
      <c r="E564" s="263">
        <v>0.217</v>
      </c>
      <c r="F564" s="264">
        <v>0.217</v>
      </c>
      <c r="G564" s="257">
        <v>9765</v>
      </c>
      <c r="H564" s="241" t="s">
        <v>0</v>
      </c>
      <c r="I564" s="260"/>
      <c r="J564" s="259"/>
      <c r="K564" s="259"/>
      <c r="L564" s="259"/>
      <c r="M564" s="259"/>
      <c r="N564" s="259"/>
      <c r="O564" s="259"/>
      <c r="P564" s="259"/>
      <c r="Q564" s="261" t="s">
        <v>421</v>
      </c>
      <c r="R564" s="262">
        <v>80740030259001</v>
      </c>
      <c r="S564"/>
      <c r="T564"/>
      <c r="U564"/>
      <c r="V564"/>
      <c r="W564"/>
      <c r="X564"/>
      <c r="Y564"/>
      <c r="Z564"/>
      <c r="AA564" t="s">
        <v>1097</v>
      </c>
      <c r="AB564"/>
      <c r="AC564"/>
      <c r="AD564"/>
      <c r="AE564"/>
      <c r="AF564"/>
    </row>
    <row r="565" spans="1:32" ht="12.75" customHeight="1" x14ac:dyDescent="0.2">
      <c r="A565" s="137" t="s">
        <v>425</v>
      </c>
      <c r="B565" s="138"/>
      <c r="C565" s="485"/>
      <c r="D565" s="139"/>
      <c r="E565" s="140"/>
      <c r="F565" s="141">
        <f>SUM(F508:F564)</f>
        <v>19.991999999999994</v>
      </c>
      <c r="G565" s="204">
        <f>SUM(G508:G564)</f>
        <v>115776</v>
      </c>
      <c r="H565" s="143"/>
      <c r="I565" s="94"/>
      <c r="J565" s="144"/>
      <c r="K565" s="145" t="s">
        <v>268</v>
      </c>
      <c r="L565" s="265">
        <f>SUM(L508:L564)</f>
        <v>12</v>
      </c>
      <c r="M565" s="204">
        <f>SUM(M508:M564)</f>
        <v>74</v>
      </c>
      <c r="N565" s="147"/>
      <c r="O565" s="145" t="s">
        <v>269</v>
      </c>
      <c r="P565" s="265">
        <f>SUM(P508:P564)</f>
        <v>0</v>
      </c>
      <c r="Q565" s="147"/>
      <c r="R565" s="147"/>
      <c r="S565" s="102"/>
      <c r="T565" s="625" t="s">
        <v>1092</v>
      </c>
      <c r="U565" s="625" t="s">
        <v>1093</v>
      </c>
      <c r="V565" s="625" t="s">
        <v>1094</v>
      </c>
      <c r="W565" s="625" t="s">
        <v>1095</v>
      </c>
      <c r="X565" s="625" t="s">
        <v>1096</v>
      </c>
      <c r="Y565" s="627" t="s">
        <v>269</v>
      </c>
      <c r="Z565" s="102"/>
      <c r="AA565" s="625" t="s">
        <v>1092</v>
      </c>
      <c r="AB565" s="625" t="s">
        <v>1093</v>
      </c>
      <c r="AC565" s="625" t="s">
        <v>1094</v>
      </c>
      <c r="AD565" s="625" t="s">
        <v>1095</v>
      </c>
      <c r="AE565" s="625" t="s">
        <v>1096</v>
      </c>
      <c r="AF565" s="627" t="s">
        <v>269</v>
      </c>
    </row>
    <row r="566" spans="1:32" ht="12.75" customHeight="1" x14ac:dyDescent="0.2">
      <c r="A566" s="148" t="s">
        <v>270</v>
      </c>
      <c r="B566" s="149"/>
      <c r="C566" s="486"/>
      <c r="D566" s="150"/>
      <c r="E566" s="151"/>
      <c r="F566" s="163">
        <f>SUMIFS(F508:F564,H508:H564,"melnais")</f>
        <v>6.6890000000000001</v>
      </c>
      <c r="G566" s="266">
        <f>SUMIFS(G508:G564,H508:H564,"melnais")</f>
        <v>38933</v>
      </c>
      <c r="H566" s="154"/>
      <c r="I566" s="155"/>
      <c r="J566" s="147"/>
      <c r="K566" s="136"/>
      <c r="L566" s="156"/>
      <c r="M566" s="156"/>
      <c r="N566" s="147"/>
      <c r="O566" s="147"/>
      <c r="P566" s="147"/>
      <c r="Q566" s="147"/>
      <c r="R566" s="147"/>
      <c r="S566" s="628" t="s">
        <v>844</v>
      </c>
      <c r="T566" s="625" t="s">
        <v>231</v>
      </c>
      <c r="U566" s="625" t="s">
        <v>231</v>
      </c>
      <c r="V566" s="625" t="s">
        <v>231</v>
      </c>
      <c r="W566" s="625" t="s">
        <v>231</v>
      </c>
      <c r="X566" s="625" t="s">
        <v>231</v>
      </c>
      <c r="Y566" s="626" t="s">
        <v>231</v>
      </c>
      <c r="Z566" s="628"/>
      <c r="AA566" s="625" t="s">
        <v>231</v>
      </c>
      <c r="AB566" s="625" t="s">
        <v>231</v>
      </c>
      <c r="AC566" s="625" t="s">
        <v>231</v>
      </c>
      <c r="AD566" s="625" t="s">
        <v>231</v>
      </c>
      <c r="AE566" s="625" t="s">
        <v>231</v>
      </c>
      <c r="AF566" s="626" t="s">
        <v>231</v>
      </c>
    </row>
    <row r="567" spans="1:32" ht="12.75" customHeight="1" x14ac:dyDescent="0.2">
      <c r="A567" s="148" t="s">
        <v>271</v>
      </c>
      <c r="B567" s="149"/>
      <c r="C567" s="486"/>
      <c r="D567" s="150"/>
      <c r="E567" s="151"/>
      <c r="F567" s="163">
        <f>SUMIFS(F508:F564,H508:H564,"bruģis")</f>
        <v>0</v>
      </c>
      <c r="G567" s="266">
        <f>SUMIFS(G508:G564,H508:H564,"bruģis")</f>
        <v>0</v>
      </c>
      <c r="H567" s="162"/>
      <c r="I567" s="94"/>
      <c r="J567" s="159"/>
      <c r="K567" s="160"/>
      <c r="L567" s="160"/>
      <c r="M567" s="160"/>
      <c r="N567" s="161"/>
      <c r="O567" s="147"/>
      <c r="P567" s="147"/>
      <c r="Q567" s="147"/>
      <c r="R567" s="147"/>
      <c r="S567" s="616" t="s">
        <v>847</v>
      </c>
      <c r="T567" s="614">
        <f>SUMIFS(F508:F564,C508:C564,"A",H508:H564,"melnais")</f>
        <v>0</v>
      </c>
      <c r="U567" s="614">
        <f>SUMIFS(F508:F564,C508:C564,"A",H508:H564,"dubultā virsma")</f>
        <v>0</v>
      </c>
      <c r="V567" s="614">
        <f>SUMIFS(F508:F564,C508:C564,"A",H508:H564,"bruģis")</f>
        <v>0</v>
      </c>
      <c r="W567" s="614">
        <f>SUMIFS(F508:F564,C508:C564,"A",H508:H564,"grants")</f>
        <v>0</v>
      </c>
      <c r="X567" s="614">
        <f>SUMIFS(F508:F564,C508:C564,"A",H508:H564,"cits segums")</f>
        <v>0</v>
      </c>
      <c r="Y567" s="614">
        <f>SUM(T567:X567)</f>
        <v>0</v>
      </c>
      <c r="Z567" s="616" t="s">
        <v>847</v>
      </c>
      <c r="AA567" s="614">
        <f>SUMIFS(F508:F564,C508:C564,"A",H508:H564,"melnais", Q508:Q564,"Nepiederošs")</f>
        <v>0</v>
      </c>
      <c r="AB567" s="614">
        <f>SUMIFS(F508:F564,C508:C564,"A",H508:H564,"dubultā virsma", Q508:Q564,"Nepiederošs")</f>
        <v>0</v>
      </c>
      <c r="AC567" s="614">
        <f>SUMIFS(F508:F564,C508:C564,"A",H508:H564,"bruģis", Q508:Q564,"Nepiederošs")</f>
        <v>0</v>
      </c>
      <c r="AD567" s="614">
        <f>SUMIFS(F508:F564,C508:C564,"A",H508:H564,"grants", Q508:Q564,"Nepiederošs")</f>
        <v>0</v>
      </c>
      <c r="AE567" s="614">
        <f>SUMIFS(F508:F564,C508:C564,"A",H508:H564,"cits segums", Q508:Q564,"Nepiederošs")</f>
        <v>0</v>
      </c>
      <c r="AF567" s="614">
        <f>SUM(AA567:AE567)</f>
        <v>0</v>
      </c>
    </row>
    <row r="568" spans="1:32" ht="12.75" customHeight="1" x14ac:dyDescent="0.2">
      <c r="A568" s="148" t="s">
        <v>272</v>
      </c>
      <c r="B568" s="149"/>
      <c r="C568" s="486"/>
      <c r="D568" s="150"/>
      <c r="E568" s="151"/>
      <c r="F568" s="163">
        <f>SUMIFS(F508:F564,H508:H564,"grants")</f>
        <v>13.072999999999997</v>
      </c>
      <c r="G568" s="266">
        <f>SUMIFS(G508:G564,H508:H564,"grants")</f>
        <v>76383</v>
      </c>
      <c r="H568" s="162"/>
      <c r="I568" s="162"/>
      <c r="J568" s="159"/>
      <c r="K568" s="160"/>
      <c r="L568" s="160"/>
      <c r="M568" s="160"/>
      <c r="N568" s="161"/>
      <c r="O568" s="147"/>
      <c r="P568" s="147"/>
      <c r="Q568" s="147"/>
      <c r="R568" s="147"/>
      <c r="S568" s="617" t="s">
        <v>848</v>
      </c>
      <c r="T568" s="614">
        <f>SUMIFS(F508:F564,C508:C564,"B",H508:H564,"melnais")</f>
        <v>0</v>
      </c>
      <c r="U568" s="614">
        <f>SUMIFS(F508:F564,C508:C564,"B",H508:H564,"dubultā virsma")</f>
        <v>0</v>
      </c>
      <c r="V568" s="614">
        <f>SUMIFS(F508:F564,C508:C564,"B",H508:H564,"bruģis")</f>
        <v>0</v>
      </c>
      <c r="W568" s="614">
        <f>SUMIFS(F508:F564,C508:C564,"B",H508:H564,"grants")</f>
        <v>0</v>
      </c>
      <c r="X568" s="614">
        <f>SUMIFS(F508:F564,C508:C564,"B",H508:H564,"cits segums")</f>
        <v>0</v>
      </c>
      <c r="Y568" s="614">
        <f t="shared" ref="Y568:Y570" si="128">SUM(T568:X568)</f>
        <v>0</v>
      </c>
      <c r="Z568" s="617" t="s">
        <v>848</v>
      </c>
      <c r="AA568" s="614">
        <f>SUMIFS(F508:F564,C508:C564,"B",H508:H564,"melnais", Q508:Q564,"Nepiederošs")</f>
        <v>0</v>
      </c>
      <c r="AB568" s="614">
        <f>SUMIFS(F508:F564,C508:C564,"B",H508:H564,"dubultā virsma", Q508:Q564,"Nepiederošs")</f>
        <v>0</v>
      </c>
      <c r="AC568" s="614">
        <f>SUMIFS(F508:F564,C508:C564,"B",H508:H564,"bruģis", Q508:Q564,"Nepiederošs")</f>
        <v>0</v>
      </c>
      <c r="AD568" s="614">
        <f>SUMIFS(F508:F564,C508:C564,"B",H508:H564,"grants", Q508:Q564,"Nepiederošs")</f>
        <v>0</v>
      </c>
      <c r="AE568" s="614">
        <f>SUMIFS(F508:F564,C508:C564,"B",H508:H564,"cits segums", Q508:Q564,"Nepiederošs")</f>
        <v>0</v>
      </c>
      <c r="AF568" s="614">
        <f t="shared" ref="AF568:AF570" si="129">SUM(AA568:AE568)</f>
        <v>0</v>
      </c>
    </row>
    <row r="569" spans="1:32" ht="12.75" customHeight="1" x14ac:dyDescent="0.2">
      <c r="A569" s="148" t="s">
        <v>401</v>
      </c>
      <c r="B569" s="149"/>
      <c r="C569" s="486"/>
      <c r="D569" s="150"/>
      <c r="E569" s="151"/>
      <c r="F569" s="163">
        <f>SUMIFS(F508:F564,H508:H564,"cits segums")</f>
        <v>0.22999999999999998</v>
      </c>
      <c r="G569" s="266">
        <f>SUMIFS(G508:G564,H508:H564,"cits segums")</f>
        <v>460</v>
      </c>
      <c r="H569" s="165"/>
      <c r="I569" s="162"/>
      <c r="J569" s="166"/>
      <c r="K569" s="160"/>
      <c r="L569" s="160"/>
      <c r="M569" s="160"/>
      <c r="N569" s="161"/>
      <c r="O569" s="147"/>
      <c r="P569" s="147"/>
      <c r="Q569" s="147"/>
      <c r="R569" s="147"/>
      <c r="S569" s="615" t="s">
        <v>845</v>
      </c>
      <c r="T569" s="614">
        <f>SUMIFS(F508:F564,C508:C564,"C",H508:H564,"melnais")</f>
        <v>0</v>
      </c>
      <c r="U569" s="614">
        <f>SUMIFS(F508:F564,C508:C564,"C",H508:H564,"dubultā virsma")</f>
        <v>0</v>
      </c>
      <c r="V569" s="614">
        <f>SUMIFS(F508:F564,C508:C564,"C",H508:H564,"bruģis")</f>
        <v>0</v>
      </c>
      <c r="W569" s="614">
        <f>SUMIFS(F508:F564,C508:C564,"C",H508:H564,"grants")</f>
        <v>0</v>
      </c>
      <c r="X569" s="614">
        <f>SUMIFS(F508:F564,C508:C564,"C",H508:H564,"cits segums")</f>
        <v>0</v>
      </c>
      <c r="Y569" s="614">
        <f t="shared" si="128"/>
        <v>0</v>
      </c>
      <c r="Z569" s="615" t="s">
        <v>845</v>
      </c>
      <c r="AA569" s="614">
        <f>SUMIFS(F508:F564,C508:C564,"C",H508:H564,"melnais", Q508:Q564,"Nepiederošs")</f>
        <v>0</v>
      </c>
      <c r="AB569" s="614">
        <f>SUMIFS(F508:F564,C508:C564,"C",H508:H564,"dubultā virsma", Q508:Q564,"Nepiederošs")</f>
        <v>0</v>
      </c>
      <c r="AC569" s="614">
        <f>SUMIFS(F508:F564,C508:C564,"C",H508:H564,"bruģis", Q508:Q564,"Nepiederošs")</f>
        <v>0</v>
      </c>
      <c r="AD569" s="614">
        <f>SUMIFS(F508:F564,C508:C564,"C",H508:H564,"grants", Q508:Q564,"Nepiederošs")</f>
        <v>0</v>
      </c>
      <c r="AE569" s="614">
        <f>SUMIFS(F508:F564,C508:C564,"C",H508:H564,"cits segums", Q508:Q564,"Nepiederošs")</f>
        <v>0</v>
      </c>
      <c r="AF569" s="614">
        <f t="shared" si="129"/>
        <v>0</v>
      </c>
    </row>
    <row r="570" spans="1:32" x14ac:dyDescent="0.2">
      <c r="C570" s="33"/>
      <c r="S570" s="616" t="s">
        <v>846</v>
      </c>
      <c r="T570" s="614">
        <f>SUMIFS(F508:F564,C508:C564,"D",H508:H564,"melnais")</f>
        <v>6.6890000000000001</v>
      </c>
      <c r="U570" s="614">
        <f>SUMIFS(F508:F564,C508:C564,"D",H508:H564,"dubultā virsma")</f>
        <v>0</v>
      </c>
      <c r="V570" s="614">
        <f>SUMIFS(F508:F564,C508:C564,"D",H508:H564,"bruģis")</f>
        <v>0</v>
      </c>
      <c r="W570" s="614">
        <f>SUMIFS(F508:F564,C508:C564,"D",H508:H564,"grants")</f>
        <v>13.072999999999997</v>
      </c>
      <c r="X570" s="614">
        <f>SUMIFS(F508:F564,C508:C564,"D",H508:H564,"cits segums")</f>
        <v>0.22999999999999998</v>
      </c>
      <c r="Y570" s="614">
        <f t="shared" si="128"/>
        <v>19.991999999999997</v>
      </c>
      <c r="Z570" s="616" t="s">
        <v>846</v>
      </c>
      <c r="AA570" s="614">
        <f>SUMIFS(F508:F564,C508:C564,"D",H508:H564,"melnais", Q508:Q564,"Nepiederošs")</f>
        <v>0</v>
      </c>
      <c r="AB570" s="614">
        <f>SUMIFS(F508:F564,C508:C564,"D",H508:H564,"dubultā virsma", Q508:Q564,"Nepiederošs")</f>
        <v>0</v>
      </c>
      <c r="AC570" s="614">
        <f>SUMIFS(F508:F564,C508:C564,"D",H508:H564,"bruģis", Q508:Q564,"Nepiederošs")</f>
        <v>0</v>
      </c>
      <c r="AD570" s="614">
        <f>SUMIFS(F508:F564,C508:C564,"D",H508:H564,"grants", Q508:Q564,"Nepiederošs")</f>
        <v>0</v>
      </c>
      <c r="AE570" s="614">
        <f>SUMIFS(F508:F564,C508:C564,"D",H508:H564,"cits segums", Q508:Q564,"Nepiederošs")</f>
        <v>0</v>
      </c>
      <c r="AF570" s="614">
        <f t="shared" si="129"/>
        <v>0</v>
      </c>
    </row>
    <row r="571" spans="1:32" s="38" customFormat="1" ht="15" customHeight="1" x14ac:dyDescent="0.25">
      <c r="A571" s="33"/>
      <c r="C571" s="487"/>
      <c r="D571" s="813" t="s">
        <v>1073</v>
      </c>
      <c r="E571" s="813"/>
      <c r="F571" s="813"/>
      <c r="G571" s="813"/>
      <c r="H571" s="813"/>
      <c r="I571" s="813"/>
      <c r="J571" s="813"/>
      <c r="K571" s="813"/>
      <c r="L571" s="813"/>
      <c r="M571" s="813"/>
      <c r="N571" s="813"/>
      <c r="O571" s="813"/>
      <c r="P571" s="813"/>
      <c r="Q571" s="30"/>
      <c r="R571" s="37"/>
      <c r="S571" s="637"/>
      <c r="T571" s="629">
        <f>SUM(T567:T570)</f>
        <v>6.6890000000000001</v>
      </c>
      <c r="U571" s="629">
        <f t="shared" ref="U571" si="130">SUM(U567:U570)</f>
        <v>0</v>
      </c>
      <c r="V571" s="629">
        <f t="shared" ref="V571" si="131">SUM(V567:V570)</f>
        <v>0</v>
      </c>
      <c r="W571" s="629">
        <f t="shared" ref="W571" si="132">SUM(W567:W570)</f>
        <v>13.072999999999997</v>
      </c>
      <c r="X571" s="629">
        <f t="shared" ref="X571" si="133">SUM(X567:X570)</f>
        <v>0.22999999999999998</v>
      </c>
      <c r="Y571" s="629">
        <f t="shared" ref="Y571" si="134">SUM(Y567:Y570)</f>
        <v>19.991999999999997</v>
      </c>
      <c r="Z571"/>
      <c r="AA571" s="629">
        <f>SUM(AA567:AA570)</f>
        <v>0</v>
      </c>
      <c r="AB571" s="629">
        <f t="shared" ref="AB571" si="135">SUM(AB567:AB570)</f>
        <v>0</v>
      </c>
      <c r="AC571" s="629">
        <f>SUM(AC567:AC570)</f>
        <v>0</v>
      </c>
      <c r="AD571" s="629">
        <f t="shared" ref="AD571" si="136">SUM(AD567:AD570)</f>
        <v>0</v>
      </c>
      <c r="AE571" s="629">
        <f t="shared" ref="AE571" si="137">SUM(AE567:AE570)</f>
        <v>0</v>
      </c>
      <c r="AF571" s="629">
        <f t="shared" ref="AF571" si="138">SUM(AF567:AF570)</f>
        <v>0</v>
      </c>
    </row>
    <row r="572" spans="1:32" ht="12.75" customHeight="1" x14ac:dyDescent="0.2">
      <c r="A572" s="818" t="s">
        <v>244</v>
      </c>
      <c r="B572" s="825" t="s">
        <v>388</v>
      </c>
      <c r="C572" s="482"/>
      <c r="D572" s="826" t="s">
        <v>246</v>
      </c>
      <c r="E572" s="827"/>
      <c r="F572" s="827"/>
      <c r="G572" s="827"/>
      <c r="H572" s="827"/>
      <c r="I572" s="827"/>
      <c r="J572" s="827"/>
      <c r="K572" s="827"/>
      <c r="L572" s="827"/>
      <c r="M572" s="827"/>
      <c r="N572" s="827"/>
      <c r="O572" s="827"/>
      <c r="P572" s="828"/>
      <c r="Q572" s="821" t="s">
        <v>247</v>
      </c>
      <c r="R572" s="822"/>
    </row>
    <row r="573" spans="1:32" ht="12.75" customHeight="1" x14ac:dyDescent="0.2">
      <c r="A573" s="818"/>
      <c r="B573" s="825"/>
      <c r="C573" s="410"/>
      <c r="D573" s="816" t="s">
        <v>389</v>
      </c>
      <c r="E573" s="816"/>
      <c r="F573" s="816"/>
      <c r="G573" s="816"/>
      <c r="H573" s="816"/>
      <c r="I573" s="814" t="s">
        <v>249</v>
      </c>
      <c r="J573" s="814"/>
      <c r="K573" s="814"/>
      <c r="L573" s="814"/>
      <c r="M573" s="814"/>
      <c r="N573" s="814"/>
      <c r="O573" s="814"/>
      <c r="P573" s="815" t="s">
        <v>250</v>
      </c>
      <c r="Q573" s="823"/>
      <c r="R573" s="824"/>
    </row>
    <row r="574" spans="1:32" ht="15.2" customHeight="1" x14ac:dyDescent="0.2">
      <c r="A574" s="818"/>
      <c r="B574" s="825"/>
      <c r="C574" s="410"/>
      <c r="D574" s="816" t="s">
        <v>251</v>
      </c>
      <c r="E574" s="816"/>
      <c r="F574" s="817" t="s">
        <v>252</v>
      </c>
      <c r="G574" s="817" t="s">
        <v>257</v>
      </c>
      <c r="H574" s="818" t="s">
        <v>253</v>
      </c>
      <c r="I574" s="819" t="s">
        <v>254</v>
      </c>
      <c r="J574" s="814" t="s">
        <v>255</v>
      </c>
      <c r="K574" s="814"/>
      <c r="L574" s="820" t="s">
        <v>256</v>
      </c>
      <c r="M574" s="820" t="s">
        <v>257</v>
      </c>
      <c r="N574" s="820" t="s">
        <v>258</v>
      </c>
      <c r="O574" s="820" t="s">
        <v>259</v>
      </c>
      <c r="P574" s="809"/>
      <c r="Q574" s="809" t="s">
        <v>260</v>
      </c>
      <c r="R574" s="811" t="s">
        <v>261</v>
      </c>
    </row>
    <row r="575" spans="1:32" ht="33.75" customHeight="1" x14ac:dyDescent="0.2">
      <c r="A575" s="818"/>
      <c r="B575" s="825"/>
      <c r="C575" s="432" t="s">
        <v>844</v>
      </c>
      <c r="D575" s="95" t="s">
        <v>262</v>
      </c>
      <c r="E575" s="95" t="s">
        <v>263</v>
      </c>
      <c r="F575" s="817"/>
      <c r="G575" s="817"/>
      <c r="H575" s="818"/>
      <c r="I575" s="819"/>
      <c r="J575" s="96" t="s">
        <v>231</v>
      </c>
      <c r="K575" s="96" t="s">
        <v>264</v>
      </c>
      <c r="L575" s="820"/>
      <c r="M575" s="820"/>
      <c r="N575" s="820"/>
      <c r="O575" s="820"/>
      <c r="P575" s="810"/>
      <c r="Q575" s="810"/>
      <c r="R575" s="812"/>
    </row>
    <row r="576" spans="1:32" s="99" customFormat="1" ht="12" customHeight="1" x14ac:dyDescent="0.25">
      <c r="A576" s="97">
        <v>1</v>
      </c>
      <c r="B576" s="97">
        <v>2</v>
      </c>
      <c r="C576" s="97"/>
      <c r="D576" s="97">
        <v>3</v>
      </c>
      <c r="E576" s="97">
        <v>4</v>
      </c>
      <c r="F576" s="97">
        <v>5</v>
      </c>
      <c r="G576" s="97">
        <v>6</v>
      </c>
      <c r="H576" s="97">
        <v>7</v>
      </c>
      <c r="I576" s="98">
        <v>8</v>
      </c>
      <c r="J576" s="98">
        <v>9</v>
      </c>
      <c r="K576" s="98">
        <v>10</v>
      </c>
      <c r="L576" s="98">
        <v>11</v>
      </c>
      <c r="M576" s="98">
        <v>12</v>
      </c>
      <c r="N576" s="98">
        <v>13</v>
      </c>
      <c r="O576" s="98">
        <v>14</v>
      </c>
      <c r="P576" s="98">
        <v>15</v>
      </c>
      <c r="Q576" s="98">
        <v>16</v>
      </c>
      <c r="R576" s="97">
        <v>17</v>
      </c>
    </row>
    <row r="577" spans="1:32" x14ac:dyDescent="0.2">
      <c r="A577" s="178">
        <v>1</v>
      </c>
      <c r="B577" s="177" t="s">
        <v>545</v>
      </c>
      <c r="C577" s="175" t="s">
        <v>846</v>
      </c>
      <c r="D577" s="259">
        <v>0</v>
      </c>
      <c r="E577" s="259">
        <v>0.65</v>
      </c>
      <c r="F577" s="269">
        <v>0.65</v>
      </c>
      <c r="G577" s="257">
        <v>4550</v>
      </c>
      <c r="H577" s="177" t="s">
        <v>4</v>
      </c>
      <c r="I577" s="254"/>
      <c r="J577" s="255"/>
      <c r="K577" s="255"/>
      <c r="L577" s="255"/>
      <c r="M577" s="255"/>
      <c r="N577" s="255"/>
      <c r="O577" s="255"/>
      <c r="P577" s="255"/>
      <c r="Q577" s="259" t="s">
        <v>421</v>
      </c>
      <c r="R577" s="180">
        <v>80740020153</v>
      </c>
    </row>
    <row r="578" spans="1:32" ht="15" x14ac:dyDescent="0.25">
      <c r="A578" s="178">
        <v>2</v>
      </c>
      <c r="B578" s="177" t="s">
        <v>544</v>
      </c>
      <c r="C578" s="175" t="s">
        <v>846</v>
      </c>
      <c r="D578" s="259">
        <v>0</v>
      </c>
      <c r="E578" s="259">
        <v>0.2</v>
      </c>
      <c r="F578" s="269">
        <v>0.2</v>
      </c>
      <c r="G578" s="257">
        <v>900</v>
      </c>
      <c r="H578" s="241" t="s">
        <v>0</v>
      </c>
      <c r="I578" s="254"/>
      <c r="J578" s="255"/>
      <c r="K578" s="255"/>
      <c r="L578" s="255"/>
      <c r="M578" s="255"/>
      <c r="N578" s="255"/>
      <c r="O578" s="255"/>
      <c r="P578" s="255"/>
      <c r="Q578" s="259" t="s">
        <v>421</v>
      </c>
      <c r="R578" s="180">
        <v>80740020152</v>
      </c>
      <c r="S578"/>
      <c r="T578"/>
      <c r="U578"/>
      <c r="V578"/>
      <c r="W578"/>
      <c r="X578"/>
      <c r="Y578"/>
      <c r="Z578"/>
      <c r="AA578" t="s">
        <v>1097</v>
      </c>
      <c r="AB578"/>
      <c r="AC578"/>
      <c r="AD578"/>
      <c r="AE578"/>
      <c r="AF578"/>
    </row>
    <row r="579" spans="1:32" ht="12.75" customHeight="1" x14ac:dyDescent="0.2">
      <c r="A579" s="137" t="s">
        <v>426</v>
      </c>
      <c r="B579" s="138"/>
      <c r="C579" s="485"/>
      <c r="D579" s="139"/>
      <c r="E579" s="140"/>
      <c r="F579" s="141">
        <f>SUM(F577:F578)</f>
        <v>0.85000000000000009</v>
      </c>
      <c r="G579" s="204">
        <f>SUM(G577:G578)</f>
        <v>5450</v>
      </c>
      <c r="H579" s="143"/>
      <c r="I579" s="94"/>
      <c r="J579" s="144"/>
      <c r="K579" s="145" t="s">
        <v>268</v>
      </c>
      <c r="L579" s="141">
        <f>SUM(L577:L578)</f>
        <v>0</v>
      </c>
      <c r="M579" s="141">
        <f>SUM(M577:M578)</f>
        <v>0</v>
      </c>
      <c r="N579" s="147"/>
      <c r="O579" s="145" t="s">
        <v>269</v>
      </c>
      <c r="P579" s="141">
        <f>SUM(P577:P578)</f>
        <v>0</v>
      </c>
      <c r="Q579" s="147"/>
      <c r="R579" s="147"/>
      <c r="S579" s="102"/>
      <c r="T579" s="625" t="s">
        <v>1092</v>
      </c>
      <c r="U579" s="625" t="s">
        <v>1093</v>
      </c>
      <c r="V579" s="625" t="s">
        <v>1094</v>
      </c>
      <c r="W579" s="625" t="s">
        <v>1095</v>
      </c>
      <c r="X579" s="625" t="s">
        <v>1096</v>
      </c>
      <c r="Y579" s="627" t="s">
        <v>269</v>
      </c>
      <c r="Z579" s="102"/>
      <c r="AA579" s="625" t="s">
        <v>1092</v>
      </c>
      <c r="AB579" s="625" t="s">
        <v>1093</v>
      </c>
      <c r="AC579" s="625" t="s">
        <v>1094</v>
      </c>
      <c r="AD579" s="625" t="s">
        <v>1095</v>
      </c>
      <c r="AE579" s="625" t="s">
        <v>1096</v>
      </c>
      <c r="AF579" s="627" t="s">
        <v>269</v>
      </c>
    </row>
    <row r="580" spans="1:32" ht="12.75" customHeight="1" x14ac:dyDescent="0.2">
      <c r="A580" s="148" t="s">
        <v>270</v>
      </c>
      <c r="B580" s="149"/>
      <c r="C580" s="486"/>
      <c r="D580" s="150"/>
      <c r="E580" s="151"/>
      <c r="F580" s="163">
        <f>F577</f>
        <v>0.65</v>
      </c>
      <c r="G580" s="266">
        <f>G577</f>
        <v>4550</v>
      </c>
      <c r="H580" s="154"/>
      <c r="I580" s="155"/>
      <c r="J580" s="147"/>
      <c r="K580" s="136"/>
      <c r="L580" s="156"/>
      <c r="M580" s="156"/>
      <c r="N580" s="147"/>
      <c r="O580" s="147"/>
      <c r="P580" s="147"/>
      <c r="Q580" s="147"/>
      <c r="R580" s="147"/>
      <c r="S580" s="628" t="s">
        <v>844</v>
      </c>
      <c r="T580" s="625" t="s">
        <v>231</v>
      </c>
      <c r="U580" s="625" t="s">
        <v>231</v>
      </c>
      <c r="V580" s="625" t="s">
        <v>231</v>
      </c>
      <c r="W580" s="625" t="s">
        <v>231</v>
      </c>
      <c r="X580" s="625" t="s">
        <v>231</v>
      </c>
      <c r="Y580" s="626" t="s">
        <v>231</v>
      </c>
      <c r="Z580" s="628"/>
      <c r="AA580" s="625" t="s">
        <v>231</v>
      </c>
      <c r="AB580" s="625" t="s">
        <v>231</v>
      </c>
      <c r="AC580" s="625" t="s">
        <v>231</v>
      </c>
      <c r="AD580" s="625" t="s">
        <v>231</v>
      </c>
      <c r="AE580" s="625" t="s">
        <v>231</v>
      </c>
      <c r="AF580" s="626" t="s">
        <v>231</v>
      </c>
    </row>
    <row r="581" spans="1:32" ht="12.75" customHeight="1" x14ac:dyDescent="0.2">
      <c r="A581" s="148" t="s">
        <v>271</v>
      </c>
      <c r="B581" s="149"/>
      <c r="C581" s="486"/>
      <c r="D581" s="150"/>
      <c r="E581" s="151"/>
      <c r="F581" s="163">
        <v>0</v>
      </c>
      <c r="G581" s="266">
        <v>0</v>
      </c>
      <c r="H581" s="162"/>
      <c r="I581" s="94"/>
      <c r="J581" s="159"/>
      <c r="K581" s="160"/>
      <c r="L581" s="160"/>
      <c r="M581" s="160"/>
      <c r="N581" s="161"/>
      <c r="O581" s="147"/>
      <c r="P581" s="147"/>
      <c r="Q581" s="147"/>
      <c r="R581" s="147"/>
      <c r="S581" s="616" t="s">
        <v>847</v>
      </c>
      <c r="T581" s="614">
        <f>SUMIFS(F572:F578,C572:C578,"A",H572:H578,"melnais")</f>
        <v>0</v>
      </c>
      <c r="U581" s="614">
        <f>SUMIFS(F572:F578,C572:C578,"A",H572:H578,"dubultā virsma")</f>
        <v>0</v>
      </c>
      <c r="V581" s="614">
        <f>SUMIFS(F572:F578,C572:C578,"A",H572:H578,"bruģis")</f>
        <v>0</v>
      </c>
      <c r="W581" s="614">
        <f>SUMIFS(F572:F578,C572:C578,"A",H572:H578,"grants")</f>
        <v>0</v>
      </c>
      <c r="X581" s="614">
        <f>SUMIFS(F572:F578,C572:C578,"A",H572:H578,"cits segums")</f>
        <v>0</v>
      </c>
      <c r="Y581" s="614">
        <f>SUM(T581:X581)</f>
        <v>0</v>
      </c>
      <c r="Z581" s="616" t="s">
        <v>847</v>
      </c>
      <c r="AA581" s="614">
        <f>SUMIFS(F572:F578,C572:C578,"A",H572:H578,"melnais", Q572:Q578,"Nepiederošs")</f>
        <v>0</v>
      </c>
      <c r="AB581" s="614">
        <f>SUMIFS(F572:F578,C572:C578,"A",H572:H578,"dubultā virsma", Q572:Q578,"Nepiederošs")</f>
        <v>0</v>
      </c>
      <c r="AC581" s="614">
        <f>SUMIFS(F572:F578,C572:C578,"A",H572:H578,"bruģis", Q572:Q578,"Nepiederošs")</f>
        <v>0</v>
      </c>
      <c r="AD581" s="614">
        <f>SUMIFS(F572:F578,C572:C578,"A",H572:H578,"grants", Q572:Q578,"Nepiederošs")</f>
        <v>0</v>
      </c>
      <c r="AE581" s="614">
        <f>SUMIFS(F572:F578,C572:C578,"A",H572:H578,"cits segums", Q572:Q578,"Nepiederošs")</f>
        <v>0</v>
      </c>
      <c r="AF581" s="614">
        <f>SUM(AA581:AE581)</f>
        <v>0</v>
      </c>
    </row>
    <row r="582" spans="1:32" ht="12.75" customHeight="1" x14ac:dyDescent="0.2">
      <c r="A582" s="148" t="s">
        <v>272</v>
      </c>
      <c r="B582" s="149"/>
      <c r="C582" s="486"/>
      <c r="D582" s="150"/>
      <c r="E582" s="151"/>
      <c r="F582" s="163">
        <f>F578</f>
        <v>0.2</v>
      </c>
      <c r="G582" s="266">
        <f>G578</f>
        <v>900</v>
      </c>
      <c r="H582" s="162"/>
      <c r="I582" s="162"/>
      <c r="J582" s="159"/>
      <c r="K582" s="160"/>
      <c r="L582" s="160"/>
      <c r="M582" s="160"/>
      <c r="N582" s="161"/>
      <c r="O582" s="147"/>
      <c r="P582" s="147"/>
      <c r="Q582" s="147"/>
      <c r="R582" s="147"/>
      <c r="S582" s="617" t="s">
        <v>848</v>
      </c>
      <c r="T582" s="614">
        <f>SUMIFS(F572:F578,C572:C578,"B",H572:H578,"melnais")</f>
        <v>0</v>
      </c>
      <c r="U582" s="614">
        <f>SUMIFS(F572:F578,C572:C578,"B",H572:H578,"dubultā virsma")</f>
        <v>0</v>
      </c>
      <c r="V582" s="614">
        <f>SUMIFS(F572:F578,C572:C578,"B",H572:H578,"bruģis")</f>
        <v>0</v>
      </c>
      <c r="W582" s="614">
        <f>SUMIFS(F572:F578,C572:C578,"B",H572:H578,"grants")</f>
        <v>0</v>
      </c>
      <c r="X582" s="614">
        <f>SUMIFS(F572:F578,C572:C578,"B",H572:H578,"cits segums")</f>
        <v>0</v>
      </c>
      <c r="Y582" s="614">
        <f t="shared" ref="Y582:Y584" si="139">SUM(T582:X582)</f>
        <v>0</v>
      </c>
      <c r="Z582" s="617" t="s">
        <v>848</v>
      </c>
      <c r="AA582" s="614">
        <f>SUMIFS(F572:F578,C572:C578,"B",H572:H578,"melnais", Q572:Q578,"Nepiederošs")</f>
        <v>0</v>
      </c>
      <c r="AB582" s="614">
        <f>SUMIFS(F572:F578,C572:C578,"B",H572:H578,"dubultā virsma", Q572:Q578,"Nepiederošs")</f>
        <v>0</v>
      </c>
      <c r="AC582" s="614">
        <f>SUMIFS(F572:F578,C572:C578,"B",H572:H578,"bruģis", Q572:Q578,"Nepiederošs")</f>
        <v>0</v>
      </c>
      <c r="AD582" s="614">
        <f>SUMIFS(F572:F578,C572:C578,"B",H572:H578,"grants", Q572:Q578,"Nepiederošs")</f>
        <v>0</v>
      </c>
      <c r="AE582" s="614">
        <f>SUMIFS(F572:F578,C572:C578,"B",H572:H578,"cits segums", Q572:Q578,"Nepiederošs")</f>
        <v>0</v>
      </c>
      <c r="AF582" s="614">
        <f t="shared" ref="AF582:AF584" si="140">SUM(AA582:AE582)</f>
        <v>0</v>
      </c>
    </row>
    <row r="583" spans="1:32" ht="12.75" customHeight="1" x14ac:dyDescent="0.2">
      <c r="A583" s="148" t="s">
        <v>401</v>
      </c>
      <c r="B583" s="149"/>
      <c r="C583" s="486"/>
      <c r="D583" s="150"/>
      <c r="E583" s="151"/>
      <c r="F583" s="163">
        <v>0</v>
      </c>
      <c r="G583" s="266">
        <v>0</v>
      </c>
      <c r="H583" s="165"/>
      <c r="I583" s="162"/>
      <c r="J583" s="166"/>
      <c r="K583" s="160"/>
      <c r="L583" s="160"/>
      <c r="M583" s="160"/>
      <c r="N583" s="161"/>
      <c r="O583" s="147"/>
      <c r="P583" s="147"/>
      <c r="Q583" s="147"/>
      <c r="R583" s="147"/>
      <c r="S583" s="615" t="s">
        <v>845</v>
      </c>
      <c r="T583" s="614">
        <f>SUMIFS(F572:F578,C572:C578,"C",H572:H578,"melnais")</f>
        <v>0</v>
      </c>
      <c r="U583" s="614">
        <f>SUMIFS(F572:F578,C572:C578,"C",H572:H578,"dubultā virsma")</f>
        <v>0</v>
      </c>
      <c r="V583" s="614">
        <f>SUMIFS(F572:F578,C572:C578,"C",H572:H578,"bruģis")</f>
        <v>0</v>
      </c>
      <c r="W583" s="614">
        <f>SUMIFS(F572:F578,C572:C578,"C",H572:H578,"grants")</f>
        <v>0</v>
      </c>
      <c r="X583" s="614">
        <f>SUMIFS(F572:F578,C572:C578,"C",H572:H578,"cits segums")</f>
        <v>0</v>
      </c>
      <c r="Y583" s="614">
        <f t="shared" si="139"/>
        <v>0</v>
      </c>
      <c r="Z583" s="615" t="s">
        <v>845</v>
      </c>
      <c r="AA583" s="614">
        <f>SUMIFS(F572:F578,C572:C578,"C",H572:H578,"melnais", Q572:Q578,"Nepiederošs")</f>
        <v>0</v>
      </c>
      <c r="AB583" s="614">
        <f>SUMIFS(F572:F578,C572:C578,"C",H572:H578,"dubultā virsma", Q572:Q578,"Nepiederošs")</f>
        <v>0</v>
      </c>
      <c r="AC583" s="614">
        <f>SUMIFS(F572:F578,C572:C578,"C",H572:H578,"bruģis", Q572:Q578,"Nepiederošs")</f>
        <v>0</v>
      </c>
      <c r="AD583" s="614">
        <f>SUMIFS(F572:F578,C572:C578,"C",H572:H578,"grants", Q572:Q578,"Nepiederošs")</f>
        <v>0</v>
      </c>
      <c r="AE583" s="614">
        <f>SUMIFS(F572:F578,C572:C578,"C",H572:H578,"cits segums", Q572:Q578,"Nepiederošs")</f>
        <v>0</v>
      </c>
      <c r="AF583" s="614">
        <f t="shared" si="140"/>
        <v>0</v>
      </c>
    </row>
    <row r="584" spans="1:32" x14ac:dyDescent="0.2">
      <c r="C584" s="33"/>
      <c r="S584" s="616" t="s">
        <v>846</v>
      </c>
      <c r="T584" s="614">
        <f>SUMIFS(F572:F578,C572:C578,"D",H572:H578,"melnais")</f>
        <v>0.65</v>
      </c>
      <c r="U584" s="614">
        <f>SUMIFS(F572:F578,C572:C578,"D",H572:H578,"dubultā virsma")</f>
        <v>0</v>
      </c>
      <c r="V584" s="614">
        <f>SUMIFS(F572:F578,C572:C578,"D",H572:H578,"bruģis")</f>
        <v>0</v>
      </c>
      <c r="W584" s="614">
        <f>SUMIFS(F572:F578,C572:C578,"D",H572:H578,"grants")</f>
        <v>0.2</v>
      </c>
      <c r="X584" s="614">
        <f>SUMIFS(F572:F578,C572:C578,"D",H572:H578,"cits segums")</f>
        <v>0</v>
      </c>
      <c r="Y584" s="614">
        <f t="shared" si="139"/>
        <v>0.85000000000000009</v>
      </c>
      <c r="Z584" s="616" t="s">
        <v>846</v>
      </c>
      <c r="AA584" s="614">
        <f>SUMIFS(F572:F578,C572:C578,"D",H572:H578,"melnais", Q572:Q578,"Nepiederošs")</f>
        <v>0</v>
      </c>
      <c r="AB584" s="614">
        <f>SUMIFS(F572:F578,C572:C578,"D",H572:H578,"dubultā virsma", Q572:Q578,"Nepiederošs")</f>
        <v>0</v>
      </c>
      <c r="AC584" s="614">
        <f>SUMIFS(F572:F578,C572:C578,"D",H572:H578,"bruģis", Q572:Q578,"Nepiederošs")</f>
        <v>0</v>
      </c>
      <c r="AD584" s="614">
        <f>SUMIFS(F572:F578,C572:C578,"D",H572:H578,"grants", Q572:Q578,"Nepiederošs")</f>
        <v>0</v>
      </c>
      <c r="AE584" s="614">
        <f>SUMIFS(F572:F578,C572:C578,"D",H572:H578,"cits segums", Q572:Q578,"Nepiederošs")</f>
        <v>0</v>
      </c>
      <c r="AF584" s="614">
        <f t="shared" si="140"/>
        <v>0</v>
      </c>
    </row>
    <row r="585" spans="1:32" s="38" customFormat="1" ht="15" customHeight="1" x14ac:dyDescent="0.25">
      <c r="A585" s="33"/>
      <c r="C585" s="487"/>
      <c r="D585" s="813" t="s">
        <v>1074</v>
      </c>
      <c r="E585" s="813"/>
      <c r="F585" s="813"/>
      <c r="G585" s="813"/>
      <c r="H585" s="813"/>
      <c r="I585" s="813"/>
      <c r="J585" s="813"/>
      <c r="K585" s="813"/>
      <c r="L585" s="813"/>
      <c r="M585" s="813"/>
      <c r="N585" s="813"/>
      <c r="O585" s="813"/>
      <c r="P585" s="813"/>
      <c r="Q585" s="30"/>
      <c r="R585" s="37"/>
      <c r="S585" s="637"/>
      <c r="T585" s="629">
        <f>SUM(T581:T584)</f>
        <v>0.65</v>
      </c>
      <c r="U585" s="629">
        <f t="shared" ref="U585" si="141">SUM(U581:U584)</f>
        <v>0</v>
      </c>
      <c r="V585" s="629">
        <f t="shared" ref="V585" si="142">SUM(V581:V584)</f>
        <v>0</v>
      </c>
      <c r="W585" s="629">
        <f t="shared" ref="W585" si="143">SUM(W581:W584)</f>
        <v>0.2</v>
      </c>
      <c r="X585" s="629">
        <f t="shared" ref="X585" si="144">SUM(X581:X584)</f>
        <v>0</v>
      </c>
      <c r="Y585" s="629">
        <f t="shared" ref="Y585" si="145">SUM(Y581:Y584)</f>
        <v>0.85000000000000009</v>
      </c>
      <c r="Z585"/>
      <c r="AA585" s="629">
        <f>SUM(AA581:AA584)</f>
        <v>0</v>
      </c>
      <c r="AB585" s="629">
        <f t="shared" ref="AB585" si="146">SUM(AB581:AB584)</f>
        <v>0</v>
      </c>
      <c r="AC585" s="629">
        <f>SUM(AC581:AC584)</f>
        <v>0</v>
      </c>
      <c r="AD585" s="629">
        <f t="shared" ref="AD585" si="147">SUM(AD581:AD584)</f>
        <v>0</v>
      </c>
      <c r="AE585" s="629">
        <f t="shared" ref="AE585" si="148">SUM(AE581:AE584)</f>
        <v>0</v>
      </c>
      <c r="AF585" s="629">
        <f t="shared" ref="AF585" si="149">SUM(AF581:AF584)</f>
        <v>0</v>
      </c>
    </row>
    <row r="586" spans="1:32" ht="12.75" customHeight="1" x14ac:dyDescent="0.2">
      <c r="A586" s="818" t="s">
        <v>244</v>
      </c>
      <c r="B586" s="825" t="s">
        <v>388</v>
      </c>
      <c r="C586" s="482"/>
      <c r="D586" s="826" t="s">
        <v>246</v>
      </c>
      <c r="E586" s="827"/>
      <c r="F586" s="827"/>
      <c r="G586" s="827"/>
      <c r="H586" s="827"/>
      <c r="I586" s="827"/>
      <c r="J586" s="827"/>
      <c r="K586" s="827"/>
      <c r="L586" s="827"/>
      <c r="M586" s="827"/>
      <c r="N586" s="827"/>
      <c r="O586" s="827"/>
      <c r="P586" s="828"/>
      <c r="Q586" s="821" t="s">
        <v>247</v>
      </c>
      <c r="R586" s="822"/>
    </row>
    <row r="587" spans="1:32" ht="12.75" customHeight="1" x14ac:dyDescent="0.2">
      <c r="A587" s="818"/>
      <c r="B587" s="825"/>
      <c r="C587" s="410"/>
      <c r="D587" s="816" t="s">
        <v>389</v>
      </c>
      <c r="E587" s="816"/>
      <c r="F587" s="816"/>
      <c r="G587" s="816"/>
      <c r="H587" s="816"/>
      <c r="I587" s="814" t="s">
        <v>249</v>
      </c>
      <c r="J587" s="814"/>
      <c r="K587" s="814"/>
      <c r="L587" s="814"/>
      <c r="M587" s="814"/>
      <c r="N587" s="814"/>
      <c r="O587" s="814"/>
      <c r="P587" s="815" t="s">
        <v>250</v>
      </c>
      <c r="Q587" s="823"/>
      <c r="R587" s="824"/>
    </row>
    <row r="588" spans="1:32" ht="15.2" customHeight="1" x14ac:dyDescent="0.2">
      <c r="A588" s="818"/>
      <c r="B588" s="825"/>
      <c r="C588" s="410"/>
      <c r="D588" s="816" t="s">
        <v>251</v>
      </c>
      <c r="E588" s="816"/>
      <c r="F588" s="817" t="s">
        <v>252</v>
      </c>
      <c r="G588" s="817" t="s">
        <v>257</v>
      </c>
      <c r="H588" s="818" t="s">
        <v>253</v>
      </c>
      <c r="I588" s="819" t="s">
        <v>254</v>
      </c>
      <c r="J588" s="814" t="s">
        <v>255</v>
      </c>
      <c r="K588" s="814"/>
      <c r="L588" s="820" t="s">
        <v>256</v>
      </c>
      <c r="M588" s="820" t="s">
        <v>257</v>
      </c>
      <c r="N588" s="820" t="s">
        <v>258</v>
      </c>
      <c r="O588" s="820" t="s">
        <v>259</v>
      </c>
      <c r="P588" s="809"/>
      <c r="Q588" s="809" t="s">
        <v>260</v>
      </c>
      <c r="R588" s="811" t="s">
        <v>261</v>
      </c>
    </row>
    <row r="589" spans="1:32" ht="33.75" customHeight="1" x14ac:dyDescent="0.2">
      <c r="A589" s="818"/>
      <c r="B589" s="825"/>
      <c r="C589" s="432" t="s">
        <v>844</v>
      </c>
      <c r="D589" s="95" t="s">
        <v>262</v>
      </c>
      <c r="E589" s="95" t="s">
        <v>263</v>
      </c>
      <c r="F589" s="817"/>
      <c r="G589" s="817"/>
      <c r="H589" s="818"/>
      <c r="I589" s="819"/>
      <c r="J589" s="96" t="s">
        <v>231</v>
      </c>
      <c r="K589" s="96" t="s">
        <v>264</v>
      </c>
      <c r="L589" s="820"/>
      <c r="M589" s="820"/>
      <c r="N589" s="820"/>
      <c r="O589" s="820"/>
      <c r="P589" s="810"/>
      <c r="Q589" s="810"/>
      <c r="R589" s="812"/>
    </row>
    <row r="590" spans="1:32" s="99" customFormat="1" ht="12" customHeight="1" x14ac:dyDescent="0.25">
      <c r="A590" s="97">
        <v>1</v>
      </c>
      <c r="B590" s="97">
        <v>2</v>
      </c>
      <c r="C590" s="97"/>
      <c r="D590" s="97">
        <v>3</v>
      </c>
      <c r="E590" s="97">
        <v>4</v>
      </c>
      <c r="F590" s="97">
        <v>5</v>
      </c>
      <c r="G590" s="97">
        <v>6</v>
      </c>
      <c r="H590" s="97">
        <v>7</v>
      </c>
      <c r="I590" s="98">
        <v>8</v>
      </c>
      <c r="J590" s="98">
        <v>9</v>
      </c>
      <c r="K590" s="98">
        <v>10</v>
      </c>
      <c r="L590" s="98">
        <v>11</v>
      </c>
      <c r="M590" s="98">
        <v>12</v>
      </c>
      <c r="N590" s="98">
        <v>13</v>
      </c>
      <c r="O590" s="98">
        <v>14</v>
      </c>
      <c r="P590" s="98">
        <v>15</v>
      </c>
      <c r="Q590" s="98">
        <v>16</v>
      </c>
      <c r="R590" s="97">
        <v>17</v>
      </c>
    </row>
    <row r="591" spans="1:32" x14ac:dyDescent="0.2">
      <c r="A591" s="178">
        <v>1</v>
      </c>
      <c r="B591" s="177" t="s">
        <v>543</v>
      </c>
      <c r="C591" s="175" t="s">
        <v>846</v>
      </c>
      <c r="D591" s="259">
        <v>0</v>
      </c>
      <c r="E591" s="259">
        <v>0.35</v>
      </c>
      <c r="F591" s="269">
        <v>0.35</v>
      </c>
      <c r="G591" s="257">
        <v>1750</v>
      </c>
      <c r="H591" s="177" t="s">
        <v>0</v>
      </c>
      <c r="I591" s="254"/>
      <c r="J591" s="255"/>
      <c r="K591" s="255"/>
      <c r="L591" s="255"/>
      <c r="M591" s="255"/>
      <c r="N591" s="255"/>
      <c r="O591" s="255"/>
      <c r="P591" s="255"/>
      <c r="Q591" s="261">
        <v>80740050519</v>
      </c>
      <c r="R591" s="180">
        <v>80740050519</v>
      </c>
    </row>
    <row r="592" spans="1:32" x14ac:dyDescent="0.2">
      <c r="A592" s="178">
        <v>2</v>
      </c>
      <c r="B592" s="177" t="s">
        <v>542</v>
      </c>
      <c r="C592" s="175" t="s">
        <v>846</v>
      </c>
      <c r="D592" s="259">
        <v>0</v>
      </c>
      <c r="E592" s="259">
        <v>0.1</v>
      </c>
      <c r="F592" s="269">
        <v>0.1</v>
      </c>
      <c r="G592" s="257">
        <v>450</v>
      </c>
      <c r="H592" s="177" t="s">
        <v>0</v>
      </c>
      <c r="I592" s="254"/>
      <c r="J592" s="255"/>
      <c r="K592" s="255"/>
      <c r="L592" s="255"/>
      <c r="M592" s="255"/>
      <c r="N592" s="255"/>
      <c r="O592" s="255"/>
      <c r="P592" s="255"/>
      <c r="Q592" s="261">
        <v>80740050636</v>
      </c>
      <c r="R592" s="180">
        <v>80740050634</v>
      </c>
    </row>
    <row r="593" spans="1:32" x14ac:dyDescent="0.2">
      <c r="A593" s="178">
        <v>3</v>
      </c>
      <c r="B593" s="177" t="s">
        <v>541</v>
      </c>
      <c r="C593" s="175" t="s">
        <v>846</v>
      </c>
      <c r="D593" s="259">
        <v>0</v>
      </c>
      <c r="E593" s="259">
        <v>0.23</v>
      </c>
      <c r="F593" s="269">
        <v>0.23</v>
      </c>
      <c r="G593" s="257">
        <v>1150</v>
      </c>
      <c r="H593" s="177" t="s">
        <v>0</v>
      </c>
      <c r="I593" s="254"/>
      <c r="J593" s="255"/>
      <c r="K593" s="255"/>
      <c r="L593" s="255"/>
      <c r="M593" s="255"/>
      <c r="N593" s="255"/>
      <c r="O593" s="255"/>
      <c r="P593" s="255"/>
      <c r="Q593" s="261">
        <v>80740050515</v>
      </c>
      <c r="R593" s="180">
        <v>80740050635</v>
      </c>
    </row>
    <row r="594" spans="1:32" x14ac:dyDescent="0.2">
      <c r="A594" s="178">
        <v>4</v>
      </c>
      <c r="B594" s="177" t="s">
        <v>540</v>
      </c>
      <c r="C594" s="175" t="s">
        <v>846</v>
      </c>
      <c r="D594" s="259">
        <v>0</v>
      </c>
      <c r="E594" s="259">
        <v>0.32</v>
      </c>
      <c r="F594" s="269">
        <v>0.32</v>
      </c>
      <c r="G594" s="257">
        <v>1440</v>
      </c>
      <c r="H594" s="177" t="s">
        <v>0</v>
      </c>
      <c r="I594" s="254"/>
      <c r="J594" s="255"/>
      <c r="K594" s="255"/>
      <c r="L594" s="255"/>
      <c r="M594" s="255"/>
      <c r="N594" s="255"/>
      <c r="O594" s="255"/>
      <c r="P594" s="255"/>
      <c r="Q594" s="261">
        <v>80740050517</v>
      </c>
      <c r="R594" s="180">
        <v>80740050517</v>
      </c>
    </row>
    <row r="595" spans="1:32" x14ac:dyDescent="0.2">
      <c r="A595" s="300">
        <v>5</v>
      </c>
      <c r="B595" s="297" t="s">
        <v>539</v>
      </c>
      <c r="C595" s="175" t="s">
        <v>846</v>
      </c>
      <c r="D595" s="259">
        <v>0</v>
      </c>
      <c r="E595" s="259">
        <v>0.75</v>
      </c>
      <c r="F595" s="269">
        <v>0.75</v>
      </c>
      <c r="G595" s="257">
        <v>4500</v>
      </c>
      <c r="H595" s="177" t="s">
        <v>0</v>
      </c>
      <c r="I595" s="254"/>
      <c r="J595" s="255"/>
      <c r="K595" s="255"/>
      <c r="L595" s="255"/>
      <c r="M595" s="255"/>
      <c r="N595" s="255"/>
      <c r="O595" s="255"/>
      <c r="P595" s="255"/>
      <c r="Q595" s="261">
        <v>80740050520</v>
      </c>
      <c r="R595" s="180">
        <v>80740050520</v>
      </c>
    </row>
    <row r="596" spans="1:32" x14ac:dyDescent="0.2">
      <c r="A596" s="300">
        <v>6</v>
      </c>
      <c r="B596" s="298" t="s">
        <v>538</v>
      </c>
      <c r="C596" s="175" t="s">
        <v>846</v>
      </c>
      <c r="D596" s="197">
        <v>0</v>
      </c>
      <c r="E596" s="197">
        <v>0.69199999999999995</v>
      </c>
      <c r="F596" s="219">
        <v>0.69199999999999995</v>
      </c>
      <c r="G596" s="607">
        <v>4908</v>
      </c>
      <c r="H596" s="177" t="s">
        <v>4</v>
      </c>
      <c r="I596" s="254"/>
      <c r="J596" s="609"/>
      <c r="K596" s="609"/>
      <c r="L596" s="609"/>
      <c r="M596" s="609"/>
      <c r="N596" s="609"/>
      <c r="O596" s="609"/>
      <c r="P596" s="609"/>
      <c r="Q596" s="262">
        <v>80740050518</v>
      </c>
      <c r="R596" s="180">
        <v>80740050518</v>
      </c>
    </row>
    <row r="597" spans="1:32" x14ac:dyDescent="0.2">
      <c r="A597" s="301"/>
      <c r="B597" s="299"/>
      <c r="C597" s="175" t="s">
        <v>846</v>
      </c>
      <c r="D597" s="610">
        <f>E596</f>
        <v>0.69199999999999995</v>
      </c>
      <c r="E597" s="197">
        <f>D597+F597</f>
        <v>0.78199999999999992</v>
      </c>
      <c r="F597" s="219">
        <v>0.09</v>
      </c>
      <c r="G597" s="607">
        <v>630</v>
      </c>
      <c r="H597" s="177" t="s">
        <v>856</v>
      </c>
      <c r="I597" s="254"/>
      <c r="J597" s="609"/>
      <c r="K597" s="609"/>
      <c r="L597" s="609"/>
      <c r="M597" s="609"/>
      <c r="N597" s="609"/>
      <c r="O597" s="609"/>
      <c r="P597" s="609"/>
      <c r="Q597" s="262">
        <v>80740050518</v>
      </c>
      <c r="R597" s="180">
        <v>80740050518</v>
      </c>
    </row>
    <row r="598" spans="1:32" x14ac:dyDescent="0.2">
      <c r="A598" s="608">
        <v>7</v>
      </c>
      <c r="B598" s="303" t="s">
        <v>158</v>
      </c>
      <c r="C598" s="175" t="s">
        <v>846</v>
      </c>
      <c r="D598" s="296">
        <v>0</v>
      </c>
      <c r="E598" s="259">
        <v>0.15</v>
      </c>
      <c r="F598" s="269">
        <v>0.15</v>
      </c>
      <c r="G598" s="257">
        <v>750</v>
      </c>
      <c r="H598" s="177" t="s">
        <v>4</v>
      </c>
      <c r="I598" s="254"/>
      <c r="J598" s="255"/>
      <c r="K598" s="255"/>
      <c r="L598" s="255"/>
      <c r="M598" s="255"/>
      <c r="N598" s="255"/>
      <c r="O598" s="255"/>
      <c r="P598" s="255"/>
      <c r="Q598" s="261">
        <v>80740050516</v>
      </c>
      <c r="R598" s="180">
        <v>80740050516</v>
      </c>
    </row>
    <row r="599" spans="1:32" x14ac:dyDescent="0.2">
      <c r="A599" s="173"/>
      <c r="B599" s="299"/>
      <c r="C599" s="175" t="s">
        <v>846</v>
      </c>
      <c r="D599" s="296">
        <v>0.15</v>
      </c>
      <c r="E599" s="259">
        <v>0.37</v>
      </c>
      <c r="F599" s="269">
        <v>0.22</v>
      </c>
      <c r="G599" s="257">
        <v>1150</v>
      </c>
      <c r="H599" s="177" t="s">
        <v>0</v>
      </c>
      <c r="I599" s="254"/>
      <c r="J599" s="255"/>
      <c r="K599" s="255"/>
      <c r="L599" s="255"/>
      <c r="M599" s="255"/>
      <c r="N599" s="255"/>
      <c r="O599" s="255"/>
      <c r="P599" s="255"/>
      <c r="Q599" s="261">
        <v>80740050516</v>
      </c>
      <c r="R599" s="180">
        <v>80740050516</v>
      </c>
    </row>
    <row r="600" spans="1:32" x14ac:dyDescent="0.2">
      <c r="A600" s="301">
        <v>8</v>
      </c>
      <c r="B600" s="202" t="s">
        <v>537</v>
      </c>
      <c r="C600" s="173" t="s">
        <v>846</v>
      </c>
      <c r="D600" s="259">
        <v>0</v>
      </c>
      <c r="E600" s="259">
        <v>0.17</v>
      </c>
      <c r="F600" s="269">
        <v>0.17</v>
      </c>
      <c r="G600" s="257">
        <v>900</v>
      </c>
      <c r="H600" s="177" t="s">
        <v>0</v>
      </c>
      <c r="I600" s="254"/>
      <c r="J600" s="255"/>
      <c r="K600" s="255"/>
      <c r="L600" s="255"/>
      <c r="M600" s="255"/>
      <c r="N600" s="255"/>
      <c r="O600" s="255"/>
      <c r="P600" s="255"/>
      <c r="Q600" s="261">
        <v>80740050605</v>
      </c>
      <c r="R600" s="180">
        <v>80740050604</v>
      </c>
    </row>
    <row r="601" spans="1:32" ht="23.25" customHeight="1" x14ac:dyDescent="0.2">
      <c r="A601" s="178">
        <v>9</v>
      </c>
      <c r="B601" s="177" t="s">
        <v>536</v>
      </c>
      <c r="C601" s="175" t="s">
        <v>846</v>
      </c>
      <c r="D601" s="259">
        <v>0</v>
      </c>
      <c r="E601" s="259">
        <v>0.43</v>
      </c>
      <c r="F601" s="259">
        <v>0.43</v>
      </c>
      <c r="G601" s="257">
        <v>1720</v>
      </c>
      <c r="H601" s="177" t="s">
        <v>0</v>
      </c>
      <c r="I601" s="254"/>
      <c r="J601" s="255"/>
      <c r="K601" s="255"/>
      <c r="L601" s="255"/>
      <c r="M601" s="255"/>
      <c r="N601" s="255"/>
      <c r="O601" s="255"/>
      <c r="P601" s="255"/>
      <c r="Q601" s="261">
        <v>80740050579</v>
      </c>
      <c r="R601" s="270" t="s">
        <v>428</v>
      </c>
    </row>
    <row r="602" spans="1:32" ht="15" x14ac:dyDescent="0.25">
      <c r="A602" s="175">
        <v>10</v>
      </c>
      <c r="B602" s="177" t="s">
        <v>535</v>
      </c>
      <c r="C602" s="175" t="s">
        <v>846</v>
      </c>
      <c r="D602" s="259">
        <v>0</v>
      </c>
      <c r="E602" s="259">
        <v>0.24</v>
      </c>
      <c r="F602" s="269">
        <v>0.24</v>
      </c>
      <c r="G602" s="257">
        <v>960</v>
      </c>
      <c r="H602" s="177" t="s">
        <v>0</v>
      </c>
      <c r="I602" s="254"/>
      <c r="J602" s="255"/>
      <c r="K602" s="255"/>
      <c r="L602" s="255"/>
      <c r="M602" s="255"/>
      <c r="N602" s="255"/>
      <c r="O602" s="255"/>
      <c r="P602" s="255"/>
      <c r="Q602" s="259"/>
      <c r="R602" s="262">
        <v>80740050018008</v>
      </c>
      <c r="S602"/>
      <c r="T602"/>
      <c r="U602"/>
      <c r="V602"/>
      <c r="W602"/>
      <c r="X602"/>
      <c r="Y602"/>
      <c r="Z602"/>
      <c r="AA602" t="s">
        <v>1097</v>
      </c>
      <c r="AB602"/>
      <c r="AC602"/>
      <c r="AD602"/>
      <c r="AE602"/>
      <c r="AF602"/>
    </row>
    <row r="603" spans="1:32" ht="12.75" customHeight="1" x14ac:dyDescent="0.2">
      <c r="A603" s="137" t="s">
        <v>427</v>
      </c>
      <c r="B603" s="138"/>
      <c r="C603" s="485"/>
      <c r="D603" s="139"/>
      <c r="E603" s="140"/>
      <c r="F603" s="141">
        <f>SUM(F591:F602)</f>
        <v>3.742</v>
      </c>
      <c r="G603" s="204">
        <f>SUM(G591:G602)</f>
        <v>20308</v>
      </c>
      <c r="H603" s="143"/>
      <c r="I603" s="94"/>
      <c r="J603" s="144"/>
      <c r="K603" s="145" t="s">
        <v>268</v>
      </c>
      <c r="L603" s="265">
        <f>SUM(L591:L602)</f>
        <v>0</v>
      </c>
      <c r="M603" s="265">
        <f>SUM(M591:M602)</f>
        <v>0</v>
      </c>
      <c r="N603" s="147"/>
      <c r="O603" s="145" t="s">
        <v>269</v>
      </c>
      <c r="P603" s="265">
        <f>SUM(P591:P602)</f>
        <v>0</v>
      </c>
      <c r="Q603" s="147"/>
      <c r="R603" s="147"/>
      <c r="S603" s="102"/>
      <c r="T603" s="625" t="s">
        <v>1092</v>
      </c>
      <c r="U603" s="625" t="s">
        <v>1093</v>
      </c>
      <c r="V603" s="625" t="s">
        <v>1094</v>
      </c>
      <c r="W603" s="625" t="s">
        <v>1095</v>
      </c>
      <c r="X603" s="625" t="s">
        <v>1096</v>
      </c>
      <c r="Y603" s="627" t="s">
        <v>269</v>
      </c>
      <c r="Z603" s="102"/>
      <c r="AA603" s="625" t="s">
        <v>1092</v>
      </c>
      <c r="AB603" s="625" t="s">
        <v>1093</v>
      </c>
      <c r="AC603" s="625" t="s">
        <v>1094</v>
      </c>
      <c r="AD603" s="625" t="s">
        <v>1095</v>
      </c>
      <c r="AE603" s="625" t="s">
        <v>1096</v>
      </c>
      <c r="AF603" s="627" t="s">
        <v>269</v>
      </c>
    </row>
    <row r="604" spans="1:32" ht="12.75" customHeight="1" x14ac:dyDescent="0.2">
      <c r="A604" s="148" t="s">
        <v>270</v>
      </c>
      <c r="B604" s="149"/>
      <c r="C604" s="486"/>
      <c r="D604" s="150"/>
      <c r="E604" s="151"/>
      <c r="F604" s="163">
        <f>F596+F598</f>
        <v>0.84199999999999997</v>
      </c>
      <c r="G604" s="266">
        <f>G596+G598</f>
        <v>5658</v>
      </c>
      <c r="H604" s="154"/>
      <c r="I604" s="155"/>
      <c r="J604" s="147"/>
      <c r="K604" s="136"/>
      <c r="L604" s="156"/>
      <c r="M604" s="156"/>
      <c r="N604" s="147"/>
      <c r="O604" s="147"/>
      <c r="P604" s="147"/>
      <c r="Q604" s="147"/>
      <c r="R604" s="147"/>
      <c r="S604" s="628" t="s">
        <v>844</v>
      </c>
      <c r="T604" s="625" t="s">
        <v>231</v>
      </c>
      <c r="U604" s="625" t="s">
        <v>231</v>
      </c>
      <c r="V604" s="625" t="s">
        <v>231</v>
      </c>
      <c r="W604" s="625" t="s">
        <v>231</v>
      </c>
      <c r="X604" s="625" t="s">
        <v>231</v>
      </c>
      <c r="Y604" s="626" t="s">
        <v>231</v>
      </c>
      <c r="Z604" s="628"/>
      <c r="AA604" s="625" t="s">
        <v>231</v>
      </c>
      <c r="AB604" s="625" t="s">
        <v>231</v>
      </c>
      <c r="AC604" s="625" t="s">
        <v>231</v>
      </c>
      <c r="AD604" s="625" t="s">
        <v>231</v>
      </c>
      <c r="AE604" s="625" t="s">
        <v>231</v>
      </c>
      <c r="AF604" s="626" t="s">
        <v>231</v>
      </c>
    </row>
    <row r="605" spans="1:32" ht="12.75" customHeight="1" x14ac:dyDescent="0.2">
      <c r="A605" s="148" t="s">
        <v>271</v>
      </c>
      <c r="B605" s="149"/>
      <c r="C605" s="486"/>
      <c r="D605" s="150"/>
      <c r="E605" s="151"/>
      <c r="F605" s="163">
        <v>0</v>
      </c>
      <c r="G605" s="266">
        <v>0</v>
      </c>
      <c r="H605" s="162"/>
      <c r="I605" s="94"/>
      <c r="J605" s="159"/>
      <c r="K605" s="160"/>
      <c r="L605" s="160"/>
      <c r="M605" s="160"/>
      <c r="N605" s="161"/>
      <c r="O605" s="147"/>
      <c r="P605" s="147"/>
      <c r="Q605" s="147"/>
      <c r="R605" s="147"/>
      <c r="S605" s="616" t="s">
        <v>847</v>
      </c>
      <c r="T605" s="614">
        <f>SUMIFS(F583:F602,C583:C602,"A",H583:H602,"melnais")</f>
        <v>0</v>
      </c>
      <c r="U605" s="614">
        <f>SUMIFS(F583:F602,C583:C602,"A",H583:H602,"dubultā virsma")</f>
        <v>0</v>
      </c>
      <c r="V605" s="614">
        <f>SUMIFS(F583:F602,C583:C602,"A",H583:H602,"bruģis")</f>
        <v>0</v>
      </c>
      <c r="W605" s="614">
        <f>SUMIFS(F583:F602,C583:C602,"A",H583:H602,"grants")</f>
        <v>0</v>
      </c>
      <c r="X605" s="614">
        <f>SUMIFS(F583:F602,C583:C602,"A",H583:H602,"cits segums")</f>
        <v>0</v>
      </c>
      <c r="Y605" s="614">
        <f>SUM(T605:X605)</f>
        <v>0</v>
      </c>
      <c r="Z605" s="616" t="s">
        <v>847</v>
      </c>
      <c r="AA605" s="614">
        <f>SUMIFS(F583:F602,C583:C602,"A",H583:H602,"melnais", Q583:Q602,"Nepiederošs")</f>
        <v>0</v>
      </c>
      <c r="AB605" s="614">
        <f>SUMIFS(F583:F602,C583:C602,"A",H583:H602,"dubultā virsma", Q583:Q602,"Nepiederošs")</f>
        <v>0</v>
      </c>
      <c r="AC605" s="614">
        <f>SUMIFS(F583:F602,C583:C602,"A",H583:H602,"bruģis", Q583:Q602,"Nepiederošs")</f>
        <v>0</v>
      </c>
      <c r="AD605" s="614">
        <f>SUMIFS(F583:F602,C583:C602,"A",H583:H602,"grants", Q583:Q602,"Nepiederošs")</f>
        <v>0</v>
      </c>
      <c r="AE605" s="614">
        <f>SUMIFS(F583:F602,C583:C602,"A",H583:H602,"cits segums", Q583:Q602,"Nepiederošs")</f>
        <v>0</v>
      </c>
      <c r="AF605" s="614">
        <f>SUM(AA605:AE605)</f>
        <v>0</v>
      </c>
    </row>
    <row r="606" spans="1:32" ht="12.75" customHeight="1" x14ac:dyDescent="0.2">
      <c r="A606" s="148" t="s">
        <v>272</v>
      </c>
      <c r="B606" s="149"/>
      <c r="C606" s="486"/>
      <c r="D606" s="150"/>
      <c r="E606" s="151"/>
      <c r="F606" s="163">
        <f>F591+F592+F593+F594+F595+F599+F600+F601+F602</f>
        <v>2.8100000000000005</v>
      </c>
      <c r="G606" s="266">
        <f>G591+G592+G593+G594+G595+G599+G600+G601+G602</f>
        <v>14020</v>
      </c>
      <c r="H606" s="162"/>
      <c r="I606" s="162"/>
      <c r="J606" s="159"/>
      <c r="K606" s="160"/>
      <c r="L606" s="160"/>
      <c r="M606" s="160"/>
      <c r="N606" s="161"/>
      <c r="O606" s="147"/>
      <c r="P606" s="147"/>
      <c r="Q606" s="147"/>
      <c r="R606" s="147"/>
      <c r="S606" s="617" t="s">
        <v>848</v>
      </c>
      <c r="T606" s="614">
        <f>SUMIFS(F583:F602,C583:C602,"B",H583:H602,"melnais")</f>
        <v>0</v>
      </c>
      <c r="U606" s="614">
        <f>SUMIFS(F583:F602,C583:C602,"B",H583:H602,"dubultā virsma")</f>
        <v>0</v>
      </c>
      <c r="V606" s="614">
        <f>SUMIFS(F583:F602,C583:C602,"B",H583:H602,"bruģis")</f>
        <v>0</v>
      </c>
      <c r="W606" s="614">
        <f>SUMIFS(F583:F602,C583:C602,"B",H583:H602,"grants")</f>
        <v>0</v>
      </c>
      <c r="X606" s="614">
        <f>SUMIFS(F583:F602,C583:C602,"B",H583:H602,"cits segums")</f>
        <v>0</v>
      </c>
      <c r="Y606" s="614">
        <f t="shared" ref="Y606:Y608" si="150">SUM(T606:X606)</f>
        <v>0</v>
      </c>
      <c r="Z606" s="617" t="s">
        <v>848</v>
      </c>
      <c r="AA606" s="614">
        <f>SUMIFS(F583:F602,C583:C602,"B",H583:H602,"melnais", Q583:Q602,"Nepiederošs")</f>
        <v>0</v>
      </c>
      <c r="AB606" s="614">
        <f>SUMIFS(F583:F602,C583:C602,"B",H583:H602,"dubultā virsma", Q583:Q602,"Nepiederošs")</f>
        <v>0</v>
      </c>
      <c r="AC606" s="614">
        <f>SUMIFS(F583:F602,C583:C602,"B",H583:H602,"bruģis", Q583:Q602,"Nepiederošs")</f>
        <v>0</v>
      </c>
      <c r="AD606" s="614">
        <f>SUMIFS(F583:F602,C583:C602,"B",H583:H602,"grants", Q583:Q602,"Nepiederošs")</f>
        <v>0</v>
      </c>
      <c r="AE606" s="614">
        <f>SUMIFS(F583:F602,C583:C602,"B",H583:H602,"cits segums", Q583:Q602,"Nepiederošs")</f>
        <v>0</v>
      </c>
      <c r="AF606" s="614">
        <f t="shared" ref="AF606:AF608" si="151">SUM(AA606:AE606)</f>
        <v>0</v>
      </c>
    </row>
    <row r="607" spans="1:32" ht="12.75" customHeight="1" x14ac:dyDescent="0.2">
      <c r="A607" s="148" t="s">
        <v>401</v>
      </c>
      <c r="B607" s="149"/>
      <c r="C607" s="486"/>
      <c r="D607" s="150"/>
      <c r="E607" s="151"/>
      <c r="F607" s="163">
        <v>0</v>
      </c>
      <c r="G607" s="266">
        <v>0</v>
      </c>
      <c r="H607" s="165"/>
      <c r="I607" s="162"/>
      <c r="J607" s="166"/>
      <c r="K607" s="160"/>
      <c r="L607" s="160"/>
      <c r="M607" s="160"/>
      <c r="N607" s="161"/>
      <c r="O607" s="147"/>
      <c r="P607" s="147"/>
      <c r="Q607" s="147"/>
      <c r="R607" s="147"/>
      <c r="S607" s="615" t="s">
        <v>845</v>
      </c>
      <c r="T607" s="614">
        <f>SUMIFS(F583:F602,C583:C602,"C",H583:H602,"melnais")</f>
        <v>0</v>
      </c>
      <c r="U607" s="614">
        <f>SUMIFS(F583:F602,C583:C602,"C",H583:H602,"dubultā virsma")</f>
        <v>0</v>
      </c>
      <c r="V607" s="614">
        <f>SUMIFS(F583:F602,C583:C602,"C",H583:H602,"bruģis")</f>
        <v>0</v>
      </c>
      <c r="W607" s="614">
        <f>SUMIFS(F583:F602,C583:C602,"C",H583:H602,"grants")</f>
        <v>0</v>
      </c>
      <c r="X607" s="614">
        <f>SUMIFS(F583:F602,C583:C602,"C",H583:H602,"cits segums")</f>
        <v>0</v>
      </c>
      <c r="Y607" s="614">
        <f t="shared" si="150"/>
        <v>0</v>
      </c>
      <c r="Z607" s="615" t="s">
        <v>845</v>
      </c>
      <c r="AA607" s="614">
        <f>SUMIFS(F583:F602,C583:C602,"C",H583:H602,"melnais", Q583:Q602,"Nepiederošs")</f>
        <v>0</v>
      </c>
      <c r="AB607" s="614">
        <f>SUMIFS(F583:F602,C583:C602,"C",H583:H602,"dubultā virsma", Q583:Q602,"Nepiederošs")</f>
        <v>0</v>
      </c>
      <c r="AC607" s="614">
        <f>SUMIFS(F583:F602,C583:C602,"C",H583:H602,"bruģis", Q583:Q602,"Nepiederošs")</f>
        <v>0</v>
      </c>
      <c r="AD607" s="614">
        <f>SUMIFS(F583:F602,C583:C602,"C",H583:H602,"grants", Q583:Q602,"Nepiederošs")</f>
        <v>0</v>
      </c>
      <c r="AE607" s="614">
        <f>SUMIFS(F583:F602,C583:C602,"C",H583:H602,"cits segums", Q583:Q602,"Nepiederošs")</f>
        <v>0</v>
      </c>
      <c r="AF607" s="614">
        <f t="shared" si="151"/>
        <v>0</v>
      </c>
    </row>
    <row r="608" spans="1:32" x14ac:dyDescent="0.2">
      <c r="C608" s="33"/>
      <c r="S608" s="616" t="s">
        <v>846</v>
      </c>
      <c r="T608" s="614">
        <f>SUMIFS(F583:F602,C583:C602,"D",H583:H602,"melnais")</f>
        <v>0.84199999999999997</v>
      </c>
      <c r="U608" s="614">
        <f>SUMIFS(F583:F602,C583:C602,"D",H583:H602,"dubultā virsma")</f>
        <v>0</v>
      </c>
      <c r="V608" s="614">
        <f>SUMIFS(F583:F602,C583:C602,"D",H583:H602,"bruģis")</f>
        <v>0</v>
      </c>
      <c r="W608" s="614">
        <f>SUMIFS(F583:F602,C583:C602,"D",H583:H602,"grants")</f>
        <v>2.9000000000000004</v>
      </c>
      <c r="X608" s="614">
        <f>SUMIFS(F583:F602,C583:C602,"D",H583:H602,"cits segums")</f>
        <v>0</v>
      </c>
      <c r="Y608" s="614">
        <f t="shared" si="150"/>
        <v>3.7420000000000004</v>
      </c>
      <c r="Z608" s="616" t="s">
        <v>846</v>
      </c>
      <c r="AA608" s="614">
        <f>SUMIFS(F583:F602,C583:C602,"D",H583:H602,"melnais", Q583:Q602,"Nepiederošs")</f>
        <v>0</v>
      </c>
      <c r="AB608" s="614">
        <f>SUMIFS(F583:F602,C583:C602,"D",H583:H602,"dubultā virsma", Q583:Q602,"Nepiederošs")</f>
        <v>0</v>
      </c>
      <c r="AC608" s="614">
        <f>SUMIFS(F583:F602,C583:C602,"D",H583:H602,"bruģis", Q583:Q602,"Nepiederošs")</f>
        <v>0</v>
      </c>
      <c r="AD608" s="614">
        <f>SUMIFS(F583:F602,C583:C602,"D",H583:H602,"grants", Q583:Q602,"Nepiederošs")</f>
        <v>0</v>
      </c>
      <c r="AE608" s="614">
        <f>SUMIFS(F583:F602,C583:C602,"D",H583:H602,"cits segums", Q583:Q602,"Nepiederošs")</f>
        <v>0</v>
      </c>
      <c r="AF608" s="614">
        <f t="shared" si="151"/>
        <v>0</v>
      </c>
    </row>
    <row r="609" spans="1:32" s="38" customFormat="1" ht="15" customHeight="1" x14ac:dyDescent="0.25">
      <c r="A609" s="33"/>
      <c r="C609" s="487"/>
      <c r="D609" s="813" t="s">
        <v>1075</v>
      </c>
      <c r="E609" s="813"/>
      <c r="F609" s="813"/>
      <c r="G609" s="813"/>
      <c r="H609" s="813"/>
      <c r="I609" s="813"/>
      <c r="J609" s="813"/>
      <c r="K609" s="813"/>
      <c r="L609" s="813"/>
      <c r="M609" s="813"/>
      <c r="N609" s="813"/>
      <c r="O609" s="813"/>
      <c r="P609" s="813"/>
      <c r="Q609" s="30"/>
      <c r="R609" s="37"/>
      <c r="S609" s="637"/>
      <c r="T609" s="629">
        <f>SUM(T605:T608)</f>
        <v>0.84199999999999997</v>
      </c>
      <c r="U609" s="629">
        <f t="shared" ref="U609" si="152">SUM(U605:U608)</f>
        <v>0</v>
      </c>
      <c r="V609" s="629">
        <f t="shared" ref="V609" si="153">SUM(V605:V608)</f>
        <v>0</v>
      </c>
      <c r="W609" s="629">
        <f t="shared" ref="W609" si="154">SUM(W605:W608)</f>
        <v>2.9000000000000004</v>
      </c>
      <c r="X609" s="629">
        <f t="shared" ref="X609" si="155">SUM(X605:X608)</f>
        <v>0</v>
      </c>
      <c r="Y609" s="629">
        <f t="shared" ref="Y609" si="156">SUM(Y605:Y608)</f>
        <v>3.7420000000000004</v>
      </c>
      <c r="Z609"/>
      <c r="AA609" s="629">
        <f>SUM(AA605:AA608)</f>
        <v>0</v>
      </c>
      <c r="AB609" s="629">
        <f t="shared" ref="AB609" si="157">SUM(AB605:AB608)</f>
        <v>0</v>
      </c>
      <c r="AC609" s="629">
        <f>SUM(AC605:AC608)</f>
        <v>0</v>
      </c>
      <c r="AD609" s="629">
        <f t="shared" ref="AD609" si="158">SUM(AD605:AD608)</f>
        <v>0</v>
      </c>
      <c r="AE609" s="629">
        <f t="shared" ref="AE609" si="159">SUM(AE605:AE608)</f>
        <v>0</v>
      </c>
      <c r="AF609" s="629">
        <f t="shared" ref="AF609" si="160">SUM(AF605:AF608)</f>
        <v>0</v>
      </c>
    </row>
    <row r="610" spans="1:32" ht="12.75" customHeight="1" x14ac:dyDescent="0.2">
      <c r="A610" s="818" t="s">
        <v>244</v>
      </c>
      <c r="B610" s="825" t="s">
        <v>388</v>
      </c>
      <c r="C610" s="482"/>
      <c r="D610" s="826" t="s">
        <v>246</v>
      </c>
      <c r="E610" s="827"/>
      <c r="F610" s="827"/>
      <c r="G610" s="827"/>
      <c r="H610" s="827"/>
      <c r="I610" s="827"/>
      <c r="J610" s="827"/>
      <c r="K610" s="827"/>
      <c r="L610" s="827"/>
      <c r="M610" s="827"/>
      <c r="N610" s="827"/>
      <c r="O610" s="827"/>
      <c r="P610" s="828"/>
      <c r="Q610" s="821" t="s">
        <v>247</v>
      </c>
      <c r="R610" s="822"/>
    </row>
    <row r="611" spans="1:32" ht="12.75" customHeight="1" x14ac:dyDescent="0.2">
      <c r="A611" s="818"/>
      <c r="B611" s="825"/>
      <c r="C611" s="410"/>
      <c r="D611" s="816" t="s">
        <v>389</v>
      </c>
      <c r="E611" s="816"/>
      <c r="F611" s="816"/>
      <c r="G611" s="816"/>
      <c r="H611" s="816"/>
      <c r="I611" s="814" t="s">
        <v>249</v>
      </c>
      <c r="J611" s="814"/>
      <c r="K611" s="814"/>
      <c r="L611" s="814"/>
      <c r="M611" s="814"/>
      <c r="N611" s="814"/>
      <c r="O611" s="814"/>
      <c r="P611" s="815" t="s">
        <v>250</v>
      </c>
      <c r="Q611" s="823"/>
      <c r="R611" s="824"/>
    </row>
    <row r="612" spans="1:32" ht="15.2" customHeight="1" x14ac:dyDescent="0.2">
      <c r="A612" s="818"/>
      <c r="B612" s="825"/>
      <c r="C612" s="410"/>
      <c r="D612" s="816" t="s">
        <v>251</v>
      </c>
      <c r="E612" s="816"/>
      <c r="F612" s="817" t="s">
        <v>252</v>
      </c>
      <c r="G612" s="817" t="s">
        <v>257</v>
      </c>
      <c r="H612" s="818" t="s">
        <v>253</v>
      </c>
      <c r="I612" s="819" t="s">
        <v>254</v>
      </c>
      <c r="J612" s="814" t="s">
        <v>255</v>
      </c>
      <c r="K612" s="814"/>
      <c r="L612" s="820" t="s">
        <v>256</v>
      </c>
      <c r="M612" s="820" t="s">
        <v>257</v>
      </c>
      <c r="N612" s="820" t="s">
        <v>258</v>
      </c>
      <c r="O612" s="820" t="s">
        <v>259</v>
      </c>
      <c r="P612" s="809"/>
      <c r="Q612" s="809" t="s">
        <v>260</v>
      </c>
      <c r="R612" s="811" t="s">
        <v>261</v>
      </c>
    </row>
    <row r="613" spans="1:32" ht="33.75" customHeight="1" x14ac:dyDescent="0.2">
      <c r="A613" s="818"/>
      <c r="B613" s="825"/>
      <c r="C613" s="432" t="s">
        <v>844</v>
      </c>
      <c r="D613" s="95" t="s">
        <v>262</v>
      </c>
      <c r="E613" s="95" t="s">
        <v>263</v>
      </c>
      <c r="F613" s="817"/>
      <c r="G613" s="817"/>
      <c r="H613" s="818"/>
      <c r="I613" s="819"/>
      <c r="J613" s="96" t="s">
        <v>231</v>
      </c>
      <c r="K613" s="96" t="s">
        <v>264</v>
      </c>
      <c r="L613" s="820"/>
      <c r="M613" s="820"/>
      <c r="N613" s="820"/>
      <c r="O613" s="820"/>
      <c r="P613" s="810"/>
      <c r="Q613" s="810"/>
      <c r="R613" s="812"/>
    </row>
    <row r="614" spans="1:32" s="99" customFormat="1" ht="12" customHeight="1" x14ac:dyDescent="0.25">
      <c r="A614" s="97">
        <v>1</v>
      </c>
      <c r="B614" s="97">
        <v>2</v>
      </c>
      <c r="C614" s="97"/>
      <c r="D614" s="97">
        <v>3</v>
      </c>
      <c r="E614" s="97">
        <v>4</v>
      </c>
      <c r="F614" s="97">
        <v>5</v>
      </c>
      <c r="G614" s="97">
        <v>6</v>
      </c>
      <c r="H614" s="97">
        <v>7</v>
      </c>
      <c r="I614" s="98">
        <v>8</v>
      </c>
      <c r="J614" s="98">
        <v>9</v>
      </c>
      <c r="K614" s="98">
        <v>10</v>
      </c>
      <c r="L614" s="98">
        <v>11</v>
      </c>
      <c r="M614" s="98">
        <v>12</v>
      </c>
      <c r="N614" s="98">
        <v>13</v>
      </c>
      <c r="O614" s="98">
        <v>14</v>
      </c>
      <c r="P614" s="98">
        <v>15</v>
      </c>
      <c r="Q614" s="98">
        <v>16</v>
      </c>
      <c r="R614" s="97">
        <v>17</v>
      </c>
    </row>
    <row r="615" spans="1:32" x14ac:dyDescent="0.2">
      <c r="A615" s="175">
        <v>1</v>
      </c>
      <c r="B615" s="177" t="s">
        <v>146</v>
      </c>
      <c r="C615" s="175" t="s">
        <v>848</v>
      </c>
      <c r="D615" s="259">
        <v>0</v>
      </c>
      <c r="E615" s="259">
        <v>0.94</v>
      </c>
      <c r="F615" s="269">
        <v>0.94</v>
      </c>
      <c r="G615" s="305">
        <v>6110</v>
      </c>
      <c r="H615" s="177" t="s">
        <v>4</v>
      </c>
      <c r="I615" s="254"/>
      <c r="J615" s="255"/>
      <c r="K615" s="255"/>
      <c r="L615" s="255"/>
      <c r="M615" s="255"/>
      <c r="N615" s="255"/>
      <c r="O615" s="255"/>
      <c r="P615" s="255"/>
      <c r="Q615" s="261">
        <v>80640060752</v>
      </c>
      <c r="R615" s="180">
        <v>80640060752</v>
      </c>
    </row>
    <row r="616" spans="1:32" x14ac:dyDescent="0.2">
      <c r="A616" s="167">
        <v>2</v>
      </c>
      <c r="B616" s="297" t="s">
        <v>69</v>
      </c>
      <c r="C616" s="167" t="s">
        <v>845</v>
      </c>
      <c r="D616" s="259">
        <v>0</v>
      </c>
      <c r="E616" s="259">
        <v>1.62</v>
      </c>
      <c r="F616" s="269">
        <v>1.62</v>
      </c>
      <c r="G616" s="305">
        <v>5110</v>
      </c>
      <c r="H616" s="177" t="s">
        <v>4</v>
      </c>
      <c r="I616" s="254"/>
      <c r="J616" s="255"/>
      <c r="K616" s="255"/>
      <c r="L616" s="255"/>
      <c r="M616" s="255"/>
      <c r="N616" s="255"/>
      <c r="O616" s="255"/>
      <c r="P616" s="255"/>
      <c r="Q616" s="261">
        <v>80640060754</v>
      </c>
      <c r="R616" s="180">
        <v>80640060754</v>
      </c>
    </row>
    <row r="617" spans="1:32" x14ac:dyDescent="0.2">
      <c r="A617" s="167">
        <v>3</v>
      </c>
      <c r="B617" s="298" t="s">
        <v>517</v>
      </c>
      <c r="C617" s="501" t="s">
        <v>845</v>
      </c>
      <c r="D617" s="296">
        <v>0</v>
      </c>
      <c r="E617" s="259">
        <v>1.53</v>
      </c>
      <c r="F617" s="269">
        <v>1.53</v>
      </c>
      <c r="G617" s="305">
        <v>9180</v>
      </c>
      <c r="H617" s="177" t="s">
        <v>4</v>
      </c>
      <c r="I617" s="254"/>
      <c r="J617" s="255"/>
      <c r="K617" s="255"/>
      <c r="L617" s="255"/>
      <c r="M617" s="255"/>
      <c r="N617" s="255"/>
      <c r="O617" s="255"/>
      <c r="P617" s="255"/>
      <c r="Q617" s="261">
        <v>80640060784</v>
      </c>
      <c r="R617" s="180">
        <v>80640060784</v>
      </c>
    </row>
    <row r="618" spans="1:32" x14ac:dyDescent="0.2">
      <c r="A618" s="173"/>
      <c r="B618" s="299"/>
      <c r="C618" s="501" t="s">
        <v>845</v>
      </c>
      <c r="D618" s="296">
        <v>0</v>
      </c>
      <c r="E618" s="259">
        <v>0.14299999999999999</v>
      </c>
      <c r="F618" s="269">
        <v>0.14299999999999999</v>
      </c>
      <c r="G618" s="305">
        <v>572</v>
      </c>
      <c r="H618" s="177" t="s">
        <v>0</v>
      </c>
      <c r="I618" s="254"/>
      <c r="J618" s="255"/>
      <c r="K618" s="255"/>
      <c r="L618" s="255"/>
      <c r="M618" s="255"/>
      <c r="N618" s="255"/>
      <c r="O618" s="255"/>
      <c r="P618" s="255"/>
      <c r="Q618" s="261">
        <v>80640060784</v>
      </c>
      <c r="R618" s="180">
        <v>80640060697</v>
      </c>
    </row>
    <row r="619" spans="1:32" x14ac:dyDescent="0.2">
      <c r="A619" s="171">
        <v>4</v>
      </c>
      <c r="B619" s="179" t="s">
        <v>518</v>
      </c>
      <c r="C619" s="175" t="s">
        <v>845</v>
      </c>
      <c r="D619" s="259">
        <v>0</v>
      </c>
      <c r="E619" s="259">
        <v>0.59</v>
      </c>
      <c r="F619" s="269">
        <v>0.59</v>
      </c>
      <c r="G619" s="305">
        <v>3245</v>
      </c>
      <c r="H619" s="177" t="s">
        <v>4</v>
      </c>
      <c r="I619" s="254"/>
      <c r="J619" s="255"/>
      <c r="K619" s="255"/>
      <c r="L619" s="255"/>
      <c r="M619" s="255"/>
      <c r="N619" s="255"/>
      <c r="O619" s="255"/>
      <c r="P619" s="255"/>
      <c r="Q619" s="261">
        <v>80640060785</v>
      </c>
      <c r="R619" s="180">
        <v>80640060785</v>
      </c>
    </row>
    <row r="620" spans="1:32" ht="12" customHeight="1" x14ac:dyDescent="0.2">
      <c r="A620" s="167">
        <v>5</v>
      </c>
      <c r="B620" s="298" t="s">
        <v>3</v>
      </c>
      <c r="C620" s="175" t="s">
        <v>846</v>
      </c>
      <c r="D620" s="296">
        <v>0</v>
      </c>
      <c r="E620" s="259">
        <v>0.247</v>
      </c>
      <c r="F620" s="269">
        <v>0.247</v>
      </c>
      <c r="G620" s="305">
        <v>1482</v>
      </c>
      <c r="H620" s="177" t="s">
        <v>4</v>
      </c>
      <c r="I620" s="254"/>
      <c r="J620" s="255"/>
      <c r="K620" s="255"/>
      <c r="L620" s="255"/>
      <c r="M620" s="255"/>
      <c r="N620" s="255"/>
      <c r="O620" s="255"/>
      <c r="P620" s="255"/>
      <c r="Q620" s="261">
        <v>80640060753</v>
      </c>
      <c r="R620" s="180">
        <v>80640060753</v>
      </c>
    </row>
    <row r="621" spans="1:32" x14ac:dyDescent="0.2">
      <c r="A621" s="171"/>
      <c r="B621" s="303"/>
      <c r="C621" s="175" t="s">
        <v>846</v>
      </c>
      <c r="D621" s="296">
        <v>0.26400000000000001</v>
      </c>
      <c r="E621" s="259">
        <v>0.38200000000000001</v>
      </c>
      <c r="F621" s="269">
        <v>0.11799999999999999</v>
      </c>
      <c r="G621" s="305">
        <v>708</v>
      </c>
      <c r="H621" s="177" t="s">
        <v>4</v>
      </c>
      <c r="I621" s="254"/>
      <c r="J621" s="255"/>
      <c r="K621" s="255"/>
      <c r="L621" s="255"/>
      <c r="M621" s="255"/>
      <c r="N621" s="255"/>
      <c r="O621" s="255"/>
      <c r="P621" s="255"/>
      <c r="Q621" s="261">
        <v>80640060753</v>
      </c>
      <c r="R621" s="175">
        <v>80640060755</v>
      </c>
    </row>
    <row r="622" spans="1:32" x14ac:dyDescent="0.2">
      <c r="A622" s="171"/>
      <c r="B622" s="303"/>
      <c r="C622" s="175" t="s">
        <v>846</v>
      </c>
      <c r="D622" s="296">
        <v>0.39</v>
      </c>
      <c r="E622" s="259">
        <v>0.61599999999999999</v>
      </c>
      <c r="F622" s="269">
        <v>0.22600000000000001</v>
      </c>
      <c r="G622" s="305">
        <v>1356</v>
      </c>
      <c r="H622" s="177" t="s">
        <v>4</v>
      </c>
      <c r="I622" s="254"/>
      <c r="J622" s="255"/>
      <c r="K622" s="255"/>
      <c r="L622" s="255"/>
      <c r="M622" s="255"/>
      <c r="N622" s="255"/>
      <c r="O622" s="255"/>
      <c r="P622" s="255"/>
      <c r="Q622" s="261">
        <v>80640060753</v>
      </c>
      <c r="R622" s="175">
        <v>80640060758</v>
      </c>
    </row>
    <row r="623" spans="1:32" ht="12" customHeight="1" x14ac:dyDescent="0.2">
      <c r="A623" s="167">
        <v>6</v>
      </c>
      <c r="B623" s="298" t="s">
        <v>31</v>
      </c>
      <c r="C623" s="175" t="s">
        <v>846</v>
      </c>
      <c r="D623" s="296">
        <v>0</v>
      </c>
      <c r="E623" s="259">
        <v>0.54900000000000004</v>
      </c>
      <c r="F623" s="269">
        <v>0.54900000000000004</v>
      </c>
      <c r="G623" s="305">
        <v>3294</v>
      </c>
      <c r="H623" s="177" t="s">
        <v>4</v>
      </c>
      <c r="I623" s="254"/>
      <c r="J623" s="255"/>
      <c r="K623" s="255"/>
      <c r="L623" s="255"/>
      <c r="M623" s="255"/>
      <c r="N623" s="255"/>
      <c r="O623" s="255"/>
      <c r="P623" s="255"/>
      <c r="Q623" s="261">
        <v>80640060768</v>
      </c>
      <c r="R623" s="175">
        <v>80640060768</v>
      </c>
    </row>
    <row r="624" spans="1:32" x14ac:dyDescent="0.2">
      <c r="A624" s="171"/>
      <c r="B624" s="303"/>
      <c r="C624" s="175" t="s">
        <v>846</v>
      </c>
      <c r="D624" s="296">
        <v>0.56100000000000005</v>
      </c>
      <c r="E624" s="259">
        <v>0.68</v>
      </c>
      <c r="F624" s="269">
        <v>0.11899999999999999</v>
      </c>
      <c r="G624" s="305">
        <v>714</v>
      </c>
      <c r="H624" s="177" t="s">
        <v>4</v>
      </c>
      <c r="I624" s="254"/>
      <c r="J624" s="255"/>
      <c r="K624" s="255"/>
      <c r="L624" s="255"/>
      <c r="M624" s="255"/>
      <c r="N624" s="255"/>
      <c r="O624" s="255"/>
      <c r="P624" s="255"/>
      <c r="Q624" s="261">
        <v>80640060768</v>
      </c>
      <c r="R624" s="175">
        <v>80640060769</v>
      </c>
    </row>
    <row r="625" spans="1:18" x14ac:dyDescent="0.2">
      <c r="A625" s="171"/>
      <c r="B625" s="303"/>
      <c r="C625" s="175" t="s">
        <v>846</v>
      </c>
      <c r="D625" s="296">
        <v>0.69599999999999995</v>
      </c>
      <c r="E625" s="259">
        <v>1.121</v>
      </c>
      <c r="F625" s="269">
        <v>0.42499999999999999</v>
      </c>
      <c r="G625" s="305">
        <v>2550</v>
      </c>
      <c r="H625" s="177" t="s">
        <v>4</v>
      </c>
      <c r="I625" s="254"/>
      <c r="J625" s="255"/>
      <c r="K625" s="255"/>
      <c r="L625" s="255"/>
      <c r="M625" s="255"/>
      <c r="N625" s="255"/>
      <c r="O625" s="255"/>
      <c r="P625" s="255"/>
      <c r="Q625" s="261">
        <v>80640060768</v>
      </c>
      <c r="R625" s="175">
        <v>80640060770</v>
      </c>
    </row>
    <row r="626" spans="1:18" x14ac:dyDescent="0.2">
      <c r="A626" s="167">
        <v>7</v>
      </c>
      <c r="B626" s="298" t="s">
        <v>158</v>
      </c>
      <c r="C626" s="175" t="s">
        <v>846</v>
      </c>
      <c r="D626" s="296">
        <v>0</v>
      </c>
      <c r="E626" s="259">
        <v>0.88</v>
      </c>
      <c r="F626" s="269">
        <v>0.88</v>
      </c>
      <c r="G626" s="305">
        <v>4840</v>
      </c>
      <c r="H626" s="177" t="s">
        <v>4</v>
      </c>
      <c r="I626" s="254"/>
      <c r="J626" s="255"/>
      <c r="K626" s="255"/>
      <c r="L626" s="255"/>
      <c r="M626" s="255"/>
      <c r="N626" s="255"/>
      <c r="O626" s="255"/>
      <c r="P626" s="255"/>
      <c r="Q626" s="261">
        <v>80640060760</v>
      </c>
      <c r="R626" s="175">
        <v>80640060760</v>
      </c>
    </row>
    <row r="627" spans="1:18" x14ac:dyDescent="0.2">
      <c r="A627" s="173"/>
      <c r="B627" s="299"/>
      <c r="C627" s="175" t="s">
        <v>846</v>
      </c>
      <c r="D627" s="296">
        <v>0.88</v>
      </c>
      <c r="E627" s="259">
        <v>2</v>
      </c>
      <c r="F627" s="269">
        <v>1.1200000000000001</v>
      </c>
      <c r="G627" s="305">
        <v>6160</v>
      </c>
      <c r="H627" s="177" t="s">
        <v>0</v>
      </c>
      <c r="I627" s="254"/>
      <c r="J627" s="255"/>
      <c r="K627" s="255"/>
      <c r="L627" s="255"/>
      <c r="M627" s="255"/>
      <c r="N627" s="255"/>
      <c r="O627" s="255"/>
      <c r="P627" s="255"/>
      <c r="Q627" s="261">
        <v>80640060760</v>
      </c>
      <c r="R627" s="175">
        <v>80640060760</v>
      </c>
    </row>
    <row r="628" spans="1:18" x14ac:dyDescent="0.2">
      <c r="A628" s="173">
        <v>8</v>
      </c>
      <c r="B628" s="202" t="s">
        <v>519</v>
      </c>
      <c r="C628" s="173" t="s">
        <v>846</v>
      </c>
      <c r="D628" s="259">
        <v>0</v>
      </c>
      <c r="E628" s="259">
        <v>0.38</v>
      </c>
      <c r="F628" s="269">
        <v>0.38</v>
      </c>
      <c r="G628" s="305">
        <v>1900</v>
      </c>
      <c r="H628" s="177" t="s">
        <v>4</v>
      </c>
      <c r="I628" s="254"/>
      <c r="J628" s="255"/>
      <c r="K628" s="255"/>
      <c r="L628" s="255"/>
      <c r="M628" s="255"/>
      <c r="N628" s="255"/>
      <c r="O628" s="255"/>
      <c r="P628" s="255"/>
      <c r="Q628" s="261">
        <v>80640060781</v>
      </c>
      <c r="R628" s="175">
        <v>80640060781</v>
      </c>
    </row>
    <row r="629" spans="1:18" x14ac:dyDescent="0.2">
      <c r="A629" s="175">
        <v>9</v>
      </c>
      <c r="B629" s="177" t="s">
        <v>128</v>
      </c>
      <c r="C629" s="175" t="s">
        <v>846</v>
      </c>
      <c r="D629" s="259">
        <v>0</v>
      </c>
      <c r="E629" s="259">
        <v>0.64</v>
      </c>
      <c r="F629" s="269">
        <v>0.64</v>
      </c>
      <c r="G629" s="305">
        <v>3200</v>
      </c>
      <c r="H629" s="177" t="s">
        <v>4</v>
      </c>
      <c r="I629" s="254"/>
      <c r="J629" s="255"/>
      <c r="K629" s="255"/>
      <c r="L629" s="255"/>
      <c r="M629" s="255"/>
      <c r="N629" s="255"/>
      <c r="O629" s="255"/>
      <c r="P629" s="255"/>
      <c r="Q629" s="261">
        <v>80640060750</v>
      </c>
      <c r="R629" s="175">
        <v>80640060750</v>
      </c>
    </row>
    <row r="630" spans="1:18" x14ac:dyDescent="0.2">
      <c r="A630" s="175">
        <v>10</v>
      </c>
      <c r="B630" s="177" t="s">
        <v>520</v>
      </c>
      <c r="C630" s="175" t="s">
        <v>846</v>
      </c>
      <c r="D630" s="259">
        <v>0</v>
      </c>
      <c r="E630" s="259">
        <v>0.69</v>
      </c>
      <c r="F630" s="269">
        <v>0.69</v>
      </c>
      <c r="G630" s="305">
        <v>3450</v>
      </c>
      <c r="H630" s="177" t="s">
        <v>4</v>
      </c>
      <c r="I630" s="254"/>
      <c r="J630" s="255"/>
      <c r="K630" s="255"/>
      <c r="L630" s="255"/>
      <c r="M630" s="255"/>
      <c r="N630" s="255"/>
      <c r="O630" s="255"/>
      <c r="P630" s="255"/>
      <c r="Q630" s="261">
        <v>80640060757</v>
      </c>
      <c r="R630" s="175">
        <v>80640060757</v>
      </c>
    </row>
    <row r="631" spans="1:18" x14ac:dyDescent="0.2">
      <c r="A631" s="175">
        <v>11</v>
      </c>
      <c r="B631" s="177" t="s">
        <v>521</v>
      </c>
      <c r="C631" s="175" t="s">
        <v>846</v>
      </c>
      <c r="D631" s="259">
        <v>0</v>
      </c>
      <c r="E631" s="259">
        <v>0.36</v>
      </c>
      <c r="F631" s="269">
        <v>0.36</v>
      </c>
      <c r="G631" s="305">
        <v>1620</v>
      </c>
      <c r="H631" s="177" t="s">
        <v>4</v>
      </c>
      <c r="I631" s="254"/>
      <c r="J631" s="255"/>
      <c r="K631" s="255"/>
      <c r="L631" s="255"/>
      <c r="M631" s="255"/>
      <c r="N631" s="255"/>
      <c r="O631" s="255"/>
      <c r="P631" s="255"/>
      <c r="Q631" s="261">
        <v>80640060793</v>
      </c>
      <c r="R631" s="175">
        <v>80640060793</v>
      </c>
    </row>
    <row r="632" spans="1:18" x14ac:dyDescent="0.2">
      <c r="A632" s="175">
        <v>12</v>
      </c>
      <c r="B632" s="177" t="s">
        <v>145</v>
      </c>
      <c r="C632" s="175" t="s">
        <v>846</v>
      </c>
      <c r="D632" s="259">
        <v>0</v>
      </c>
      <c r="E632" s="259">
        <v>0.84</v>
      </c>
      <c r="F632" s="269">
        <v>0.84</v>
      </c>
      <c r="G632" s="305">
        <v>4200</v>
      </c>
      <c r="H632" s="177" t="s">
        <v>4</v>
      </c>
      <c r="I632" s="254"/>
      <c r="J632" s="255"/>
      <c r="K632" s="255"/>
      <c r="L632" s="255"/>
      <c r="M632" s="255"/>
      <c r="N632" s="255"/>
      <c r="O632" s="255"/>
      <c r="P632" s="255"/>
      <c r="Q632" s="261">
        <v>80640060772</v>
      </c>
      <c r="R632" s="175">
        <v>80640060772</v>
      </c>
    </row>
    <row r="633" spans="1:18" x14ac:dyDescent="0.2">
      <c r="A633" s="167">
        <v>13</v>
      </c>
      <c r="B633" s="297" t="s">
        <v>164</v>
      </c>
      <c r="C633" s="167" t="s">
        <v>846</v>
      </c>
      <c r="D633" s="259">
        <v>0</v>
      </c>
      <c r="E633" s="259">
        <v>0.39</v>
      </c>
      <c r="F633" s="269">
        <v>0.39</v>
      </c>
      <c r="G633" s="305">
        <v>1755</v>
      </c>
      <c r="H633" s="240" t="s">
        <v>325</v>
      </c>
      <c r="I633" s="254"/>
      <c r="J633" s="255"/>
      <c r="K633" s="255"/>
      <c r="L633" s="255"/>
      <c r="M633" s="255"/>
      <c r="N633" s="255"/>
      <c r="O633" s="255"/>
      <c r="P633" s="255"/>
      <c r="Q633" s="261">
        <v>80640060775</v>
      </c>
      <c r="R633" s="175">
        <v>80640060775</v>
      </c>
    </row>
    <row r="634" spans="1:18" x14ac:dyDescent="0.2">
      <c r="A634" s="167">
        <v>14</v>
      </c>
      <c r="B634" s="298" t="s">
        <v>134</v>
      </c>
      <c r="C634" s="501" t="s">
        <v>846</v>
      </c>
      <c r="D634" s="296">
        <v>0</v>
      </c>
      <c r="E634" s="259">
        <v>0.4</v>
      </c>
      <c r="F634" s="269">
        <v>0.4</v>
      </c>
      <c r="G634" s="305">
        <v>1800</v>
      </c>
      <c r="H634" s="177" t="s">
        <v>4</v>
      </c>
      <c r="I634" s="254"/>
      <c r="J634" s="255"/>
      <c r="K634" s="255"/>
      <c r="L634" s="255"/>
      <c r="M634" s="255"/>
      <c r="N634" s="255"/>
      <c r="O634" s="255"/>
      <c r="P634" s="255"/>
      <c r="Q634" s="261">
        <v>80640060794</v>
      </c>
      <c r="R634" s="175">
        <v>80640060794</v>
      </c>
    </row>
    <row r="635" spans="1:18" x14ac:dyDescent="0.2">
      <c r="A635" s="171"/>
      <c r="B635" s="303"/>
      <c r="C635" s="501" t="s">
        <v>846</v>
      </c>
      <c r="D635" s="296">
        <v>0.4</v>
      </c>
      <c r="E635" s="259">
        <v>0.49</v>
      </c>
      <c r="F635" s="269">
        <v>0.09</v>
      </c>
      <c r="G635" s="305">
        <v>405</v>
      </c>
      <c r="H635" s="177" t="s">
        <v>0</v>
      </c>
      <c r="I635" s="254"/>
      <c r="J635" s="255"/>
      <c r="K635" s="255"/>
      <c r="L635" s="255"/>
      <c r="M635" s="255"/>
      <c r="N635" s="255"/>
      <c r="O635" s="255"/>
      <c r="P635" s="255"/>
      <c r="Q635" s="261">
        <v>80640060794</v>
      </c>
      <c r="R635" s="175">
        <v>80640060794</v>
      </c>
    </row>
    <row r="636" spans="1:18" x14ac:dyDescent="0.2">
      <c r="A636" s="167">
        <v>15</v>
      </c>
      <c r="B636" s="298" t="s">
        <v>522</v>
      </c>
      <c r="C636" s="501" t="s">
        <v>846</v>
      </c>
      <c r="D636" s="296">
        <v>0</v>
      </c>
      <c r="E636" s="259">
        <v>0.47</v>
      </c>
      <c r="F636" s="269">
        <v>0.47</v>
      </c>
      <c r="G636" s="305">
        <v>2115</v>
      </c>
      <c r="H636" s="177" t="s">
        <v>4</v>
      </c>
      <c r="I636" s="254"/>
      <c r="J636" s="255"/>
      <c r="K636" s="255"/>
      <c r="L636" s="255"/>
      <c r="M636" s="255"/>
      <c r="N636" s="255"/>
      <c r="O636" s="255"/>
      <c r="P636" s="255"/>
      <c r="Q636" s="261">
        <v>80640060790</v>
      </c>
      <c r="R636" s="175">
        <v>80640060790</v>
      </c>
    </row>
    <row r="637" spans="1:18" x14ac:dyDescent="0.2">
      <c r="A637" s="173"/>
      <c r="B637" s="299"/>
      <c r="C637" s="501" t="s">
        <v>846</v>
      </c>
      <c r="D637" s="296">
        <v>0.47</v>
      </c>
      <c r="E637" s="259">
        <v>0.56999999999999995</v>
      </c>
      <c r="F637" s="269">
        <v>0.1</v>
      </c>
      <c r="G637" s="305">
        <v>450</v>
      </c>
      <c r="H637" s="177" t="s">
        <v>0</v>
      </c>
      <c r="I637" s="254"/>
      <c r="J637" s="255"/>
      <c r="K637" s="255"/>
      <c r="L637" s="255"/>
      <c r="M637" s="255"/>
      <c r="N637" s="255"/>
      <c r="O637" s="255"/>
      <c r="P637" s="255"/>
      <c r="Q637" s="261">
        <v>80640060790</v>
      </c>
      <c r="R637" s="175">
        <v>80640060790</v>
      </c>
    </row>
    <row r="638" spans="1:18" x14ac:dyDescent="0.2">
      <c r="A638" s="173">
        <v>16</v>
      </c>
      <c r="B638" s="202" t="s">
        <v>523</v>
      </c>
      <c r="C638" s="501" t="s">
        <v>846</v>
      </c>
      <c r="D638" s="259">
        <v>0</v>
      </c>
      <c r="E638" s="259">
        <v>0.1</v>
      </c>
      <c r="F638" s="269">
        <v>0.1</v>
      </c>
      <c r="G638" s="305">
        <v>500</v>
      </c>
      <c r="H638" s="177" t="s">
        <v>0</v>
      </c>
      <c r="I638" s="254"/>
      <c r="J638" s="255"/>
      <c r="K638" s="255"/>
      <c r="L638" s="255"/>
      <c r="M638" s="255"/>
      <c r="N638" s="255"/>
      <c r="O638" s="255"/>
      <c r="P638" s="255"/>
      <c r="Q638" s="261">
        <v>80640060976</v>
      </c>
      <c r="R638" s="175">
        <v>80640060976</v>
      </c>
    </row>
    <row r="639" spans="1:18" x14ac:dyDescent="0.2">
      <c r="A639" s="167">
        <v>17</v>
      </c>
      <c r="B639" s="297" t="s">
        <v>524</v>
      </c>
      <c r="C639" s="501" t="s">
        <v>846</v>
      </c>
      <c r="D639" s="259">
        <v>0</v>
      </c>
      <c r="E639" s="259">
        <v>0.14000000000000001</v>
      </c>
      <c r="F639" s="269">
        <v>0.14000000000000001</v>
      </c>
      <c r="G639" s="305">
        <v>700</v>
      </c>
      <c r="H639" s="240" t="s">
        <v>325</v>
      </c>
      <c r="I639" s="254"/>
      <c r="J639" s="255"/>
      <c r="K639" s="255"/>
      <c r="L639" s="255"/>
      <c r="M639" s="255"/>
      <c r="N639" s="255"/>
      <c r="O639" s="255"/>
      <c r="P639" s="255"/>
      <c r="Q639" s="261">
        <v>80640060767</v>
      </c>
      <c r="R639" s="175">
        <v>80640060767</v>
      </c>
    </row>
    <row r="640" spans="1:18" x14ac:dyDescent="0.2">
      <c r="A640" s="167">
        <v>18</v>
      </c>
      <c r="B640" s="298" t="s">
        <v>119</v>
      </c>
      <c r="C640" s="501" t="s">
        <v>846</v>
      </c>
      <c r="D640" s="296">
        <v>0</v>
      </c>
      <c r="E640" s="259">
        <v>0.12</v>
      </c>
      <c r="F640" s="269">
        <v>0.12</v>
      </c>
      <c r="G640" s="305">
        <v>600</v>
      </c>
      <c r="H640" s="177" t="s">
        <v>4</v>
      </c>
      <c r="I640" s="254"/>
      <c r="J640" s="255"/>
      <c r="K640" s="255"/>
      <c r="L640" s="255"/>
      <c r="M640" s="255"/>
      <c r="N640" s="255"/>
      <c r="O640" s="255"/>
      <c r="P640" s="255"/>
      <c r="Q640" s="261">
        <v>80640060773</v>
      </c>
      <c r="R640" s="175">
        <v>80640060773</v>
      </c>
    </row>
    <row r="641" spans="1:18" x14ac:dyDescent="0.2">
      <c r="A641" s="173"/>
      <c r="B641" s="299"/>
      <c r="C641" s="501" t="s">
        <v>846</v>
      </c>
      <c r="D641" s="296">
        <v>0.13200000000000001</v>
      </c>
      <c r="E641" s="259">
        <v>0.182</v>
      </c>
      <c r="F641" s="269">
        <v>0.05</v>
      </c>
      <c r="G641" s="305">
        <v>250</v>
      </c>
      <c r="H641" s="240" t="s">
        <v>325</v>
      </c>
      <c r="I641" s="254"/>
      <c r="J641" s="255"/>
      <c r="K641" s="255"/>
      <c r="L641" s="255"/>
      <c r="M641" s="255"/>
      <c r="N641" s="255"/>
      <c r="O641" s="255"/>
      <c r="P641" s="255"/>
      <c r="Q641" s="261">
        <v>80640060773</v>
      </c>
      <c r="R641" s="175">
        <v>80640060774</v>
      </c>
    </row>
    <row r="642" spans="1:18" x14ac:dyDescent="0.2">
      <c r="A642" s="173">
        <v>19</v>
      </c>
      <c r="B642" s="202" t="s">
        <v>100</v>
      </c>
      <c r="C642" s="175" t="s">
        <v>846</v>
      </c>
      <c r="D642" s="259">
        <v>0</v>
      </c>
      <c r="E642" s="259">
        <v>0.1</v>
      </c>
      <c r="F642" s="269">
        <v>0.1</v>
      </c>
      <c r="G642" s="305">
        <v>450</v>
      </c>
      <c r="H642" s="240" t="s">
        <v>325</v>
      </c>
      <c r="I642" s="254"/>
      <c r="J642" s="255"/>
      <c r="K642" s="255"/>
      <c r="L642" s="255"/>
      <c r="M642" s="255"/>
      <c r="N642" s="255"/>
      <c r="O642" s="255"/>
      <c r="P642" s="255"/>
      <c r="Q642" s="261">
        <v>80640060815</v>
      </c>
      <c r="R642" s="175">
        <v>80640060863</v>
      </c>
    </row>
    <row r="643" spans="1:18" x14ac:dyDescent="0.2">
      <c r="A643" s="175">
        <v>20</v>
      </c>
      <c r="B643" s="177" t="s">
        <v>92</v>
      </c>
      <c r="C643" s="175" t="s">
        <v>846</v>
      </c>
      <c r="D643" s="259">
        <v>0</v>
      </c>
      <c r="E643" s="259">
        <v>0.45</v>
      </c>
      <c r="F643" s="269">
        <v>0.45</v>
      </c>
      <c r="G643" s="305">
        <v>2250</v>
      </c>
      <c r="H643" s="177" t="s">
        <v>4</v>
      </c>
      <c r="I643" s="254"/>
      <c r="J643" s="255"/>
      <c r="K643" s="255"/>
      <c r="L643" s="255"/>
      <c r="M643" s="255"/>
      <c r="N643" s="255"/>
      <c r="O643" s="255"/>
      <c r="P643" s="255"/>
      <c r="Q643" s="261">
        <v>80640060779</v>
      </c>
      <c r="R643" s="175">
        <v>80640060779</v>
      </c>
    </row>
    <row r="644" spans="1:18" x14ac:dyDescent="0.2">
      <c r="A644" s="175">
        <v>21</v>
      </c>
      <c r="B644" s="177" t="s">
        <v>175</v>
      </c>
      <c r="C644" s="175" t="s">
        <v>846</v>
      </c>
      <c r="D644" s="259">
        <v>0</v>
      </c>
      <c r="E644" s="259">
        <v>0.4</v>
      </c>
      <c r="F644" s="269">
        <v>0.4</v>
      </c>
      <c r="G644" s="305">
        <v>2000</v>
      </c>
      <c r="H644" s="177" t="s">
        <v>4</v>
      </c>
      <c r="I644" s="254"/>
      <c r="J644" s="255"/>
      <c r="K644" s="255"/>
      <c r="L644" s="255"/>
      <c r="M644" s="255"/>
      <c r="N644" s="255"/>
      <c r="O644" s="255"/>
      <c r="P644" s="255"/>
      <c r="Q644" s="261">
        <v>80640060777</v>
      </c>
      <c r="R644" s="175">
        <v>80640060777</v>
      </c>
    </row>
    <row r="645" spans="1:18" x14ac:dyDescent="0.2">
      <c r="A645" s="175">
        <v>22</v>
      </c>
      <c r="B645" s="177" t="s">
        <v>82</v>
      </c>
      <c r="C645" s="175" t="s">
        <v>846</v>
      </c>
      <c r="D645" s="259">
        <v>0</v>
      </c>
      <c r="E645" s="259">
        <v>0.1</v>
      </c>
      <c r="F645" s="269">
        <v>0.1</v>
      </c>
      <c r="G645" s="305">
        <v>500</v>
      </c>
      <c r="H645" s="177" t="s">
        <v>0</v>
      </c>
      <c r="I645" s="254"/>
      <c r="J645" s="255"/>
      <c r="K645" s="255"/>
      <c r="L645" s="255"/>
      <c r="M645" s="255"/>
      <c r="N645" s="255"/>
      <c r="O645" s="255"/>
      <c r="P645" s="255"/>
      <c r="Q645" s="261">
        <v>80640060828</v>
      </c>
      <c r="R645" s="175">
        <v>80640060828</v>
      </c>
    </row>
    <row r="646" spans="1:18" x14ac:dyDescent="0.2">
      <c r="A646" s="175">
        <v>23</v>
      </c>
      <c r="B646" s="177" t="s">
        <v>185</v>
      </c>
      <c r="C646" s="175" t="s">
        <v>846</v>
      </c>
      <c r="D646" s="259">
        <v>0</v>
      </c>
      <c r="E646" s="259">
        <v>0.31</v>
      </c>
      <c r="F646" s="269">
        <v>0.31</v>
      </c>
      <c r="G646" s="305">
        <v>1550</v>
      </c>
      <c r="H646" s="240" t="s">
        <v>325</v>
      </c>
      <c r="I646" s="254"/>
      <c r="J646" s="255"/>
      <c r="K646" s="255"/>
      <c r="L646" s="255"/>
      <c r="M646" s="255"/>
      <c r="N646" s="255"/>
      <c r="O646" s="255"/>
      <c r="P646" s="255"/>
      <c r="Q646" s="261">
        <v>80640060786</v>
      </c>
      <c r="R646" s="175">
        <v>80640060786</v>
      </c>
    </row>
    <row r="647" spans="1:18" x14ac:dyDescent="0.2">
      <c r="A647" s="175">
        <v>24</v>
      </c>
      <c r="B647" s="177" t="s">
        <v>70</v>
      </c>
      <c r="C647" s="175" t="s">
        <v>846</v>
      </c>
      <c r="D647" s="259">
        <v>0</v>
      </c>
      <c r="E647" s="259">
        <v>0.2</v>
      </c>
      <c r="F647" s="269">
        <v>0.2</v>
      </c>
      <c r="G647" s="305">
        <v>1000</v>
      </c>
      <c r="H647" s="240" t="s">
        <v>325</v>
      </c>
      <c r="I647" s="254"/>
      <c r="J647" s="255"/>
      <c r="K647" s="255"/>
      <c r="L647" s="255"/>
      <c r="M647" s="255"/>
      <c r="N647" s="255"/>
      <c r="O647" s="255"/>
      <c r="P647" s="255"/>
      <c r="Q647" s="261">
        <v>80640060787</v>
      </c>
      <c r="R647" s="175">
        <v>80640060787</v>
      </c>
    </row>
    <row r="648" spans="1:18" x14ac:dyDescent="0.2">
      <c r="A648" s="175">
        <v>25</v>
      </c>
      <c r="B648" s="177" t="s">
        <v>525</v>
      </c>
      <c r="C648" s="175" t="s">
        <v>846</v>
      </c>
      <c r="D648" s="259">
        <v>0</v>
      </c>
      <c r="E648" s="259">
        <v>0.31</v>
      </c>
      <c r="F648" s="269">
        <v>0.31</v>
      </c>
      <c r="G648" s="305">
        <v>1550</v>
      </c>
      <c r="H648" s="177" t="s">
        <v>4</v>
      </c>
      <c r="I648" s="254"/>
      <c r="J648" s="255"/>
      <c r="K648" s="255"/>
      <c r="L648" s="255"/>
      <c r="M648" s="255"/>
      <c r="N648" s="255"/>
      <c r="O648" s="255"/>
      <c r="P648" s="255"/>
      <c r="Q648" s="261">
        <v>80640060789</v>
      </c>
      <c r="R648" s="175">
        <v>80640060789</v>
      </c>
    </row>
    <row r="649" spans="1:18" x14ac:dyDescent="0.2">
      <c r="A649" s="175">
        <v>26</v>
      </c>
      <c r="B649" s="177" t="s">
        <v>526</v>
      </c>
      <c r="C649" s="175" t="s">
        <v>846</v>
      </c>
      <c r="D649" s="259">
        <v>0</v>
      </c>
      <c r="E649" s="259">
        <v>0.35</v>
      </c>
      <c r="F649" s="269">
        <v>0.35</v>
      </c>
      <c r="G649" s="305">
        <v>1750</v>
      </c>
      <c r="H649" s="177" t="s">
        <v>4</v>
      </c>
      <c r="I649" s="254"/>
      <c r="J649" s="255"/>
      <c r="K649" s="255"/>
      <c r="L649" s="255"/>
      <c r="M649" s="255"/>
      <c r="N649" s="255"/>
      <c r="O649" s="255"/>
      <c r="P649" s="255"/>
      <c r="Q649" s="261">
        <v>80640060791</v>
      </c>
      <c r="R649" s="175">
        <v>80640060791</v>
      </c>
    </row>
    <row r="650" spans="1:18" x14ac:dyDescent="0.2">
      <c r="A650" s="175">
        <v>27</v>
      </c>
      <c r="B650" s="177" t="s">
        <v>61</v>
      </c>
      <c r="C650" s="175" t="s">
        <v>846</v>
      </c>
      <c r="D650" s="259">
        <v>0</v>
      </c>
      <c r="E650" s="259">
        <v>0.16</v>
      </c>
      <c r="F650" s="269">
        <v>0.16</v>
      </c>
      <c r="G650" s="305">
        <v>800</v>
      </c>
      <c r="H650" s="177" t="s">
        <v>4</v>
      </c>
      <c r="I650" s="254"/>
      <c r="J650" s="255"/>
      <c r="K650" s="255"/>
      <c r="L650" s="255"/>
      <c r="M650" s="255"/>
      <c r="N650" s="255"/>
      <c r="O650" s="255"/>
      <c r="P650" s="255"/>
      <c r="Q650" s="261">
        <v>80640060759</v>
      </c>
      <c r="R650" s="175">
        <v>80640060759</v>
      </c>
    </row>
    <row r="651" spans="1:18" x14ac:dyDescent="0.2">
      <c r="A651" s="167">
        <v>28</v>
      </c>
      <c r="B651" s="297" t="s">
        <v>2</v>
      </c>
      <c r="C651" s="167" t="s">
        <v>846</v>
      </c>
      <c r="D651" s="259">
        <v>0</v>
      </c>
      <c r="E651" s="259">
        <v>0.35</v>
      </c>
      <c r="F651" s="269">
        <v>0.35</v>
      </c>
      <c r="G651" s="305">
        <v>1750</v>
      </c>
      <c r="H651" s="177" t="s">
        <v>4</v>
      </c>
      <c r="I651" s="254"/>
      <c r="J651" s="255"/>
      <c r="K651" s="255"/>
      <c r="L651" s="255"/>
      <c r="M651" s="255"/>
      <c r="N651" s="255"/>
      <c r="O651" s="255"/>
      <c r="P651" s="255"/>
      <c r="Q651" s="261">
        <v>80640060792</v>
      </c>
      <c r="R651" s="175">
        <v>80640060792</v>
      </c>
    </row>
    <row r="652" spans="1:18" x14ac:dyDescent="0.2">
      <c r="A652" s="167">
        <v>29</v>
      </c>
      <c r="B652" s="298" t="s">
        <v>52</v>
      </c>
      <c r="C652" s="501" t="s">
        <v>846</v>
      </c>
      <c r="D652" s="296">
        <v>0</v>
      </c>
      <c r="E652" s="259">
        <v>0.109</v>
      </c>
      <c r="F652" s="269">
        <v>0.109</v>
      </c>
      <c r="G652" s="305">
        <v>545</v>
      </c>
      <c r="H652" s="177" t="s">
        <v>4</v>
      </c>
      <c r="I652" s="254"/>
      <c r="J652" s="255"/>
      <c r="K652" s="255"/>
      <c r="L652" s="255"/>
      <c r="M652" s="255"/>
      <c r="N652" s="255"/>
      <c r="O652" s="255"/>
      <c r="P652" s="255"/>
      <c r="Q652" s="261">
        <v>80640060763</v>
      </c>
      <c r="R652" s="175">
        <v>80640060862</v>
      </c>
    </row>
    <row r="653" spans="1:18" x14ac:dyDescent="0.2">
      <c r="A653" s="171"/>
      <c r="B653" s="303"/>
      <c r="C653" s="501" t="s">
        <v>846</v>
      </c>
      <c r="D653" s="296">
        <v>0.12</v>
      </c>
      <c r="E653" s="259">
        <v>0.35299999999999998</v>
      </c>
      <c r="F653" s="269">
        <v>0.23300000000000001</v>
      </c>
      <c r="G653" s="305">
        <v>1165</v>
      </c>
      <c r="H653" s="177" t="s">
        <v>4</v>
      </c>
      <c r="I653" s="254"/>
      <c r="J653" s="255"/>
      <c r="K653" s="255"/>
      <c r="L653" s="255"/>
      <c r="M653" s="255"/>
      <c r="N653" s="255"/>
      <c r="O653" s="255"/>
      <c r="P653" s="255"/>
      <c r="Q653" s="261">
        <v>80640060763</v>
      </c>
      <c r="R653" s="175">
        <v>80640060763</v>
      </c>
    </row>
    <row r="654" spans="1:18" x14ac:dyDescent="0.2">
      <c r="A654" s="171"/>
      <c r="B654" s="303"/>
      <c r="C654" s="501" t="s">
        <v>846</v>
      </c>
      <c r="D654" s="296">
        <v>0.36099999999999999</v>
      </c>
      <c r="E654" s="259">
        <v>0.42299999999999999</v>
      </c>
      <c r="F654" s="269">
        <v>6.2E-2</v>
      </c>
      <c r="G654" s="305">
        <v>310</v>
      </c>
      <c r="H654" s="240" t="s">
        <v>325</v>
      </c>
      <c r="I654" s="254"/>
      <c r="J654" s="255"/>
      <c r="K654" s="255"/>
      <c r="L654" s="255"/>
      <c r="M654" s="255"/>
      <c r="N654" s="255"/>
      <c r="O654" s="255"/>
      <c r="P654" s="255"/>
      <c r="Q654" s="261">
        <v>80640060763</v>
      </c>
      <c r="R654" s="175">
        <v>80640060764</v>
      </c>
    </row>
    <row r="655" spans="1:18" x14ac:dyDescent="0.2">
      <c r="A655" s="173"/>
      <c r="B655" s="299"/>
      <c r="C655" s="501" t="s">
        <v>846</v>
      </c>
      <c r="D655" s="296">
        <v>0</v>
      </c>
      <c r="E655" s="259">
        <v>0.33100000000000002</v>
      </c>
      <c r="F655" s="269">
        <v>0.33100000000000002</v>
      </c>
      <c r="G655" s="305">
        <v>1655</v>
      </c>
      <c r="H655" s="240" t="s">
        <v>325</v>
      </c>
      <c r="I655" s="254"/>
      <c r="J655" s="255"/>
      <c r="K655" s="255"/>
      <c r="L655" s="255"/>
      <c r="M655" s="255"/>
      <c r="N655" s="255"/>
      <c r="O655" s="255"/>
      <c r="P655" s="255"/>
      <c r="Q655" s="261">
        <v>80640060763</v>
      </c>
      <c r="R655" s="175">
        <v>80640060771</v>
      </c>
    </row>
    <row r="656" spans="1:18" x14ac:dyDescent="0.2">
      <c r="A656" s="173">
        <v>30</v>
      </c>
      <c r="B656" s="202" t="s">
        <v>40</v>
      </c>
      <c r="C656" s="501" t="s">
        <v>846</v>
      </c>
      <c r="D656" s="259">
        <v>0</v>
      </c>
      <c r="E656" s="259">
        <v>0.48</v>
      </c>
      <c r="F656" s="269">
        <v>0.48</v>
      </c>
      <c r="G656" s="305">
        <v>2400</v>
      </c>
      <c r="H656" s="177" t="s">
        <v>4</v>
      </c>
      <c r="I656" s="254"/>
      <c r="J656" s="255"/>
      <c r="K656" s="255"/>
      <c r="L656" s="255"/>
      <c r="M656" s="255"/>
      <c r="N656" s="255"/>
      <c r="O656" s="255"/>
      <c r="P656" s="255"/>
      <c r="Q656" s="261">
        <v>80640060778</v>
      </c>
      <c r="R656" s="175">
        <v>80640060778</v>
      </c>
    </row>
    <row r="657" spans="1:18" x14ac:dyDescent="0.2">
      <c r="A657" s="167">
        <v>31</v>
      </c>
      <c r="B657" s="297" t="s">
        <v>188</v>
      </c>
      <c r="C657" s="501" t="s">
        <v>846</v>
      </c>
      <c r="D657" s="259">
        <v>0</v>
      </c>
      <c r="E657" s="259">
        <v>0.62</v>
      </c>
      <c r="F657" s="269">
        <v>0.62</v>
      </c>
      <c r="G657" s="305">
        <v>3100</v>
      </c>
      <c r="H657" s="177" t="s">
        <v>4</v>
      </c>
      <c r="I657" s="254"/>
      <c r="J657" s="255"/>
      <c r="K657" s="255"/>
      <c r="L657" s="255"/>
      <c r="M657" s="255"/>
      <c r="N657" s="255"/>
      <c r="O657" s="255"/>
      <c r="P657" s="255"/>
      <c r="Q657" s="261">
        <v>80640060776</v>
      </c>
      <c r="R657" s="175">
        <v>80640060776</v>
      </c>
    </row>
    <row r="658" spans="1:18" x14ac:dyDescent="0.2">
      <c r="A658" s="167">
        <v>32</v>
      </c>
      <c r="B658" s="298" t="s">
        <v>527</v>
      </c>
      <c r="C658" s="501" t="s">
        <v>846</v>
      </c>
      <c r="D658" s="296">
        <v>0</v>
      </c>
      <c r="E658" s="259">
        <v>0.11</v>
      </c>
      <c r="F658" s="269">
        <v>0.11</v>
      </c>
      <c r="G658" s="305">
        <v>550</v>
      </c>
      <c r="H658" s="177" t="s">
        <v>4</v>
      </c>
      <c r="I658" s="254"/>
      <c r="J658" s="255"/>
      <c r="K658" s="255"/>
      <c r="L658" s="255"/>
      <c r="M658" s="255"/>
      <c r="N658" s="255"/>
      <c r="O658" s="255"/>
      <c r="P658" s="255"/>
      <c r="Q658" s="261">
        <v>80640060765</v>
      </c>
      <c r="R658" s="175">
        <v>80640060765</v>
      </c>
    </row>
    <row r="659" spans="1:18" x14ac:dyDescent="0.2">
      <c r="A659" s="173"/>
      <c r="B659" s="299"/>
      <c r="C659" s="501" t="s">
        <v>846</v>
      </c>
      <c r="D659" s="296">
        <v>0.124</v>
      </c>
      <c r="E659" s="259">
        <v>0.26600000000000001</v>
      </c>
      <c r="F659" s="269">
        <v>0.14199999999999999</v>
      </c>
      <c r="G659" s="305">
        <v>710</v>
      </c>
      <c r="H659" s="177" t="s">
        <v>4</v>
      </c>
      <c r="I659" s="254"/>
      <c r="J659" s="255"/>
      <c r="K659" s="255"/>
      <c r="L659" s="255"/>
      <c r="M659" s="255"/>
      <c r="N659" s="255"/>
      <c r="O659" s="255"/>
      <c r="P659" s="255"/>
      <c r="Q659" s="261">
        <v>80640060765</v>
      </c>
      <c r="R659" s="175">
        <v>80640060766</v>
      </c>
    </row>
    <row r="660" spans="1:18" x14ac:dyDescent="0.2">
      <c r="A660" s="171">
        <v>33</v>
      </c>
      <c r="B660" s="179" t="s">
        <v>528</v>
      </c>
      <c r="C660" s="501" t="s">
        <v>846</v>
      </c>
      <c r="D660" s="259">
        <v>0</v>
      </c>
      <c r="E660" s="259">
        <v>0.08</v>
      </c>
      <c r="F660" s="269">
        <v>0.08</v>
      </c>
      <c r="G660" s="305">
        <v>400</v>
      </c>
      <c r="H660" s="177" t="s">
        <v>0</v>
      </c>
      <c r="I660" s="254"/>
      <c r="J660" s="255"/>
      <c r="K660" s="255"/>
      <c r="L660" s="255"/>
      <c r="M660" s="255"/>
      <c r="N660" s="255"/>
      <c r="O660" s="255"/>
      <c r="P660" s="255"/>
      <c r="Q660" s="261">
        <v>80640060068</v>
      </c>
      <c r="R660" s="175">
        <v>80640060515</v>
      </c>
    </row>
    <row r="661" spans="1:18" x14ac:dyDescent="0.2">
      <c r="A661" s="167">
        <v>34</v>
      </c>
      <c r="B661" s="298" t="s">
        <v>159</v>
      </c>
      <c r="C661" s="501" t="s">
        <v>846</v>
      </c>
      <c r="D661" s="296">
        <v>0</v>
      </c>
      <c r="E661" s="259">
        <v>0.113</v>
      </c>
      <c r="F661" s="269">
        <v>0.113</v>
      </c>
      <c r="G661" s="305">
        <v>565</v>
      </c>
      <c r="H661" s="177" t="s">
        <v>4</v>
      </c>
      <c r="I661" s="254"/>
      <c r="J661" s="255"/>
      <c r="K661" s="255"/>
      <c r="L661" s="255"/>
      <c r="M661" s="255"/>
      <c r="N661" s="255"/>
      <c r="O661" s="255"/>
      <c r="P661" s="255"/>
      <c r="Q661" s="261">
        <v>80640060761</v>
      </c>
      <c r="R661" s="175">
        <v>80640060762</v>
      </c>
    </row>
    <row r="662" spans="1:18" x14ac:dyDescent="0.2">
      <c r="A662" s="173"/>
      <c r="B662" s="299"/>
      <c r="C662" s="501" t="s">
        <v>846</v>
      </c>
      <c r="D662" s="296">
        <v>0.122</v>
      </c>
      <c r="E662" s="259">
        <v>0.29699999999999999</v>
      </c>
      <c r="F662" s="269">
        <v>0.17499999999999999</v>
      </c>
      <c r="G662" s="305">
        <v>875</v>
      </c>
      <c r="H662" s="177" t="s">
        <v>4</v>
      </c>
      <c r="I662" s="254"/>
      <c r="J662" s="255"/>
      <c r="K662" s="255"/>
      <c r="L662" s="255"/>
      <c r="M662" s="255"/>
      <c r="N662" s="255"/>
      <c r="O662" s="255"/>
      <c r="P662" s="255"/>
      <c r="Q662" s="261">
        <v>80640060761</v>
      </c>
      <c r="R662" s="175">
        <v>80640060761</v>
      </c>
    </row>
    <row r="663" spans="1:18" x14ac:dyDescent="0.2">
      <c r="A663" s="171">
        <v>35</v>
      </c>
      <c r="B663" s="179" t="s">
        <v>17</v>
      </c>
      <c r="C663" s="501" t="s">
        <v>846</v>
      </c>
      <c r="D663" s="259">
        <v>0</v>
      </c>
      <c r="E663" s="259">
        <v>0.08</v>
      </c>
      <c r="F663" s="269">
        <v>0.08</v>
      </c>
      <c r="G663" s="305">
        <v>400</v>
      </c>
      <c r="H663" s="240" t="s">
        <v>325</v>
      </c>
      <c r="I663" s="254"/>
      <c r="J663" s="255"/>
      <c r="K663" s="255"/>
      <c r="L663" s="255"/>
      <c r="M663" s="255"/>
      <c r="N663" s="255"/>
      <c r="O663" s="255"/>
      <c r="P663" s="255"/>
      <c r="Q663" s="261">
        <v>80640060788</v>
      </c>
      <c r="R663" s="175">
        <v>80640060788</v>
      </c>
    </row>
    <row r="664" spans="1:18" x14ac:dyDescent="0.2">
      <c r="A664" s="167">
        <v>36</v>
      </c>
      <c r="B664" s="298" t="s">
        <v>186</v>
      </c>
      <c r="C664" s="501" t="s">
        <v>846</v>
      </c>
      <c r="D664" s="296">
        <v>0.03</v>
      </c>
      <c r="E664" s="259">
        <v>0.21</v>
      </c>
      <c r="F664" s="269">
        <v>0.18</v>
      </c>
      <c r="G664" s="305">
        <v>630</v>
      </c>
      <c r="H664" s="177" t="s">
        <v>0</v>
      </c>
      <c r="I664" s="254"/>
      <c r="J664" s="255"/>
      <c r="K664" s="255"/>
      <c r="L664" s="255"/>
      <c r="M664" s="255"/>
      <c r="N664" s="255"/>
      <c r="O664" s="255"/>
      <c r="P664" s="255"/>
      <c r="Q664" s="261">
        <v>80840060196</v>
      </c>
      <c r="R664" s="175">
        <v>80640060196</v>
      </c>
    </row>
    <row r="665" spans="1:18" x14ac:dyDescent="0.2">
      <c r="A665" s="171"/>
      <c r="B665" s="303"/>
      <c r="C665" s="501" t="s">
        <v>846</v>
      </c>
      <c r="D665" s="296">
        <v>0.21</v>
      </c>
      <c r="E665" s="259">
        <v>0.53</v>
      </c>
      <c r="F665" s="269">
        <v>0.32</v>
      </c>
      <c r="G665" s="305">
        <v>1600</v>
      </c>
      <c r="H665" s="177" t="s">
        <v>0</v>
      </c>
      <c r="I665" s="254"/>
      <c r="J665" s="255"/>
      <c r="K665" s="255"/>
      <c r="L665" s="255"/>
      <c r="M665" s="255"/>
      <c r="N665" s="255"/>
      <c r="O665" s="255"/>
      <c r="P665" s="255"/>
      <c r="Q665" s="261">
        <v>80640060830</v>
      </c>
      <c r="R665" s="175">
        <v>80640060830</v>
      </c>
    </row>
    <row r="666" spans="1:18" x14ac:dyDescent="0.2">
      <c r="A666" s="167">
        <v>37</v>
      </c>
      <c r="B666" s="298" t="s">
        <v>529</v>
      </c>
      <c r="C666" s="501" t="s">
        <v>846</v>
      </c>
      <c r="D666" s="296">
        <v>0</v>
      </c>
      <c r="E666" s="259">
        <v>0.254</v>
      </c>
      <c r="F666" s="269">
        <v>0.254</v>
      </c>
      <c r="G666" s="305">
        <v>1143</v>
      </c>
      <c r="H666" s="240" t="s">
        <v>325</v>
      </c>
      <c r="I666" s="254"/>
      <c r="J666" s="255"/>
      <c r="K666" s="255"/>
      <c r="L666" s="255"/>
      <c r="M666" s="255"/>
      <c r="N666" s="255"/>
      <c r="O666" s="255"/>
      <c r="P666" s="255"/>
      <c r="Q666" s="261">
        <v>80640060831</v>
      </c>
      <c r="R666" s="175">
        <v>80640060831</v>
      </c>
    </row>
    <row r="667" spans="1:18" x14ac:dyDescent="0.2">
      <c r="A667" s="173"/>
      <c r="B667" s="299"/>
      <c r="C667" s="501" t="s">
        <v>846</v>
      </c>
      <c r="D667" s="296">
        <v>0.26200000000000001</v>
      </c>
      <c r="E667" s="259">
        <v>0.38900000000000001</v>
      </c>
      <c r="F667" s="269">
        <v>0.127</v>
      </c>
      <c r="G667" s="305">
        <v>572</v>
      </c>
      <c r="H667" s="240" t="s">
        <v>325</v>
      </c>
      <c r="I667" s="254"/>
      <c r="J667" s="255"/>
      <c r="K667" s="255"/>
      <c r="L667" s="255"/>
      <c r="M667" s="255"/>
      <c r="N667" s="255"/>
      <c r="O667" s="255"/>
      <c r="P667" s="255"/>
      <c r="Q667" s="261">
        <v>80640060831</v>
      </c>
      <c r="R667" s="175">
        <v>80640060815</v>
      </c>
    </row>
    <row r="668" spans="1:18" x14ac:dyDescent="0.2">
      <c r="A668" s="173">
        <v>38</v>
      </c>
      <c r="B668" s="202" t="s">
        <v>530</v>
      </c>
      <c r="C668" s="501" t="s">
        <v>846</v>
      </c>
      <c r="D668" s="259">
        <v>0</v>
      </c>
      <c r="E668" s="259">
        <v>0.55000000000000004</v>
      </c>
      <c r="F668" s="269">
        <v>0.55000000000000004</v>
      </c>
      <c r="G668" s="305">
        <v>2750</v>
      </c>
      <c r="H668" s="177" t="s">
        <v>0</v>
      </c>
      <c r="I668" s="254"/>
      <c r="J668" s="255"/>
      <c r="K668" s="255"/>
      <c r="L668" s="255"/>
      <c r="M668" s="255"/>
      <c r="N668" s="255"/>
      <c r="O668" s="255"/>
      <c r="P668" s="255"/>
      <c r="Q668" s="261">
        <v>80640060832</v>
      </c>
      <c r="R668" s="175">
        <v>80640060832</v>
      </c>
    </row>
    <row r="669" spans="1:18" x14ac:dyDescent="0.2">
      <c r="A669" s="167">
        <v>39</v>
      </c>
      <c r="B669" s="297" t="s">
        <v>531</v>
      </c>
      <c r="C669" s="501" t="s">
        <v>846</v>
      </c>
      <c r="D669" s="259">
        <v>0</v>
      </c>
      <c r="E669" s="259">
        <v>0.22</v>
      </c>
      <c r="F669" s="269">
        <v>0.22</v>
      </c>
      <c r="G669" s="305">
        <v>1100</v>
      </c>
      <c r="H669" s="177" t="s">
        <v>4</v>
      </c>
      <c r="I669" s="254"/>
      <c r="J669" s="255"/>
      <c r="K669" s="255"/>
      <c r="L669" s="255"/>
      <c r="M669" s="255"/>
      <c r="N669" s="255"/>
      <c r="O669" s="255"/>
      <c r="P669" s="255"/>
      <c r="Q669" s="261">
        <v>80640060257</v>
      </c>
      <c r="R669" s="175">
        <v>80640060257</v>
      </c>
    </row>
    <row r="670" spans="1:18" x14ac:dyDescent="0.2">
      <c r="A670" s="167">
        <v>40</v>
      </c>
      <c r="B670" s="298" t="s">
        <v>88</v>
      </c>
      <c r="C670" s="501" t="s">
        <v>846</v>
      </c>
      <c r="D670" s="296">
        <v>0</v>
      </c>
      <c r="E670" s="259">
        <v>0.13100000000000001</v>
      </c>
      <c r="F670" s="269">
        <v>0.13100000000000001</v>
      </c>
      <c r="G670" s="305">
        <v>590</v>
      </c>
      <c r="H670" s="240" t="s">
        <v>325</v>
      </c>
      <c r="I670" s="254"/>
      <c r="J670" s="255"/>
      <c r="K670" s="255"/>
      <c r="L670" s="255"/>
      <c r="M670" s="255"/>
      <c r="N670" s="255"/>
      <c r="O670" s="255"/>
      <c r="P670" s="255"/>
      <c r="Q670" s="261">
        <v>80640060930</v>
      </c>
      <c r="R670" s="175">
        <v>80640060829</v>
      </c>
    </row>
    <row r="671" spans="1:18" x14ac:dyDescent="0.2">
      <c r="A671" s="173"/>
      <c r="B671" s="299"/>
      <c r="C671" s="501" t="s">
        <v>846</v>
      </c>
      <c r="D671" s="296">
        <v>0.13900000000000001</v>
      </c>
      <c r="E671" s="259">
        <v>0.26200000000000001</v>
      </c>
      <c r="F671" s="269">
        <v>0.123</v>
      </c>
      <c r="G671" s="305">
        <v>554</v>
      </c>
      <c r="H671" s="240" t="s">
        <v>325</v>
      </c>
      <c r="I671" s="254"/>
      <c r="J671" s="255"/>
      <c r="K671" s="255"/>
      <c r="L671" s="255"/>
      <c r="M671" s="255"/>
      <c r="N671" s="255"/>
      <c r="O671" s="255"/>
      <c r="P671" s="255"/>
      <c r="Q671" s="261">
        <v>80640060930</v>
      </c>
      <c r="R671" s="175">
        <v>80640060930</v>
      </c>
    </row>
    <row r="672" spans="1:18" x14ac:dyDescent="0.2">
      <c r="A672" s="173">
        <v>41</v>
      </c>
      <c r="B672" s="202" t="s">
        <v>532</v>
      </c>
      <c r="C672" s="175" t="s">
        <v>846</v>
      </c>
      <c r="D672" s="259">
        <v>0</v>
      </c>
      <c r="E672" s="259">
        <v>0.2</v>
      </c>
      <c r="F672" s="269">
        <v>0.2</v>
      </c>
      <c r="G672" s="305">
        <v>900</v>
      </c>
      <c r="H672" s="240" t="s">
        <v>325</v>
      </c>
      <c r="I672" s="254"/>
      <c r="J672" s="255"/>
      <c r="K672" s="255"/>
      <c r="L672" s="255"/>
      <c r="M672" s="255"/>
      <c r="N672" s="255"/>
      <c r="O672" s="255"/>
      <c r="P672" s="255"/>
      <c r="Q672" s="261">
        <v>80640060072</v>
      </c>
      <c r="R672" s="175">
        <v>80640060530</v>
      </c>
    </row>
    <row r="673" spans="1:32" x14ac:dyDescent="0.2">
      <c r="A673" s="175">
        <v>42</v>
      </c>
      <c r="B673" s="177" t="s">
        <v>533</v>
      </c>
      <c r="C673" s="175" t="s">
        <v>846</v>
      </c>
      <c r="D673" s="259">
        <v>0</v>
      </c>
      <c r="E673" s="259">
        <v>0.15</v>
      </c>
      <c r="F673" s="269">
        <v>0.15</v>
      </c>
      <c r="G673" s="305">
        <v>750</v>
      </c>
      <c r="H673" s="240" t="s">
        <v>325</v>
      </c>
      <c r="I673" s="254"/>
      <c r="J673" s="255"/>
      <c r="K673" s="255"/>
      <c r="L673" s="255"/>
      <c r="M673" s="255"/>
      <c r="N673" s="255"/>
      <c r="O673" s="255"/>
      <c r="P673" s="255"/>
      <c r="Q673" s="261">
        <v>80640060027</v>
      </c>
      <c r="R673" s="175">
        <v>80640060439</v>
      </c>
    </row>
    <row r="674" spans="1:32" x14ac:dyDescent="0.2">
      <c r="A674" s="175">
        <v>43</v>
      </c>
      <c r="B674" s="177" t="s">
        <v>534</v>
      </c>
      <c r="C674" s="175" t="s">
        <v>846</v>
      </c>
      <c r="D674" s="259">
        <v>0</v>
      </c>
      <c r="E674" s="259">
        <v>0.3</v>
      </c>
      <c r="F674" s="269">
        <v>0.3</v>
      </c>
      <c r="G674" s="305">
        <v>1500</v>
      </c>
      <c r="H674" s="177" t="s">
        <v>0</v>
      </c>
      <c r="I674" s="254"/>
      <c r="J674" s="255"/>
      <c r="K674" s="255"/>
      <c r="L674" s="255"/>
      <c r="M674" s="255"/>
      <c r="N674" s="255"/>
      <c r="O674" s="255"/>
      <c r="P674" s="255"/>
      <c r="Q674" s="261">
        <v>80640061295</v>
      </c>
      <c r="R674" s="175">
        <v>80640061294</v>
      </c>
    </row>
    <row r="675" spans="1:32" ht="15" x14ac:dyDescent="0.25">
      <c r="A675" s="175">
        <v>44</v>
      </c>
      <c r="B675" s="177" t="s">
        <v>190</v>
      </c>
      <c r="C675" s="175" t="s">
        <v>846</v>
      </c>
      <c r="D675" s="259">
        <v>0</v>
      </c>
      <c r="E675" s="259">
        <v>0.6</v>
      </c>
      <c r="F675" s="269">
        <v>0.6</v>
      </c>
      <c r="G675" s="305">
        <v>3000</v>
      </c>
      <c r="H675" s="177" t="s">
        <v>0</v>
      </c>
      <c r="I675" s="254"/>
      <c r="J675" s="255"/>
      <c r="K675" s="255"/>
      <c r="L675" s="255"/>
      <c r="M675" s="255"/>
      <c r="N675" s="255"/>
      <c r="O675" s="255"/>
      <c r="P675" s="255"/>
      <c r="Q675" s="261">
        <v>80640060801</v>
      </c>
      <c r="R675" s="175">
        <v>80640060801</v>
      </c>
      <c r="S675"/>
      <c r="T675"/>
      <c r="U675"/>
      <c r="V675"/>
      <c r="W675"/>
      <c r="X675"/>
      <c r="Y675"/>
      <c r="Z675"/>
      <c r="AA675" t="s">
        <v>1097</v>
      </c>
      <c r="AB675"/>
      <c r="AC675"/>
      <c r="AD675"/>
      <c r="AE675"/>
      <c r="AF675"/>
    </row>
    <row r="676" spans="1:32" ht="22.5" x14ac:dyDescent="0.2">
      <c r="C676" s="33"/>
      <c r="S676" s="102"/>
      <c r="T676" s="625" t="s">
        <v>1092</v>
      </c>
      <c r="U676" s="625" t="s">
        <v>1093</v>
      </c>
      <c r="V676" s="625" t="s">
        <v>1094</v>
      </c>
      <c r="W676" s="625" t="s">
        <v>1095</v>
      </c>
      <c r="X676" s="625" t="s">
        <v>1096</v>
      </c>
      <c r="Y676" s="627" t="s">
        <v>269</v>
      </c>
      <c r="Z676" s="102"/>
      <c r="AA676" s="625" t="s">
        <v>1092</v>
      </c>
      <c r="AB676" s="625" t="s">
        <v>1093</v>
      </c>
      <c r="AC676" s="625" t="s">
        <v>1094</v>
      </c>
      <c r="AD676" s="625" t="s">
        <v>1095</v>
      </c>
      <c r="AE676" s="625" t="s">
        <v>1096</v>
      </c>
      <c r="AF676" s="627" t="s">
        <v>269</v>
      </c>
    </row>
    <row r="677" spans="1:32" ht="12.75" customHeight="1" x14ac:dyDescent="0.2">
      <c r="A677" s="137" t="s">
        <v>589</v>
      </c>
      <c r="B677" s="138"/>
      <c r="C677" s="485"/>
      <c r="D677" s="139"/>
      <c r="E677" s="140"/>
      <c r="F677" s="141">
        <f>SUM(F615:F676)</f>
        <v>21.697000000000003</v>
      </c>
      <c r="G677" s="204">
        <f>SUM(G615:G676)</f>
        <v>109630</v>
      </c>
      <c r="H677" s="143"/>
      <c r="I677" s="94"/>
      <c r="J677" s="144"/>
      <c r="K677" s="145" t="s">
        <v>268</v>
      </c>
      <c r="L677" s="265">
        <f>SUM(L615:L676)</f>
        <v>0</v>
      </c>
      <c r="M677" s="265">
        <f>SUM(M615:M676)</f>
        <v>0</v>
      </c>
      <c r="N677" s="147"/>
      <c r="O677" s="145" t="s">
        <v>269</v>
      </c>
      <c r="P677" s="265">
        <f>SUM(P615:P676)</f>
        <v>0</v>
      </c>
      <c r="Q677" s="147"/>
      <c r="R677" s="147"/>
      <c r="S677" s="628" t="s">
        <v>844</v>
      </c>
      <c r="T677" s="625" t="s">
        <v>231</v>
      </c>
      <c r="U677" s="625" t="s">
        <v>231</v>
      </c>
      <c r="V677" s="625" t="s">
        <v>231</v>
      </c>
      <c r="W677" s="625" t="s">
        <v>231</v>
      </c>
      <c r="X677" s="625" t="s">
        <v>231</v>
      </c>
      <c r="Y677" s="626" t="s">
        <v>231</v>
      </c>
      <c r="Z677" s="628"/>
      <c r="AA677" s="625" t="s">
        <v>231</v>
      </c>
      <c r="AB677" s="625" t="s">
        <v>231</v>
      </c>
      <c r="AC677" s="625" t="s">
        <v>231</v>
      </c>
      <c r="AD677" s="625" t="s">
        <v>231</v>
      </c>
      <c r="AE677" s="625" t="s">
        <v>231</v>
      </c>
      <c r="AF677" s="626" t="s">
        <v>231</v>
      </c>
    </row>
    <row r="678" spans="1:32" ht="12.75" customHeight="1" x14ac:dyDescent="0.2">
      <c r="A678" s="148" t="s">
        <v>270</v>
      </c>
      <c r="B678" s="149"/>
      <c r="C678" s="486"/>
      <c r="D678" s="150"/>
      <c r="E678" s="151"/>
      <c r="F678" s="163">
        <f>SUMIFS(F615:F675,H615:H675,"melnais")</f>
        <v>15.365999999999998</v>
      </c>
      <c r="G678" s="266">
        <f>SUMIFS(G615:G675,H615:H675,"melnais")</f>
        <v>78584</v>
      </c>
      <c r="H678" s="154"/>
      <c r="I678" s="155"/>
      <c r="J678" s="147"/>
      <c r="K678" s="136"/>
      <c r="L678" s="156"/>
      <c r="M678" s="156"/>
      <c r="N678" s="147"/>
      <c r="O678" s="147"/>
      <c r="P678" s="147"/>
      <c r="Q678" s="147"/>
      <c r="R678" s="147"/>
      <c r="S678" s="616" t="s">
        <v>847</v>
      </c>
      <c r="T678" s="614">
        <f>SUMIFS(F615:F675,C615:C675,"A",H615:H675,"melnais")</f>
        <v>0</v>
      </c>
      <c r="U678" s="614">
        <f>SUMIFS(F615:F675,C615:C675,"A",H615:H675,"dubultā virsma")</f>
        <v>0</v>
      </c>
      <c r="V678" s="614">
        <f>SUMIFS(F615:F675,C615:C675,"A",H615:H675,"bruģis")</f>
        <v>0</v>
      </c>
      <c r="W678" s="614">
        <f>SUMIFS(F615:F675,C615:C675,"A",H615:H675,"grants")</f>
        <v>0</v>
      </c>
      <c r="X678" s="614">
        <f>SUMIFS(F615:F675,C615:C675,"A",H615:H675,"cits segums")</f>
        <v>0</v>
      </c>
      <c r="Y678" s="614">
        <f>SUM(T678:X678)</f>
        <v>0</v>
      </c>
      <c r="Z678" s="616" t="s">
        <v>847</v>
      </c>
      <c r="AA678" s="614">
        <f>SUMIFS(F615:F675,C615:C675,"A",H615:H675,"melnais", Q615:Q675,"Nepiederošs")</f>
        <v>0</v>
      </c>
      <c r="AB678" s="614">
        <f>SUMIFS(F615:F675,C615:C675,"A",H615:H675,"dubultā virsma", Q615:Q675,"Nepiederošs")</f>
        <v>0</v>
      </c>
      <c r="AC678" s="614">
        <f>SUMIFS(F615:F675,C615:C675,"A",H615:H675,"bruģis", Q615:Q675,"Nepiederošs")</f>
        <v>0</v>
      </c>
      <c r="AD678" s="614">
        <f>SUMIFS(F615:F675,C615:C675,"A",H615:H675,"grants", Q615:Q675,"Nepiederošs")</f>
        <v>0</v>
      </c>
      <c r="AE678" s="614">
        <f>SUMIFS(F615:F675,C615:C675,"A",H615:H675,"cits segums", Q615:Q675,"Nepiederošs")</f>
        <v>0</v>
      </c>
      <c r="AF678" s="614">
        <f>SUM(AA678:AE678)</f>
        <v>0</v>
      </c>
    </row>
    <row r="679" spans="1:32" ht="12.75" customHeight="1" x14ac:dyDescent="0.2">
      <c r="A679" s="148" t="s">
        <v>271</v>
      </c>
      <c r="B679" s="149"/>
      <c r="C679" s="486"/>
      <c r="D679" s="150"/>
      <c r="E679" s="151"/>
      <c r="F679" s="163">
        <f>SUMIFS(F615:F675,H615:H675,"bruģis")</f>
        <v>0</v>
      </c>
      <c r="G679" s="266">
        <f>SUMIFS(G615:G675,H615:H675,"bruģis")</f>
        <v>0</v>
      </c>
      <c r="H679" s="162"/>
      <c r="I679" s="94"/>
      <c r="J679" s="159"/>
      <c r="K679" s="160"/>
      <c r="L679" s="160"/>
      <c r="M679" s="160"/>
      <c r="N679" s="161"/>
      <c r="O679" s="147"/>
      <c r="P679" s="147"/>
      <c r="Q679" s="147"/>
      <c r="R679" s="147"/>
      <c r="S679" s="617" t="s">
        <v>848</v>
      </c>
      <c r="T679" s="614">
        <f>SUMIFS(F615:F675,C615:C675,"B",H615:H675,"melnais")</f>
        <v>0.94</v>
      </c>
      <c r="U679" s="614">
        <f>SUMIFS(F615:F675,C615:C675,"B",H615:H675,"dubultā virsma")</f>
        <v>0</v>
      </c>
      <c r="V679" s="614">
        <f>SUMIFS(F615:F675,C615:C675,"B",H615:H675,"bruģis")</f>
        <v>0</v>
      </c>
      <c r="W679" s="614">
        <f>SUMIFS(F615:F675,C615:C675,"B",H615:H675,"grants")</f>
        <v>0</v>
      </c>
      <c r="X679" s="614">
        <f>SUMIFS(F615:F675,C615:C675,"B",H615:H675,"cits segums")</f>
        <v>0</v>
      </c>
      <c r="Y679" s="614">
        <f t="shared" ref="Y679:Y681" si="161">SUM(T679:X679)</f>
        <v>0.94</v>
      </c>
      <c r="Z679" s="617" t="s">
        <v>848</v>
      </c>
      <c r="AA679" s="614">
        <f>SUMIFS(F615:F675,C615:C675,"B",H615:H675,"melnais", Q615:Q675,"Nepiederošs")</f>
        <v>0</v>
      </c>
      <c r="AB679" s="614">
        <f>SUMIFS(F615:F675,C615:C675,"B",H615:H675,"dubultā virsma", Q615:Q675,"Nepiederošs")</f>
        <v>0</v>
      </c>
      <c r="AC679" s="614">
        <f>SUMIFS(F615:F675,C615:C675,"B",H615:H675,"bruģis", Q615:Q675,"Nepiederošs")</f>
        <v>0</v>
      </c>
      <c r="AD679" s="614">
        <f>SUMIFS(F615:F675,C615:C675,"B",H615:H675,"grants", Q615:Q675,"Nepiederošs")</f>
        <v>0</v>
      </c>
      <c r="AE679" s="614">
        <f>SUMIFS(F615:F675,C615:C675,"B",H615:H675,"cits segums", Q615:Q675,"Nepiederošs")</f>
        <v>0</v>
      </c>
      <c r="AF679" s="614">
        <f t="shared" ref="AF679:AF681" si="162">SUM(AA679:AE679)</f>
        <v>0</v>
      </c>
    </row>
    <row r="680" spans="1:32" ht="12.75" customHeight="1" x14ac:dyDescent="0.2">
      <c r="A680" s="148" t="s">
        <v>272</v>
      </c>
      <c r="B680" s="149"/>
      <c r="C680" s="486"/>
      <c r="D680" s="150"/>
      <c r="E680" s="151"/>
      <c r="F680" s="163">
        <f>SUMIFS(F615:F675,H615:H675,"grants")</f>
        <v>3.6830000000000003</v>
      </c>
      <c r="G680" s="266">
        <f>SUMIFS(G615:G675,H615:H675,"grants")</f>
        <v>18467</v>
      </c>
      <c r="H680" s="162"/>
      <c r="I680" s="162"/>
      <c r="J680" s="159"/>
      <c r="K680" s="160"/>
      <c r="L680" s="160"/>
      <c r="M680" s="160"/>
      <c r="N680" s="161"/>
      <c r="O680" s="147"/>
      <c r="P680" s="147"/>
      <c r="Q680" s="147"/>
      <c r="R680" s="147"/>
      <c r="S680" s="615" t="s">
        <v>845</v>
      </c>
      <c r="T680" s="614">
        <f>SUMIFS(F615:F675,C615:C675,"C",H615:H675,"melnais")</f>
        <v>3.74</v>
      </c>
      <c r="U680" s="614">
        <f>SUMIFS(F615:F675,C615:C675,"C",H615:H675,"dubultā virsma")</f>
        <v>0</v>
      </c>
      <c r="V680" s="614">
        <f>SUMIFS(F615:F675,C615:C675,"C",H615:H675,"bruģis")</f>
        <v>0</v>
      </c>
      <c r="W680" s="614">
        <f>SUMIFS(F615:F675,C615:C675,"C",H615:H675,"grants")</f>
        <v>0.14299999999999999</v>
      </c>
      <c r="X680" s="614">
        <f>SUMIFS(F615:F675,C615:C675,"C",H615:H675,"cits segums")</f>
        <v>0</v>
      </c>
      <c r="Y680" s="614">
        <f t="shared" si="161"/>
        <v>3.883</v>
      </c>
      <c r="Z680" s="615" t="s">
        <v>845</v>
      </c>
      <c r="AA680" s="614">
        <f>SUMIFS(F615:F675,C615:C675,"C",H615:H675,"melnais", Q615:Q675,"Nepiederošs")</f>
        <v>0</v>
      </c>
      <c r="AB680" s="614">
        <f>SUMIFS(F615:F675,C615:C675,"C",H615:H675,"dubultā virsma", Q615:Q675,"Nepiederošs")</f>
        <v>0</v>
      </c>
      <c r="AC680" s="614">
        <f>SUMIFS(F615:F675,C615:C675,"C",H615:H675,"bruģis", Q615:Q675,"Nepiederošs")</f>
        <v>0</v>
      </c>
      <c r="AD680" s="614">
        <f>SUMIFS(F615:F675,C615:C675,"C",H615:H675,"grants", Q615:Q675,"Nepiederošs")</f>
        <v>0</v>
      </c>
      <c r="AE680" s="614">
        <f>SUMIFS(F615:F675,C615:C675,"C",H615:H675,"cits segums", Q615:Q675,"Nepiederošs")</f>
        <v>0</v>
      </c>
      <c r="AF680" s="614">
        <f t="shared" si="162"/>
        <v>0</v>
      </c>
    </row>
    <row r="681" spans="1:32" ht="12.75" customHeight="1" x14ac:dyDescent="0.2">
      <c r="A681" s="148" t="s">
        <v>401</v>
      </c>
      <c r="B681" s="149"/>
      <c r="C681" s="486"/>
      <c r="D681" s="150"/>
      <c r="E681" s="151"/>
      <c r="F681" s="163">
        <f>SUMIFS(F615:F675,H615:H675,"cits segums")</f>
        <v>2.6480000000000001</v>
      </c>
      <c r="G681" s="266">
        <f>SUMIFS(G615:G675,H615:H675,"cits segums")</f>
        <v>12579</v>
      </c>
      <c r="H681" s="165"/>
      <c r="I681" s="162"/>
      <c r="J681" s="166"/>
      <c r="K681" s="160"/>
      <c r="L681" s="160"/>
      <c r="M681" s="160"/>
      <c r="N681" s="161"/>
      <c r="O681" s="147"/>
      <c r="P681" s="147"/>
      <c r="Q681" s="147"/>
      <c r="R681" s="147"/>
      <c r="S681" s="616" t="s">
        <v>846</v>
      </c>
      <c r="T681" s="614">
        <f>SUMIFS(F615:F675,C615:C675,"D",H615:H675,"melnais")</f>
        <v>10.686</v>
      </c>
      <c r="U681" s="614">
        <f>SUMIFS(F615:F675,C615:C675,"D",H615:H675,"dubultā virsma")</f>
        <v>0</v>
      </c>
      <c r="V681" s="614">
        <f>SUMIFS(F615:F675,C615:C675,"D",H615:H675,"bruģis")</f>
        <v>0</v>
      </c>
      <c r="W681" s="614">
        <f>SUMIFS(F615:F675,C615:C675,"D",H615:H675,"grants")</f>
        <v>3.5400000000000005</v>
      </c>
      <c r="X681" s="614">
        <f>SUMIFS(F615:F675,C615:C675,"D",H615:H675,"cits segums")</f>
        <v>2.6480000000000001</v>
      </c>
      <c r="Y681" s="614">
        <f t="shared" si="161"/>
        <v>16.874000000000002</v>
      </c>
      <c r="Z681" s="616" t="s">
        <v>846</v>
      </c>
      <c r="AA681" s="614">
        <f>SUMIFS(F615:F675,C615:C675,"D",H615:H675,"melnais", Q615:Q675,"Nepiederošs")</f>
        <v>0</v>
      </c>
      <c r="AB681" s="614">
        <f>SUMIFS(F615:F675,C615:C675,"D",H615:H675,"dubultā virsma", Q615:Q675,"Nepiederošs")</f>
        <v>0</v>
      </c>
      <c r="AC681" s="614">
        <f>SUMIFS(F615:F675,C615:C675,"D",H615:H675,"bruģis", Q615:Q675,"Nepiederošs")</f>
        <v>0</v>
      </c>
      <c r="AD681" s="614">
        <f>SUMIFS(F615:F675,C615:C675,"D",H615:H675,"grants", Q615:Q675,"Nepiederošs")</f>
        <v>0</v>
      </c>
      <c r="AE681" s="614">
        <f>SUMIFS(F615:F675,C615:C675,"D",H615:H675,"cits segums", Q615:Q675,"Nepiederošs")</f>
        <v>0</v>
      </c>
      <c r="AF681" s="614">
        <f t="shared" si="162"/>
        <v>0</v>
      </c>
    </row>
    <row r="682" spans="1:32" ht="15" x14ac:dyDescent="0.25">
      <c r="C682" s="33"/>
      <c r="S682" s="637"/>
      <c r="T682" s="629">
        <f>SUM(T678:T681)</f>
        <v>15.366</v>
      </c>
      <c r="U682" s="629">
        <f t="shared" ref="U682:Y682" si="163">SUM(U678:U681)</f>
        <v>0</v>
      </c>
      <c r="V682" s="629">
        <f t="shared" si="163"/>
        <v>0</v>
      </c>
      <c r="W682" s="629">
        <f t="shared" si="163"/>
        <v>3.6830000000000003</v>
      </c>
      <c r="X682" s="629">
        <f t="shared" si="163"/>
        <v>2.6480000000000001</v>
      </c>
      <c r="Y682" s="629">
        <f t="shared" si="163"/>
        <v>21.697000000000003</v>
      </c>
      <c r="Z682"/>
      <c r="AA682" s="629">
        <f>SUM(AA678:AA681)</f>
        <v>0</v>
      </c>
      <c r="AB682" s="629">
        <f t="shared" ref="AB682" si="164">SUM(AB678:AB681)</f>
        <v>0</v>
      </c>
      <c r="AC682" s="629">
        <f>SUM(AC678:AC681)</f>
        <v>0</v>
      </c>
      <c r="AD682" s="629">
        <f t="shared" ref="AD682:AF682" si="165">SUM(AD678:AD681)</f>
        <v>0</v>
      </c>
      <c r="AE682" s="629">
        <f t="shared" si="165"/>
        <v>0</v>
      </c>
      <c r="AF682" s="629">
        <f t="shared" si="165"/>
        <v>0</v>
      </c>
    </row>
    <row r="683" spans="1:32" s="38" customFormat="1" ht="15" customHeight="1" x14ac:dyDescent="0.25">
      <c r="A683" s="33"/>
      <c r="C683" s="487"/>
      <c r="D683" s="813" t="s">
        <v>1076</v>
      </c>
      <c r="E683" s="813"/>
      <c r="F683" s="813"/>
      <c r="G683" s="813"/>
      <c r="H683" s="813"/>
      <c r="I683" s="813"/>
      <c r="J683" s="813"/>
      <c r="K683" s="813"/>
      <c r="L683" s="813"/>
      <c r="M683" s="813"/>
      <c r="N683" s="813"/>
      <c r="O683" s="813"/>
      <c r="P683" s="813"/>
      <c r="Q683" s="30"/>
      <c r="R683" s="37"/>
    </row>
    <row r="684" spans="1:32" ht="12.75" customHeight="1" x14ac:dyDescent="0.2">
      <c r="A684" s="818" t="s">
        <v>244</v>
      </c>
      <c r="B684" s="825" t="s">
        <v>388</v>
      </c>
      <c r="C684" s="482"/>
      <c r="D684" s="826" t="s">
        <v>246</v>
      </c>
      <c r="E684" s="827"/>
      <c r="F684" s="827"/>
      <c r="G684" s="827"/>
      <c r="H684" s="827"/>
      <c r="I684" s="827"/>
      <c r="J684" s="827"/>
      <c r="K684" s="827"/>
      <c r="L684" s="827"/>
      <c r="M684" s="827"/>
      <c r="N684" s="827"/>
      <c r="O684" s="827"/>
      <c r="P684" s="828"/>
      <c r="Q684" s="821" t="s">
        <v>247</v>
      </c>
      <c r="R684" s="822"/>
    </row>
    <row r="685" spans="1:32" ht="12.75" customHeight="1" x14ac:dyDescent="0.2">
      <c r="A685" s="818"/>
      <c r="B685" s="825"/>
      <c r="C685" s="410"/>
      <c r="D685" s="816" t="s">
        <v>389</v>
      </c>
      <c r="E685" s="816"/>
      <c r="F685" s="816"/>
      <c r="G685" s="816"/>
      <c r="H685" s="816"/>
      <c r="I685" s="814" t="s">
        <v>249</v>
      </c>
      <c r="J685" s="814"/>
      <c r="K685" s="814"/>
      <c r="L685" s="814"/>
      <c r="M685" s="814"/>
      <c r="N685" s="814"/>
      <c r="O685" s="814"/>
      <c r="P685" s="815" t="s">
        <v>250</v>
      </c>
      <c r="Q685" s="823"/>
      <c r="R685" s="824"/>
    </row>
    <row r="686" spans="1:32" ht="15.2" customHeight="1" x14ac:dyDescent="0.2">
      <c r="A686" s="818"/>
      <c r="B686" s="825"/>
      <c r="C686" s="410"/>
      <c r="D686" s="816" t="s">
        <v>251</v>
      </c>
      <c r="E686" s="816"/>
      <c r="F686" s="817" t="s">
        <v>252</v>
      </c>
      <c r="G686" s="817" t="s">
        <v>257</v>
      </c>
      <c r="H686" s="818" t="s">
        <v>253</v>
      </c>
      <c r="I686" s="819" t="s">
        <v>254</v>
      </c>
      <c r="J686" s="814" t="s">
        <v>255</v>
      </c>
      <c r="K686" s="814"/>
      <c r="L686" s="820" t="s">
        <v>256</v>
      </c>
      <c r="M686" s="820" t="s">
        <v>257</v>
      </c>
      <c r="N686" s="820" t="s">
        <v>258</v>
      </c>
      <c r="O686" s="820" t="s">
        <v>259</v>
      </c>
      <c r="P686" s="809"/>
      <c r="Q686" s="809" t="s">
        <v>260</v>
      </c>
      <c r="R686" s="811" t="s">
        <v>261</v>
      </c>
    </row>
    <row r="687" spans="1:32" ht="33.75" customHeight="1" x14ac:dyDescent="0.2">
      <c r="A687" s="818"/>
      <c r="B687" s="825"/>
      <c r="C687" s="432" t="s">
        <v>844</v>
      </c>
      <c r="D687" s="95" t="s">
        <v>262</v>
      </c>
      <c r="E687" s="95" t="s">
        <v>263</v>
      </c>
      <c r="F687" s="817"/>
      <c r="G687" s="817"/>
      <c r="H687" s="818"/>
      <c r="I687" s="819"/>
      <c r="J687" s="96" t="s">
        <v>231</v>
      </c>
      <c r="K687" s="96" t="s">
        <v>264</v>
      </c>
      <c r="L687" s="820"/>
      <c r="M687" s="820"/>
      <c r="N687" s="820"/>
      <c r="O687" s="820"/>
      <c r="P687" s="810"/>
      <c r="Q687" s="810"/>
      <c r="R687" s="812"/>
    </row>
    <row r="688" spans="1:32" s="99" customFormat="1" ht="12" customHeight="1" x14ac:dyDescent="0.25">
      <c r="A688" s="200">
        <v>1</v>
      </c>
      <c r="B688" s="200">
        <v>2</v>
      </c>
      <c r="C688" s="200"/>
      <c r="D688" s="97">
        <v>3</v>
      </c>
      <c r="E688" s="97">
        <v>4</v>
      </c>
      <c r="F688" s="97">
        <v>5</v>
      </c>
      <c r="G688" s="97">
        <v>6</v>
      </c>
      <c r="H688" s="97">
        <v>7</v>
      </c>
      <c r="I688" s="98">
        <v>8</v>
      </c>
      <c r="J688" s="98">
        <v>9</v>
      </c>
      <c r="K688" s="98">
        <v>10</v>
      </c>
      <c r="L688" s="98">
        <v>11</v>
      </c>
      <c r="M688" s="98">
        <v>12</v>
      </c>
      <c r="N688" s="98">
        <v>13</v>
      </c>
      <c r="O688" s="98">
        <v>14</v>
      </c>
      <c r="P688" s="98">
        <v>15</v>
      </c>
      <c r="Q688" s="98">
        <v>16</v>
      </c>
      <c r="R688" s="97">
        <v>17</v>
      </c>
    </row>
    <row r="689" spans="1:32" x14ac:dyDescent="0.2">
      <c r="A689" s="167">
        <v>1</v>
      </c>
      <c r="B689" s="298" t="s">
        <v>590</v>
      </c>
      <c r="C689" s="175" t="s">
        <v>846</v>
      </c>
      <c r="D689" s="296">
        <v>0</v>
      </c>
      <c r="E689" s="259">
        <v>1.22</v>
      </c>
      <c r="F689" s="269">
        <v>1.22</v>
      </c>
      <c r="G689" s="257">
        <v>6100</v>
      </c>
      <c r="H689" s="177" t="s">
        <v>4</v>
      </c>
      <c r="I689" s="260"/>
      <c r="J689" s="259"/>
      <c r="K689" s="259"/>
      <c r="L689" s="259"/>
      <c r="M689" s="259"/>
      <c r="N689" s="259"/>
      <c r="O689" s="259"/>
      <c r="P689" s="259"/>
      <c r="Q689" s="261">
        <v>80640030267</v>
      </c>
      <c r="R689" s="180">
        <v>80640030267</v>
      </c>
    </row>
    <row r="690" spans="1:32" x14ac:dyDescent="0.2">
      <c r="A690" s="171"/>
      <c r="B690" s="303"/>
      <c r="C690" s="175" t="s">
        <v>846</v>
      </c>
      <c r="D690" s="296">
        <v>1.22</v>
      </c>
      <c r="E690" s="259">
        <v>1.47</v>
      </c>
      <c r="F690" s="269">
        <v>0.20499999999999999</v>
      </c>
      <c r="G690" s="257">
        <v>1025</v>
      </c>
      <c r="H690" s="177" t="s">
        <v>0</v>
      </c>
      <c r="I690" s="260"/>
      <c r="J690" s="259"/>
      <c r="K690" s="259"/>
      <c r="L690" s="259"/>
      <c r="M690" s="259"/>
      <c r="N690" s="259"/>
      <c r="O690" s="259"/>
      <c r="P690" s="259"/>
      <c r="Q690" s="261">
        <v>80640030267</v>
      </c>
      <c r="R690" s="180">
        <v>80640030267</v>
      </c>
    </row>
    <row r="691" spans="1:32" x14ac:dyDescent="0.2">
      <c r="A691" s="167">
        <v>2</v>
      </c>
      <c r="B691" s="298" t="s">
        <v>204</v>
      </c>
      <c r="C691" s="175" t="s">
        <v>846</v>
      </c>
      <c r="D691" s="296">
        <v>0</v>
      </c>
      <c r="E691" s="259">
        <v>2.0499999999999998</v>
      </c>
      <c r="F691" s="269">
        <v>2.0499999999999998</v>
      </c>
      <c r="G691" s="257">
        <v>10250</v>
      </c>
      <c r="H691" s="177" t="s">
        <v>4</v>
      </c>
      <c r="I691" s="260"/>
      <c r="J691" s="259"/>
      <c r="K691" s="259"/>
      <c r="L691" s="259"/>
      <c r="M691" s="259"/>
      <c r="N691" s="259"/>
      <c r="O691" s="259"/>
      <c r="P691" s="259"/>
      <c r="Q691" s="261">
        <v>80640030265</v>
      </c>
      <c r="R691" s="180">
        <v>80640030265</v>
      </c>
    </row>
    <row r="692" spans="1:32" x14ac:dyDescent="0.2">
      <c r="A692" s="173"/>
      <c r="B692" s="299"/>
      <c r="C692" s="175" t="s">
        <v>846</v>
      </c>
      <c r="D692" s="296">
        <v>2.0499999999999998</v>
      </c>
      <c r="E692" s="259">
        <v>2.93</v>
      </c>
      <c r="F692" s="269">
        <v>0.88</v>
      </c>
      <c r="G692" s="257">
        <v>4400</v>
      </c>
      <c r="H692" s="177" t="s">
        <v>0</v>
      </c>
      <c r="I692" s="260"/>
      <c r="J692" s="259"/>
      <c r="K692" s="259"/>
      <c r="L692" s="259"/>
      <c r="M692" s="259"/>
      <c r="N692" s="259"/>
      <c r="O692" s="259"/>
      <c r="P692" s="259"/>
      <c r="Q692" s="261">
        <v>80640030265</v>
      </c>
      <c r="R692" s="180">
        <v>80640030265</v>
      </c>
    </row>
    <row r="693" spans="1:32" x14ac:dyDescent="0.2">
      <c r="A693" s="173">
        <v>3</v>
      </c>
      <c r="B693" s="202" t="s">
        <v>591</v>
      </c>
      <c r="C693" s="173" t="s">
        <v>846</v>
      </c>
      <c r="D693" s="259">
        <v>0</v>
      </c>
      <c r="E693" s="259">
        <v>0.25</v>
      </c>
      <c r="F693" s="269">
        <v>0.25</v>
      </c>
      <c r="G693" s="257">
        <v>1400</v>
      </c>
      <c r="H693" s="177" t="s">
        <v>4</v>
      </c>
      <c r="I693" s="260"/>
      <c r="J693" s="259"/>
      <c r="K693" s="259"/>
      <c r="L693" s="259"/>
      <c r="M693" s="259"/>
      <c r="N693" s="259"/>
      <c r="O693" s="259"/>
      <c r="P693" s="259"/>
      <c r="Q693" s="261">
        <v>80640030264</v>
      </c>
      <c r="R693" s="180">
        <v>80640030264</v>
      </c>
    </row>
    <row r="694" spans="1:32" ht="15" x14ac:dyDescent="0.25">
      <c r="A694" s="175">
        <v>4</v>
      </c>
      <c r="B694" s="177" t="s">
        <v>212</v>
      </c>
      <c r="C694" s="175" t="s">
        <v>846</v>
      </c>
      <c r="D694" s="259">
        <v>0</v>
      </c>
      <c r="E694" s="259">
        <v>0.5</v>
      </c>
      <c r="F694" s="269">
        <v>0.5</v>
      </c>
      <c r="G694" s="257">
        <v>2500</v>
      </c>
      <c r="H694" s="177" t="s">
        <v>4</v>
      </c>
      <c r="I694" s="260"/>
      <c r="J694" s="259"/>
      <c r="K694" s="259"/>
      <c r="L694" s="259"/>
      <c r="M694" s="259"/>
      <c r="N694" s="259"/>
      <c r="O694" s="259"/>
      <c r="P694" s="259"/>
      <c r="Q694" s="261">
        <v>80640030266</v>
      </c>
      <c r="R694" s="180">
        <v>80640030266</v>
      </c>
      <c r="S694"/>
      <c r="T694"/>
      <c r="U694"/>
      <c r="V694"/>
      <c r="W694"/>
      <c r="X694"/>
      <c r="Y694"/>
      <c r="Z694"/>
      <c r="AA694" t="s">
        <v>1097</v>
      </c>
      <c r="AB694"/>
      <c r="AC694"/>
      <c r="AD694"/>
      <c r="AE694"/>
      <c r="AF694"/>
    </row>
    <row r="695" spans="1:32" ht="22.5" x14ac:dyDescent="0.2">
      <c r="C695" s="33"/>
      <c r="S695" s="102"/>
      <c r="T695" s="625" t="s">
        <v>1092</v>
      </c>
      <c r="U695" s="625" t="s">
        <v>1093</v>
      </c>
      <c r="V695" s="625" t="s">
        <v>1094</v>
      </c>
      <c r="W695" s="625" t="s">
        <v>1095</v>
      </c>
      <c r="X695" s="625" t="s">
        <v>1096</v>
      </c>
      <c r="Y695" s="627" t="s">
        <v>269</v>
      </c>
      <c r="Z695" s="102"/>
      <c r="AA695" s="625" t="s">
        <v>1092</v>
      </c>
      <c r="AB695" s="625" t="s">
        <v>1093</v>
      </c>
      <c r="AC695" s="625" t="s">
        <v>1094</v>
      </c>
      <c r="AD695" s="625" t="s">
        <v>1095</v>
      </c>
      <c r="AE695" s="625" t="s">
        <v>1096</v>
      </c>
      <c r="AF695" s="627" t="s">
        <v>269</v>
      </c>
    </row>
    <row r="696" spans="1:32" ht="12.75" customHeight="1" x14ac:dyDescent="0.2">
      <c r="A696" s="137" t="s">
        <v>592</v>
      </c>
      <c r="B696" s="138"/>
      <c r="C696" s="485"/>
      <c r="D696" s="139"/>
      <c r="E696" s="140"/>
      <c r="F696" s="141">
        <f>SUM(F689:F694)</f>
        <v>5.1049999999999995</v>
      </c>
      <c r="G696" s="204">
        <f>SUM(G689:G694)</f>
        <v>25675</v>
      </c>
      <c r="H696" s="143"/>
      <c r="I696" s="94"/>
      <c r="J696" s="144"/>
      <c r="K696" s="145" t="s">
        <v>268</v>
      </c>
      <c r="L696" s="265">
        <f>SUM(L689:L694)</f>
        <v>0</v>
      </c>
      <c r="M696" s="265">
        <f>SUM(M689:M694)</f>
        <v>0</v>
      </c>
      <c r="N696" s="147"/>
      <c r="O696" s="145" t="s">
        <v>269</v>
      </c>
      <c r="P696" s="265">
        <f>SUM(P689:P694)</f>
        <v>0</v>
      </c>
      <c r="Q696" s="147"/>
      <c r="R696" s="147"/>
      <c r="S696" s="628" t="s">
        <v>844</v>
      </c>
      <c r="T696" s="625" t="s">
        <v>231</v>
      </c>
      <c r="U696" s="625" t="s">
        <v>231</v>
      </c>
      <c r="V696" s="625" t="s">
        <v>231</v>
      </c>
      <c r="W696" s="625" t="s">
        <v>231</v>
      </c>
      <c r="X696" s="625" t="s">
        <v>231</v>
      </c>
      <c r="Y696" s="626" t="s">
        <v>231</v>
      </c>
      <c r="Z696" s="628"/>
      <c r="AA696" s="625" t="s">
        <v>231</v>
      </c>
      <c r="AB696" s="625" t="s">
        <v>231</v>
      </c>
      <c r="AC696" s="625" t="s">
        <v>231</v>
      </c>
      <c r="AD696" s="625" t="s">
        <v>231</v>
      </c>
      <c r="AE696" s="625" t="s">
        <v>231</v>
      </c>
      <c r="AF696" s="626" t="s">
        <v>231</v>
      </c>
    </row>
    <row r="697" spans="1:32" ht="12.75" customHeight="1" x14ac:dyDescent="0.2">
      <c r="A697" s="148" t="s">
        <v>270</v>
      </c>
      <c r="B697" s="149"/>
      <c r="C697" s="486"/>
      <c r="D697" s="150"/>
      <c r="E697" s="151"/>
      <c r="F697" s="163">
        <f>SUMIFS(F689:F694,H689:H694,"melnais")</f>
        <v>4.0199999999999996</v>
      </c>
      <c r="G697" s="266">
        <f>SUMIFS(G689:G694,H689:H694,"melnais")</f>
        <v>20250</v>
      </c>
      <c r="H697" s="154"/>
      <c r="I697" s="155"/>
      <c r="J697" s="147"/>
      <c r="K697" s="136"/>
      <c r="L697" s="156"/>
      <c r="M697" s="156"/>
      <c r="N697" s="147"/>
      <c r="O697" s="147"/>
      <c r="P697" s="147"/>
      <c r="Q697" s="147"/>
      <c r="R697" s="147"/>
      <c r="S697" s="616" t="s">
        <v>847</v>
      </c>
      <c r="T697" s="614">
        <f>SUMIFS(F688:F694,C688:C694,"A",H688:H694,"melnais")</f>
        <v>0</v>
      </c>
      <c r="U697" s="614">
        <f>SUMIFS(F688:F694,C688:C694,"A",H688:H694,"dubultā virsma")</f>
        <v>0</v>
      </c>
      <c r="V697" s="614">
        <f>SUMIFS(F688:F694,C688:C694,"A",H688:H694,"bruģis")</f>
        <v>0</v>
      </c>
      <c r="W697" s="614">
        <f>SUMIFS(F688:F694,C688:C694,"A",H688:H694,"grants")</f>
        <v>0</v>
      </c>
      <c r="X697" s="614">
        <f>SUMIFS(F688:F694,C688:C694,"A",H688:H694,"cits segums")</f>
        <v>0</v>
      </c>
      <c r="Y697" s="614">
        <f>SUM(T697:X697)</f>
        <v>0</v>
      </c>
      <c r="Z697" s="616" t="s">
        <v>847</v>
      </c>
      <c r="AA697" s="614">
        <f>SUMIFS(F688:F694,C688:C694,"A",H688:H694,"melnais", Q688:Q694,"Nepiederošs")</f>
        <v>0</v>
      </c>
      <c r="AB697" s="614">
        <f>SUMIFS(F688:F694,C688:C694,"A",H688:H694,"dubultā virsma", Q688:Q694,"Nepiederošs")</f>
        <v>0</v>
      </c>
      <c r="AC697" s="614">
        <f>SUMIFS(F688:F694,C688:C694,"A",H688:H694,"bruģis", Q688:Q694,"Nepiederošs")</f>
        <v>0</v>
      </c>
      <c r="AD697" s="614">
        <f>SUMIFS(F688:F694,C688:C694,"A",H688:H694,"grants", Q688:Q694,"Nepiederošs")</f>
        <v>0</v>
      </c>
      <c r="AE697" s="614">
        <f>SUMIFS(F688:F694,C688:C694,"A",H688:H694,"cits segums", Q688:Q694,"Nepiederošs")</f>
        <v>0</v>
      </c>
      <c r="AF697" s="614">
        <f>SUM(AA697:AE697)</f>
        <v>0</v>
      </c>
    </row>
    <row r="698" spans="1:32" ht="12.75" customHeight="1" x14ac:dyDescent="0.2">
      <c r="A698" s="148" t="s">
        <v>271</v>
      </c>
      <c r="B698" s="149"/>
      <c r="C698" s="486"/>
      <c r="D698" s="150"/>
      <c r="E698" s="151"/>
      <c r="F698" s="163">
        <f>SUMIFS(F689:F694,H689:H694,"bruģis")</f>
        <v>0</v>
      </c>
      <c r="G698" s="266">
        <f>SUMIFS(G689:G694,H689:H694,"bruģis")</f>
        <v>0</v>
      </c>
      <c r="H698" s="162"/>
      <c r="I698" s="94"/>
      <c r="J698" s="159"/>
      <c r="K698" s="160"/>
      <c r="L698" s="160"/>
      <c r="M698" s="160"/>
      <c r="N698" s="161"/>
      <c r="O698" s="147"/>
      <c r="P698" s="147"/>
      <c r="Q698" s="147"/>
      <c r="R698" s="147"/>
      <c r="S698" s="617" t="s">
        <v>848</v>
      </c>
      <c r="T698" s="614">
        <f>SUMIFS(F688:F694,C688:C694,"B",H688:H694,"melnais")</f>
        <v>0</v>
      </c>
      <c r="U698" s="614">
        <f>SUMIFS(F688:F694,C688:C694,"B",H688:H694,"dubultā virsma")</f>
        <v>0</v>
      </c>
      <c r="V698" s="614">
        <f>SUMIFS(F688:F694,C688:C694,"B",H688:H694,"bruģis")</f>
        <v>0</v>
      </c>
      <c r="W698" s="614">
        <f>SUMIFS(F688:F694,C688:C694,"B",H688:H694,"grants")</f>
        <v>0</v>
      </c>
      <c r="X698" s="614">
        <f>SUMIFS(F688:F694,C688:C694,"B",H688:H694,"cits segums")</f>
        <v>0</v>
      </c>
      <c r="Y698" s="614">
        <f t="shared" ref="Y698:Y700" si="166">SUM(T698:X698)</f>
        <v>0</v>
      </c>
      <c r="Z698" s="617" t="s">
        <v>848</v>
      </c>
      <c r="AA698" s="614">
        <f>SUMIFS(F688:F694,C688:C694,"B",H688:H694,"melnais", Q688:Q694,"Nepiederošs")</f>
        <v>0</v>
      </c>
      <c r="AB698" s="614">
        <f>SUMIFS(F688:F694,C688:C694,"B",H688:H694,"dubultā virsma", Q688:Q694,"Nepiederošs")</f>
        <v>0</v>
      </c>
      <c r="AC698" s="614">
        <f>SUMIFS(F688:F694,C688:C694,"B",H688:H694,"bruģis", Q688:Q694,"Nepiederošs")</f>
        <v>0</v>
      </c>
      <c r="AD698" s="614">
        <f>SUMIFS(F688:F694,C688:C694,"B",H688:H694,"grants", Q688:Q694,"Nepiederošs")</f>
        <v>0</v>
      </c>
      <c r="AE698" s="614">
        <f>SUMIFS(F688:F694,C688:C694,"B",H688:H694,"cits segums", Q688:Q694,"Nepiederošs")</f>
        <v>0</v>
      </c>
      <c r="AF698" s="614">
        <f t="shared" ref="AF698:AF700" si="167">SUM(AA698:AE698)</f>
        <v>0</v>
      </c>
    </row>
    <row r="699" spans="1:32" ht="12.75" customHeight="1" x14ac:dyDescent="0.2">
      <c r="A699" s="148" t="s">
        <v>272</v>
      </c>
      <c r="B699" s="149"/>
      <c r="C699" s="486"/>
      <c r="D699" s="150"/>
      <c r="E699" s="151"/>
      <c r="F699" s="163">
        <f>SUMIFS(F689:F694,H689:H694,"grants")</f>
        <v>1.085</v>
      </c>
      <c r="G699" s="266">
        <f>SUMIFS(G689:G694,H689:H694,"grants")</f>
        <v>5425</v>
      </c>
      <c r="H699" s="162"/>
      <c r="I699" s="162"/>
      <c r="J699" s="159"/>
      <c r="K699" s="160"/>
      <c r="L699" s="160"/>
      <c r="M699" s="160"/>
      <c r="N699" s="161"/>
      <c r="O699" s="147"/>
      <c r="P699" s="147"/>
      <c r="Q699" s="147"/>
      <c r="R699" s="147"/>
      <c r="S699" s="615" t="s">
        <v>845</v>
      </c>
      <c r="T699" s="614">
        <f>SUMIFS(F688:F694,C688:C694,"C",H688:H694,"melnais")</f>
        <v>0</v>
      </c>
      <c r="U699" s="614">
        <f>SUMIFS(F688:F694,C688:C694,"C",H688:H694,"dubultā virsma")</f>
        <v>0</v>
      </c>
      <c r="V699" s="614">
        <f>SUMIFS(F688:F694,C688:C694,"C",H688:H694,"bruģis")</f>
        <v>0</v>
      </c>
      <c r="W699" s="614">
        <f>SUMIFS(F688:F694,C688:C694,"C",H688:H694,"grants")</f>
        <v>0</v>
      </c>
      <c r="X699" s="614">
        <f>SUMIFS(F688:F694,C688:C694,"C",H688:H694,"cits segums")</f>
        <v>0</v>
      </c>
      <c r="Y699" s="614">
        <f t="shared" si="166"/>
        <v>0</v>
      </c>
      <c r="Z699" s="615" t="s">
        <v>845</v>
      </c>
      <c r="AA699" s="614">
        <f>SUMIFS(F688:F694,C688:C694,"C",H688:H694,"melnais", Q688:Q694,"Nepiederošs")</f>
        <v>0</v>
      </c>
      <c r="AB699" s="614">
        <f>SUMIFS(F688:F694,C688:C694,"C",H688:H694,"dubultā virsma", Q688:Q694,"Nepiederošs")</f>
        <v>0</v>
      </c>
      <c r="AC699" s="614">
        <f>SUMIFS(F688:F694,C688:C694,"C",H688:H694,"bruģis", Q688:Q694,"Nepiederošs")</f>
        <v>0</v>
      </c>
      <c r="AD699" s="614">
        <f>SUMIFS(F688:F694,C688:C694,"C",H688:H694,"grants", Q688:Q694,"Nepiederošs")</f>
        <v>0</v>
      </c>
      <c r="AE699" s="614">
        <f>SUMIFS(F688:F694,C688:C694,"C",H688:H694,"cits segums", Q688:Q694,"Nepiederošs")</f>
        <v>0</v>
      </c>
      <c r="AF699" s="614">
        <f t="shared" si="167"/>
        <v>0</v>
      </c>
    </row>
    <row r="700" spans="1:32" ht="12.75" customHeight="1" x14ac:dyDescent="0.2">
      <c r="A700" s="148" t="s">
        <v>401</v>
      </c>
      <c r="B700" s="149"/>
      <c r="C700" s="486"/>
      <c r="D700" s="150"/>
      <c r="E700" s="151"/>
      <c r="F700" s="163">
        <f>SUMIFS(F689:F694,H689:H694,"cits segums")</f>
        <v>0</v>
      </c>
      <c r="G700" s="266">
        <f>SUMIFS(G689:G694,H689:H694,"cits segums")</f>
        <v>0</v>
      </c>
      <c r="H700" s="165"/>
      <c r="I700" s="162"/>
      <c r="J700" s="166"/>
      <c r="K700" s="160"/>
      <c r="L700" s="160"/>
      <c r="M700" s="160"/>
      <c r="N700" s="161"/>
      <c r="O700" s="147"/>
      <c r="P700" s="147"/>
      <c r="Q700" s="147"/>
      <c r="R700" s="147"/>
      <c r="S700" s="616" t="s">
        <v>846</v>
      </c>
      <c r="T700" s="614">
        <f>SUMIFS(F688:F694,C688:C694,"D",H688:H694,"melnais")</f>
        <v>4.0199999999999996</v>
      </c>
      <c r="U700" s="614">
        <f>SUMIFS(F688:F694,C688:C694,"D",H688:H694,"dubultā virsma")</f>
        <v>0</v>
      </c>
      <c r="V700" s="614">
        <f>SUMIFS(F688:F694,C688:C694,"D",H688:H694,"bruģis")</f>
        <v>0</v>
      </c>
      <c r="W700" s="614">
        <f>SUMIFS(F688:F694,C688:C694,"D",H688:H694,"grants")</f>
        <v>1.085</v>
      </c>
      <c r="X700" s="614">
        <f>SUMIFS(F688:F694,C688:C694,"D",H688:H694,"cits segums")</f>
        <v>0</v>
      </c>
      <c r="Y700" s="614">
        <f t="shared" si="166"/>
        <v>5.1049999999999995</v>
      </c>
      <c r="Z700" s="616" t="s">
        <v>846</v>
      </c>
      <c r="AA700" s="614">
        <f>SUMIFS(F688:F694,C688:C694,"D",H688:H694,"melnais", Q688:Q694,"Nepiederošs")</f>
        <v>0</v>
      </c>
      <c r="AB700" s="614">
        <f>SUMIFS(F688:F694,C688:C694,"D",H688:H694,"dubultā virsma", Q688:Q694,"Nepiederošs")</f>
        <v>0</v>
      </c>
      <c r="AC700" s="614">
        <f>SUMIFS(F688:F694,C688:C694,"D",H688:H694,"bruģis", Q688:Q694,"Nepiederošs")</f>
        <v>0</v>
      </c>
      <c r="AD700" s="614">
        <f>SUMIFS(F688:F694,C688:C694,"D",H688:H694,"grants", Q688:Q694,"Nepiederošs")</f>
        <v>0</v>
      </c>
      <c r="AE700" s="614">
        <f>SUMIFS(F688:F694,C688:C694,"D",H688:H694,"cits segums", Q688:Q694,"Nepiederošs")</f>
        <v>0</v>
      </c>
      <c r="AF700" s="614">
        <f t="shared" si="167"/>
        <v>0</v>
      </c>
    </row>
    <row r="701" spans="1:32" ht="15" x14ac:dyDescent="0.25">
      <c r="C701" s="33"/>
      <c r="S701" s="637"/>
      <c r="T701" s="629">
        <f>SUM(T697:T700)</f>
        <v>4.0199999999999996</v>
      </c>
      <c r="U701" s="629">
        <f t="shared" ref="U701" si="168">SUM(U697:U700)</f>
        <v>0</v>
      </c>
      <c r="V701" s="629">
        <f t="shared" ref="V701" si="169">SUM(V697:V700)</f>
        <v>0</v>
      </c>
      <c r="W701" s="629">
        <f t="shared" ref="W701" si="170">SUM(W697:W700)</f>
        <v>1.085</v>
      </c>
      <c r="X701" s="629">
        <f t="shared" ref="X701" si="171">SUM(X697:X700)</f>
        <v>0</v>
      </c>
      <c r="Y701" s="629">
        <f t="shared" ref="Y701" si="172">SUM(Y697:Y700)</f>
        <v>5.1049999999999995</v>
      </c>
      <c r="Z701"/>
      <c r="AA701" s="629">
        <f>SUM(AA697:AA700)</f>
        <v>0</v>
      </c>
      <c r="AB701" s="629">
        <f t="shared" ref="AB701" si="173">SUM(AB697:AB700)</f>
        <v>0</v>
      </c>
      <c r="AC701" s="629">
        <f>SUM(AC697:AC700)</f>
        <v>0</v>
      </c>
      <c r="AD701" s="629">
        <f t="shared" ref="AD701" si="174">SUM(AD697:AD700)</f>
        <v>0</v>
      </c>
      <c r="AE701" s="629">
        <f t="shared" ref="AE701" si="175">SUM(AE697:AE700)</f>
        <v>0</v>
      </c>
      <c r="AF701" s="629">
        <f t="shared" ref="AF701" si="176">SUM(AF697:AF700)</f>
        <v>0</v>
      </c>
    </row>
    <row r="702" spans="1:32" s="38" customFormat="1" ht="15" customHeight="1" x14ac:dyDescent="0.25">
      <c r="A702" s="33"/>
      <c r="C702" s="487"/>
      <c r="D702" s="813" t="s">
        <v>1077</v>
      </c>
      <c r="E702" s="813"/>
      <c r="F702" s="813"/>
      <c r="G702" s="813"/>
      <c r="H702" s="813"/>
      <c r="I702" s="813"/>
      <c r="J702" s="813"/>
      <c r="K702" s="813"/>
      <c r="L702" s="813"/>
      <c r="M702" s="813"/>
      <c r="N702" s="813"/>
      <c r="O702" s="813"/>
      <c r="P702" s="813"/>
      <c r="Q702" s="30"/>
      <c r="R702" s="37"/>
    </row>
    <row r="703" spans="1:32" ht="12.75" customHeight="1" x14ac:dyDescent="0.2">
      <c r="A703" s="818" t="s">
        <v>244</v>
      </c>
      <c r="B703" s="825" t="s">
        <v>388</v>
      </c>
      <c r="C703" s="482"/>
      <c r="D703" s="826" t="s">
        <v>246</v>
      </c>
      <c r="E703" s="827"/>
      <c r="F703" s="827"/>
      <c r="G703" s="827"/>
      <c r="H703" s="827"/>
      <c r="I703" s="827"/>
      <c r="J703" s="827"/>
      <c r="K703" s="827"/>
      <c r="L703" s="827"/>
      <c r="M703" s="827"/>
      <c r="N703" s="827"/>
      <c r="O703" s="827"/>
      <c r="P703" s="828"/>
      <c r="Q703" s="821" t="s">
        <v>247</v>
      </c>
      <c r="R703" s="822"/>
    </row>
    <row r="704" spans="1:32" ht="12.75" customHeight="1" x14ac:dyDescent="0.2">
      <c r="A704" s="818"/>
      <c r="B704" s="825"/>
      <c r="C704" s="410"/>
      <c r="D704" s="816" t="s">
        <v>389</v>
      </c>
      <c r="E704" s="816"/>
      <c r="F704" s="816"/>
      <c r="G704" s="816"/>
      <c r="H704" s="816"/>
      <c r="I704" s="814" t="s">
        <v>249</v>
      </c>
      <c r="J704" s="814"/>
      <c r="K704" s="814"/>
      <c r="L704" s="814"/>
      <c r="M704" s="814"/>
      <c r="N704" s="814"/>
      <c r="O704" s="814"/>
      <c r="P704" s="815" t="s">
        <v>250</v>
      </c>
      <c r="Q704" s="823"/>
      <c r="R704" s="824"/>
    </row>
    <row r="705" spans="1:18" ht="15.2" customHeight="1" x14ac:dyDescent="0.2">
      <c r="A705" s="818"/>
      <c r="B705" s="825"/>
      <c r="C705" s="410"/>
      <c r="D705" s="816" t="s">
        <v>251</v>
      </c>
      <c r="E705" s="816"/>
      <c r="F705" s="817" t="s">
        <v>252</v>
      </c>
      <c r="G705" s="817" t="s">
        <v>257</v>
      </c>
      <c r="H705" s="818" t="s">
        <v>253</v>
      </c>
      <c r="I705" s="819" t="s">
        <v>254</v>
      </c>
      <c r="J705" s="814" t="s">
        <v>255</v>
      </c>
      <c r="K705" s="814"/>
      <c r="L705" s="820" t="s">
        <v>256</v>
      </c>
      <c r="M705" s="820" t="s">
        <v>257</v>
      </c>
      <c r="N705" s="820" t="s">
        <v>258</v>
      </c>
      <c r="O705" s="820" t="s">
        <v>259</v>
      </c>
      <c r="P705" s="809"/>
      <c r="Q705" s="809" t="s">
        <v>260</v>
      </c>
      <c r="R705" s="811" t="s">
        <v>261</v>
      </c>
    </row>
    <row r="706" spans="1:18" ht="33.75" customHeight="1" x14ac:dyDescent="0.2">
      <c r="A706" s="818"/>
      <c r="B706" s="825"/>
      <c r="C706" s="432" t="s">
        <v>844</v>
      </c>
      <c r="D706" s="95" t="s">
        <v>262</v>
      </c>
      <c r="E706" s="95" t="s">
        <v>263</v>
      </c>
      <c r="F706" s="817"/>
      <c r="G706" s="817"/>
      <c r="H706" s="818"/>
      <c r="I706" s="819"/>
      <c r="J706" s="96" t="s">
        <v>231</v>
      </c>
      <c r="K706" s="96" t="s">
        <v>264</v>
      </c>
      <c r="L706" s="820"/>
      <c r="M706" s="820"/>
      <c r="N706" s="820"/>
      <c r="O706" s="820"/>
      <c r="P706" s="810"/>
      <c r="Q706" s="810"/>
      <c r="R706" s="812"/>
    </row>
    <row r="707" spans="1:18" s="99" customFormat="1" ht="12" customHeight="1" x14ac:dyDescent="0.25">
      <c r="A707" s="200">
        <v>1</v>
      </c>
      <c r="B707" s="200">
        <v>2</v>
      </c>
      <c r="C707" s="200"/>
      <c r="D707" s="200">
        <v>3</v>
      </c>
      <c r="E707" s="200">
        <v>4</v>
      </c>
      <c r="F707" s="200">
        <v>5</v>
      </c>
      <c r="G707" s="200">
        <v>6</v>
      </c>
      <c r="H707" s="200">
        <v>7</v>
      </c>
      <c r="I707" s="201">
        <v>8</v>
      </c>
      <c r="J707" s="201">
        <v>9</v>
      </c>
      <c r="K707" s="201">
        <v>10</v>
      </c>
      <c r="L707" s="201">
        <v>11</v>
      </c>
      <c r="M707" s="201">
        <v>12</v>
      </c>
      <c r="N707" s="201">
        <v>13</v>
      </c>
      <c r="O707" s="201">
        <v>14</v>
      </c>
      <c r="P707" s="201">
        <v>15</v>
      </c>
      <c r="Q707" s="201">
        <v>16</v>
      </c>
      <c r="R707" s="200">
        <v>17</v>
      </c>
    </row>
    <row r="708" spans="1:18" x14ac:dyDescent="0.2">
      <c r="A708" s="501">
        <v>1</v>
      </c>
      <c r="B708" s="297" t="s">
        <v>139</v>
      </c>
      <c r="C708" s="175" t="s">
        <v>846</v>
      </c>
      <c r="D708" s="259">
        <v>0</v>
      </c>
      <c r="E708" s="259">
        <v>0.83</v>
      </c>
      <c r="F708" s="269">
        <v>0.83</v>
      </c>
      <c r="G708" s="257">
        <v>3320</v>
      </c>
      <c r="H708" s="177" t="s">
        <v>0</v>
      </c>
      <c r="I708" s="254"/>
      <c r="J708" s="255"/>
      <c r="K708" s="255"/>
      <c r="L708" s="255"/>
      <c r="M708" s="255"/>
      <c r="N708" s="255"/>
      <c r="O708" s="255"/>
      <c r="P708" s="255"/>
      <c r="Q708" s="306">
        <v>80640070935</v>
      </c>
      <c r="R708" s="307">
        <v>80640070887</v>
      </c>
    </row>
    <row r="709" spans="1:18" x14ac:dyDescent="0.2">
      <c r="A709" s="501">
        <v>2</v>
      </c>
      <c r="B709" s="298" t="s">
        <v>1246</v>
      </c>
      <c r="C709" s="175" t="s">
        <v>846</v>
      </c>
      <c r="D709" s="296">
        <v>0</v>
      </c>
      <c r="E709" s="259">
        <v>8.2000000000000003E-2</v>
      </c>
      <c r="F709" s="269">
        <v>8.2000000000000003E-2</v>
      </c>
      <c r="G709" s="257">
        <v>180</v>
      </c>
      <c r="H709" s="177" t="s">
        <v>0</v>
      </c>
      <c r="I709" s="254"/>
      <c r="J709" s="255"/>
      <c r="K709" s="255"/>
      <c r="L709" s="255"/>
      <c r="M709" s="255"/>
      <c r="N709" s="255"/>
      <c r="O709" s="255"/>
      <c r="P709" s="255"/>
      <c r="Q709" s="306">
        <v>80640070893</v>
      </c>
      <c r="R709" s="306">
        <v>80640070893</v>
      </c>
    </row>
    <row r="710" spans="1:18" x14ac:dyDescent="0.2">
      <c r="A710" s="502"/>
      <c r="B710" s="299"/>
      <c r="C710" s="175" t="s">
        <v>846</v>
      </c>
      <c r="D710" s="296">
        <v>0</v>
      </c>
      <c r="E710" s="259">
        <v>8.1000000000000003E-2</v>
      </c>
      <c r="F710" s="269">
        <v>8.1000000000000003E-2</v>
      </c>
      <c r="G710" s="257">
        <v>178</v>
      </c>
      <c r="H710" s="177" t="s">
        <v>0</v>
      </c>
      <c r="I710" s="254"/>
      <c r="J710" s="255"/>
      <c r="K710" s="255"/>
      <c r="L710" s="255"/>
      <c r="M710" s="255"/>
      <c r="N710" s="255"/>
      <c r="O710" s="255"/>
      <c r="P710" s="255"/>
      <c r="Q710" s="306">
        <v>80640070894</v>
      </c>
      <c r="R710" s="306">
        <v>80640070894</v>
      </c>
    </row>
    <row r="711" spans="1:18" x14ac:dyDescent="0.2">
      <c r="A711" s="502">
        <v>3</v>
      </c>
      <c r="B711" s="202" t="s">
        <v>593</v>
      </c>
      <c r="C711" s="175" t="s">
        <v>846</v>
      </c>
      <c r="D711" s="259">
        <v>0</v>
      </c>
      <c r="E711" s="259">
        <v>0.31</v>
      </c>
      <c r="F711" s="269">
        <v>0.31</v>
      </c>
      <c r="G711" s="257">
        <v>1550</v>
      </c>
      <c r="H711" s="177" t="s">
        <v>0</v>
      </c>
      <c r="I711" s="254"/>
      <c r="J711" s="255"/>
      <c r="K711" s="255"/>
      <c r="L711" s="255"/>
      <c r="M711" s="255"/>
      <c r="N711" s="255"/>
      <c r="O711" s="255"/>
      <c r="P711" s="255"/>
      <c r="Q711" s="306">
        <v>80640070953</v>
      </c>
      <c r="R711" s="307">
        <v>80640070930</v>
      </c>
    </row>
    <row r="712" spans="1:18" x14ac:dyDescent="0.2">
      <c r="A712" s="501">
        <v>4</v>
      </c>
      <c r="B712" s="297" t="s">
        <v>1247</v>
      </c>
      <c r="C712" s="175" t="s">
        <v>846</v>
      </c>
      <c r="D712" s="259">
        <v>0</v>
      </c>
      <c r="E712" s="259">
        <v>0.40799999999999997</v>
      </c>
      <c r="F712" s="269">
        <v>0.40799999999999997</v>
      </c>
      <c r="G712" s="257">
        <v>1428</v>
      </c>
      <c r="H712" s="177" t="s">
        <v>0</v>
      </c>
      <c r="I712" s="254"/>
      <c r="J712" s="255"/>
      <c r="K712" s="255"/>
      <c r="L712" s="255"/>
      <c r="M712" s="255"/>
      <c r="N712" s="255"/>
      <c r="O712" s="255"/>
      <c r="P712" s="255"/>
      <c r="Q712" s="306">
        <v>80640070885</v>
      </c>
      <c r="R712" s="306">
        <v>80640070885</v>
      </c>
    </row>
    <row r="713" spans="1:18" x14ac:dyDescent="0.2">
      <c r="A713" s="501">
        <v>5</v>
      </c>
      <c r="B713" s="298" t="s">
        <v>1248</v>
      </c>
      <c r="C713" s="175" t="s">
        <v>846</v>
      </c>
      <c r="D713" s="296">
        <v>0</v>
      </c>
      <c r="E713" s="259">
        <v>0.151</v>
      </c>
      <c r="F713" s="269">
        <v>0.151</v>
      </c>
      <c r="G713" s="257">
        <v>378</v>
      </c>
      <c r="H713" s="177" t="s">
        <v>0</v>
      </c>
      <c r="I713" s="254"/>
      <c r="J713" s="255"/>
      <c r="K713" s="255"/>
      <c r="L713" s="255"/>
      <c r="M713" s="255"/>
      <c r="N713" s="255"/>
      <c r="O713" s="255"/>
      <c r="P713" s="255"/>
      <c r="Q713" s="306">
        <v>80640070895</v>
      </c>
      <c r="R713" s="306">
        <v>80640070895</v>
      </c>
    </row>
    <row r="714" spans="1:18" x14ac:dyDescent="0.2">
      <c r="A714" s="171"/>
      <c r="B714" s="299"/>
      <c r="C714" s="175" t="s">
        <v>846</v>
      </c>
      <c r="D714" s="296">
        <v>0</v>
      </c>
      <c r="E714" s="259">
        <v>7.9000000000000001E-2</v>
      </c>
      <c r="F714" s="269">
        <v>7.9000000000000001E-2</v>
      </c>
      <c r="G714" s="257">
        <f>79*3</f>
        <v>237</v>
      </c>
      <c r="H714" s="177" t="s">
        <v>0</v>
      </c>
      <c r="I714" s="254"/>
      <c r="J714" s="255"/>
      <c r="K714" s="255"/>
      <c r="L714" s="255"/>
      <c r="M714" s="255"/>
      <c r="N714" s="255"/>
      <c r="O714" s="255"/>
      <c r="P714" s="255"/>
      <c r="Q714" s="770">
        <v>80640070896</v>
      </c>
      <c r="R714" s="770">
        <v>80640070896</v>
      </c>
    </row>
    <row r="715" spans="1:18" x14ac:dyDescent="0.2">
      <c r="A715" s="501">
        <v>6</v>
      </c>
      <c r="B715" s="303" t="s">
        <v>1249</v>
      </c>
      <c r="C715" s="175" t="s">
        <v>846</v>
      </c>
      <c r="D715" s="296">
        <v>0</v>
      </c>
      <c r="E715" s="259">
        <v>0.16500000000000001</v>
      </c>
      <c r="F715" s="269">
        <v>0.16500000000000001</v>
      </c>
      <c r="G715" s="257">
        <f>165*2.2</f>
        <v>363.00000000000006</v>
      </c>
      <c r="H715" s="177" t="s">
        <v>0</v>
      </c>
      <c r="I715" s="254"/>
      <c r="J715" s="255"/>
      <c r="K715" s="255"/>
      <c r="L715" s="255"/>
      <c r="M715" s="255"/>
      <c r="N715" s="255"/>
      <c r="O715" s="255"/>
      <c r="P715" s="255"/>
      <c r="Q715" s="306">
        <v>80640070897</v>
      </c>
      <c r="R715" s="306">
        <v>80640070897</v>
      </c>
    </row>
    <row r="716" spans="1:18" x14ac:dyDescent="0.2">
      <c r="A716" s="171"/>
      <c r="B716" s="299"/>
      <c r="C716" s="175" t="s">
        <v>846</v>
      </c>
      <c r="D716" s="296">
        <v>0</v>
      </c>
      <c r="E716" s="259">
        <f>D716+F716</f>
        <v>8.3000000000000004E-2</v>
      </c>
      <c r="F716" s="269">
        <v>8.3000000000000004E-2</v>
      </c>
      <c r="G716" s="257">
        <f>83*2</f>
        <v>166</v>
      </c>
      <c r="H716" s="177" t="s">
        <v>0</v>
      </c>
      <c r="I716" s="254"/>
      <c r="J716" s="255"/>
      <c r="K716" s="255"/>
      <c r="L716" s="255"/>
      <c r="M716" s="255"/>
      <c r="N716" s="255"/>
      <c r="O716" s="255"/>
      <c r="P716" s="255"/>
      <c r="Q716" s="306">
        <v>80640070898</v>
      </c>
      <c r="R716" s="306">
        <v>80640070898</v>
      </c>
    </row>
    <row r="717" spans="1:18" x14ac:dyDescent="0.2">
      <c r="A717" s="501">
        <v>7</v>
      </c>
      <c r="B717" s="303" t="s">
        <v>1250</v>
      </c>
      <c r="C717" s="175" t="s">
        <v>846</v>
      </c>
      <c r="D717" s="296">
        <v>0</v>
      </c>
      <c r="E717" s="259">
        <v>0.182</v>
      </c>
      <c r="F717" s="269">
        <v>0.182</v>
      </c>
      <c r="G717" s="257">
        <f>182*2.5</f>
        <v>455</v>
      </c>
      <c r="H717" s="177" t="s">
        <v>0</v>
      </c>
      <c r="I717" s="254"/>
      <c r="J717" s="255"/>
      <c r="K717" s="255"/>
      <c r="L717" s="255"/>
      <c r="M717" s="255"/>
      <c r="N717" s="255"/>
      <c r="O717" s="255"/>
      <c r="P717" s="255"/>
      <c r="Q717" s="306">
        <v>80640070899</v>
      </c>
      <c r="R717" s="306">
        <v>80640070899</v>
      </c>
    </row>
    <row r="718" spans="1:18" x14ac:dyDescent="0.2">
      <c r="A718" s="171"/>
      <c r="B718" s="299"/>
      <c r="C718" s="175" t="s">
        <v>846</v>
      </c>
      <c r="D718" s="296">
        <v>0</v>
      </c>
      <c r="E718" s="259">
        <f>D718+F718</f>
        <v>8.5000000000000006E-2</v>
      </c>
      <c r="F718" s="269">
        <v>8.5000000000000006E-2</v>
      </c>
      <c r="G718" s="257">
        <f>85*2</f>
        <v>170</v>
      </c>
      <c r="H718" s="177" t="s">
        <v>0</v>
      </c>
      <c r="I718" s="254"/>
      <c r="J718" s="255"/>
      <c r="K718" s="255"/>
      <c r="L718" s="255"/>
      <c r="M718" s="255"/>
      <c r="N718" s="255"/>
      <c r="O718" s="255"/>
      <c r="P718" s="255"/>
      <c r="Q718" s="306">
        <v>80640070900</v>
      </c>
      <c r="R718" s="306">
        <v>80640070900</v>
      </c>
    </row>
    <row r="719" spans="1:18" x14ac:dyDescent="0.2">
      <c r="A719" s="501">
        <v>8</v>
      </c>
      <c r="B719" s="303" t="s">
        <v>1251</v>
      </c>
      <c r="C719" s="175" t="s">
        <v>846</v>
      </c>
      <c r="D719" s="296">
        <v>0</v>
      </c>
      <c r="E719" s="259">
        <v>0.182</v>
      </c>
      <c r="F719" s="269">
        <v>0.182</v>
      </c>
      <c r="G719" s="257">
        <f>182*2.5</f>
        <v>455</v>
      </c>
      <c r="H719" s="177" t="s">
        <v>0</v>
      </c>
      <c r="I719" s="254"/>
      <c r="J719" s="255"/>
      <c r="K719" s="255"/>
      <c r="L719" s="255"/>
      <c r="M719" s="255"/>
      <c r="N719" s="255"/>
      <c r="O719" s="255"/>
      <c r="P719" s="255"/>
      <c r="Q719" s="306">
        <v>80640070901</v>
      </c>
      <c r="R719" s="306">
        <v>80640070901</v>
      </c>
    </row>
    <row r="720" spans="1:18" x14ac:dyDescent="0.2">
      <c r="A720" s="171"/>
      <c r="B720" s="299"/>
      <c r="C720" s="175" t="s">
        <v>846</v>
      </c>
      <c r="D720" s="296">
        <v>0</v>
      </c>
      <c r="E720" s="259">
        <f>D720+F720</f>
        <v>8.5000000000000006E-2</v>
      </c>
      <c r="F720" s="269">
        <v>8.5000000000000006E-2</v>
      </c>
      <c r="G720" s="257">
        <v>213</v>
      </c>
      <c r="H720" s="177" t="s">
        <v>0</v>
      </c>
      <c r="I720" s="254"/>
      <c r="J720" s="255"/>
      <c r="K720" s="255"/>
      <c r="L720" s="255"/>
      <c r="M720" s="255"/>
      <c r="N720" s="255"/>
      <c r="O720" s="255"/>
      <c r="P720" s="255"/>
      <c r="Q720" s="306">
        <v>80640070902</v>
      </c>
      <c r="R720" s="306">
        <v>80640070902</v>
      </c>
    </row>
    <row r="721" spans="1:18" x14ac:dyDescent="0.2">
      <c r="A721" s="501">
        <v>9</v>
      </c>
      <c r="B721" s="303" t="s">
        <v>1252</v>
      </c>
      <c r="C721" s="175" t="s">
        <v>846</v>
      </c>
      <c r="D721" s="296">
        <v>0</v>
      </c>
      <c r="E721" s="259">
        <v>0.14399999999999999</v>
      </c>
      <c r="F721" s="269">
        <v>0.14399999999999999</v>
      </c>
      <c r="G721" s="257">
        <f>2.5*144</f>
        <v>360</v>
      </c>
      <c r="H721" s="177" t="s">
        <v>0</v>
      </c>
      <c r="I721" s="254"/>
      <c r="J721" s="255"/>
      <c r="K721" s="255"/>
      <c r="L721" s="255"/>
      <c r="M721" s="255"/>
      <c r="N721" s="255"/>
      <c r="O721" s="255"/>
      <c r="P721" s="255"/>
      <c r="Q721" s="306">
        <v>80640070903</v>
      </c>
      <c r="R721" s="306">
        <v>80640070903</v>
      </c>
    </row>
    <row r="722" spans="1:18" x14ac:dyDescent="0.2">
      <c r="A722" s="171"/>
      <c r="B722" s="299"/>
      <c r="C722" s="175" t="s">
        <v>846</v>
      </c>
      <c r="D722" s="296">
        <v>0</v>
      </c>
      <c r="E722" s="259">
        <f>D722+F722</f>
        <v>8.2000000000000003E-2</v>
      </c>
      <c r="F722" s="269">
        <v>8.2000000000000003E-2</v>
      </c>
      <c r="G722" s="257">
        <f>82*2.5</f>
        <v>205</v>
      </c>
      <c r="H722" s="177" t="s">
        <v>0</v>
      </c>
      <c r="I722" s="254"/>
      <c r="J722" s="255"/>
      <c r="K722" s="255"/>
      <c r="L722" s="255"/>
      <c r="M722" s="255"/>
      <c r="N722" s="255"/>
      <c r="O722" s="255"/>
      <c r="P722" s="255"/>
      <c r="Q722" s="306">
        <v>80640070904</v>
      </c>
      <c r="R722" s="306">
        <v>80640070904</v>
      </c>
    </row>
    <row r="723" spans="1:18" x14ac:dyDescent="0.2">
      <c r="A723" s="501">
        <v>10</v>
      </c>
      <c r="B723" s="303" t="s">
        <v>1253</v>
      </c>
      <c r="C723" s="175" t="s">
        <v>846</v>
      </c>
      <c r="D723" s="296">
        <v>0</v>
      </c>
      <c r="E723" s="259">
        <v>0.104</v>
      </c>
      <c r="F723" s="269">
        <v>0.104</v>
      </c>
      <c r="G723" s="257">
        <f>104*2.5</f>
        <v>260</v>
      </c>
      <c r="H723" s="177" t="s">
        <v>0</v>
      </c>
      <c r="I723" s="254"/>
      <c r="J723" s="255"/>
      <c r="K723" s="255"/>
      <c r="L723" s="255"/>
      <c r="M723" s="255"/>
      <c r="N723" s="255"/>
      <c r="O723" s="255"/>
      <c r="P723" s="255"/>
      <c r="Q723" s="306">
        <v>80640070905</v>
      </c>
      <c r="R723" s="306">
        <v>80640070905</v>
      </c>
    </row>
    <row r="724" spans="1:18" x14ac:dyDescent="0.2">
      <c r="A724" s="171"/>
      <c r="B724" s="299"/>
      <c r="C724" s="175" t="s">
        <v>846</v>
      </c>
      <c r="D724" s="296">
        <v>0</v>
      </c>
      <c r="E724" s="259">
        <f>D724+0.085</f>
        <v>8.5000000000000006E-2</v>
      </c>
      <c r="F724" s="269">
        <v>8.5000000000000006E-2</v>
      </c>
      <c r="G724" s="257">
        <v>213</v>
      </c>
      <c r="H724" s="177" t="s">
        <v>0</v>
      </c>
      <c r="I724" s="254"/>
      <c r="J724" s="255"/>
      <c r="K724" s="255"/>
      <c r="L724" s="255"/>
      <c r="M724" s="255"/>
      <c r="N724" s="255"/>
      <c r="O724" s="255"/>
      <c r="P724" s="255"/>
      <c r="Q724" s="306">
        <v>80640070906</v>
      </c>
      <c r="R724" s="306">
        <v>80640070906</v>
      </c>
    </row>
    <row r="725" spans="1:18" x14ac:dyDescent="0.2">
      <c r="A725" s="501">
        <v>11</v>
      </c>
      <c r="B725" s="298" t="s">
        <v>1254</v>
      </c>
      <c r="C725" s="175" t="s">
        <v>846</v>
      </c>
      <c r="D725" s="296">
        <v>0</v>
      </c>
      <c r="E725" s="259">
        <v>6.7000000000000004E-2</v>
      </c>
      <c r="F725" s="269">
        <v>6.7000000000000004E-2</v>
      </c>
      <c r="G725" s="257">
        <v>168</v>
      </c>
      <c r="H725" s="177" t="s">
        <v>0</v>
      </c>
      <c r="I725" s="254"/>
      <c r="J725" s="255"/>
      <c r="K725" s="255"/>
      <c r="L725" s="255"/>
      <c r="M725" s="255"/>
      <c r="N725" s="255"/>
      <c r="O725" s="255"/>
      <c r="P725" s="255"/>
      <c r="Q725" s="306">
        <v>80640070907</v>
      </c>
      <c r="R725" s="306">
        <v>80640070907</v>
      </c>
    </row>
    <row r="726" spans="1:18" x14ac:dyDescent="0.2">
      <c r="A726" s="502"/>
      <c r="B726" s="299"/>
      <c r="C726" s="175" t="s">
        <v>846</v>
      </c>
      <c r="D726" s="296">
        <v>0</v>
      </c>
      <c r="E726" s="259">
        <v>0.154</v>
      </c>
      <c r="F726" s="269">
        <f>E726-D726</f>
        <v>0.154</v>
      </c>
      <c r="G726" s="257">
        <v>218</v>
      </c>
      <c r="H726" s="177" t="s">
        <v>0</v>
      </c>
      <c r="I726" s="254"/>
      <c r="J726" s="255"/>
      <c r="K726" s="255"/>
      <c r="L726" s="255"/>
      <c r="M726" s="255"/>
      <c r="N726" s="255"/>
      <c r="O726" s="255"/>
      <c r="P726" s="255"/>
      <c r="Q726" s="306">
        <v>80640070908</v>
      </c>
      <c r="R726" s="306">
        <v>80640070908</v>
      </c>
    </row>
    <row r="727" spans="1:18" x14ac:dyDescent="0.2">
      <c r="A727" s="502">
        <v>12</v>
      </c>
      <c r="B727" s="177" t="s">
        <v>594</v>
      </c>
      <c r="C727" s="175" t="s">
        <v>846</v>
      </c>
      <c r="D727" s="259">
        <v>0</v>
      </c>
      <c r="E727" s="259">
        <v>0.8</v>
      </c>
      <c r="F727" s="269">
        <v>0.8</v>
      </c>
      <c r="G727" s="257">
        <v>3200</v>
      </c>
      <c r="H727" s="177" t="s">
        <v>0</v>
      </c>
      <c r="I727" s="254"/>
      <c r="J727" s="255"/>
      <c r="K727" s="255"/>
      <c r="L727" s="255"/>
      <c r="M727" s="255"/>
      <c r="N727" s="255"/>
      <c r="O727" s="255"/>
      <c r="P727" s="255"/>
      <c r="Q727" s="306">
        <v>80640070934</v>
      </c>
      <c r="R727" s="307">
        <v>80640070886</v>
      </c>
    </row>
    <row r="728" spans="1:18" x14ac:dyDescent="0.2">
      <c r="A728" s="501">
        <v>13</v>
      </c>
      <c r="B728" s="297" t="s">
        <v>595</v>
      </c>
      <c r="C728" s="175" t="s">
        <v>846</v>
      </c>
      <c r="D728" s="259">
        <v>0</v>
      </c>
      <c r="E728" s="259">
        <v>1.5</v>
      </c>
      <c r="F728" s="269">
        <v>1.5</v>
      </c>
      <c r="G728" s="257">
        <v>6000</v>
      </c>
      <c r="H728" s="177" t="s">
        <v>0</v>
      </c>
      <c r="I728" s="254"/>
      <c r="J728" s="255"/>
      <c r="K728" s="255"/>
      <c r="L728" s="255"/>
      <c r="M728" s="255"/>
      <c r="N728" s="255"/>
      <c r="O728" s="255"/>
      <c r="P728" s="255"/>
      <c r="Q728" s="306">
        <v>80640070932</v>
      </c>
      <c r="R728" s="307">
        <v>80640070884</v>
      </c>
    </row>
    <row r="729" spans="1:18" x14ac:dyDescent="0.2">
      <c r="A729" s="167">
        <v>16</v>
      </c>
      <c r="B729" s="298" t="s">
        <v>596</v>
      </c>
      <c r="C729" s="175" t="s">
        <v>846</v>
      </c>
      <c r="D729" s="296">
        <v>0</v>
      </c>
      <c r="E729" s="259">
        <v>0.85</v>
      </c>
      <c r="F729" s="269">
        <v>0.85</v>
      </c>
      <c r="G729" s="257">
        <v>3400</v>
      </c>
      <c r="H729" s="177" t="s">
        <v>0</v>
      </c>
      <c r="I729" s="254"/>
      <c r="J729" s="255"/>
      <c r="K729" s="255"/>
      <c r="L729" s="255"/>
      <c r="M729" s="255"/>
      <c r="N729" s="255"/>
      <c r="O729" s="255"/>
      <c r="P729" s="255"/>
      <c r="Q729" s="306">
        <v>80640070845</v>
      </c>
      <c r="R729" s="307">
        <v>80640070317</v>
      </c>
    </row>
    <row r="730" spans="1:18" x14ac:dyDescent="0.2">
      <c r="A730" s="171"/>
      <c r="B730" s="303"/>
      <c r="C730" s="175" t="s">
        <v>846</v>
      </c>
      <c r="D730" s="296">
        <f>E729</f>
        <v>0.85</v>
      </c>
      <c r="E730" s="259">
        <f>D731</f>
        <v>1.6479999999999999</v>
      </c>
      <c r="F730" s="269">
        <f>E730-D730</f>
        <v>0.79799999999999993</v>
      </c>
      <c r="G730" s="257">
        <f>4*798</f>
        <v>3192</v>
      </c>
      <c r="H730" s="177" t="s">
        <v>0</v>
      </c>
      <c r="I730" s="254"/>
      <c r="J730" s="255"/>
      <c r="K730" s="255"/>
      <c r="L730" s="255"/>
      <c r="M730" s="255"/>
      <c r="N730" s="255"/>
      <c r="O730" s="255"/>
      <c r="P730" s="255"/>
      <c r="Q730" s="454" t="s">
        <v>859</v>
      </c>
      <c r="R730" s="307">
        <v>80640070882</v>
      </c>
    </row>
    <row r="731" spans="1:18" x14ac:dyDescent="0.2">
      <c r="A731" s="173"/>
      <c r="B731" s="299"/>
      <c r="C731" s="175" t="s">
        <v>846</v>
      </c>
      <c r="D731" s="296">
        <v>1.6479999999999999</v>
      </c>
      <c r="E731" s="259">
        <v>2.6280000000000001</v>
      </c>
      <c r="F731" s="269">
        <v>0.98</v>
      </c>
      <c r="G731" s="257">
        <v>3920</v>
      </c>
      <c r="H731" s="177" t="s">
        <v>0</v>
      </c>
      <c r="I731" s="254"/>
      <c r="J731" s="255"/>
      <c r="K731" s="255"/>
      <c r="L731" s="255"/>
      <c r="M731" s="255"/>
      <c r="N731" s="255"/>
      <c r="O731" s="255"/>
      <c r="P731" s="255"/>
      <c r="Q731" s="306">
        <v>80640070845</v>
      </c>
      <c r="R731" s="307">
        <v>80640070846</v>
      </c>
    </row>
    <row r="732" spans="1:18" x14ac:dyDescent="0.2">
      <c r="A732" s="175">
        <v>15</v>
      </c>
      <c r="B732" s="297" t="s">
        <v>597</v>
      </c>
      <c r="C732" s="175" t="s">
        <v>846</v>
      </c>
      <c r="D732" s="259">
        <v>0</v>
      </c>
      <c r="E732" s="259">
        <v>0.73</v>
      </c>
      <c r="F732" s="269">
        <v>0.73</v>
      </c>
      <c r="G732" s="257">
        <v>2920</v>
      </c>
      <c r="H732" s="177" t="s">
        <v>0</v>
      </c>
      <c r="I732" s="254"/>
      <c r="J732" s="255"/>
      <c r="K732" s="255"/>
      <c r="L732" s="255"/>
      <c r="M732" s="255"/>
      <c r="N732" s="255"/>
      <c r="O732" s="255"/>
      <c r="P732" s="255"/>
      <c r="Q732" s="306">
        <v>80640070937</v>
      </c>
      <c r="R732" s="307">
        <v>80640070889</v>
      </c>
    </row>
    <row r="733" spans="1:18" x14ac:dyDescent="0.2">
      <c r="A733" s="501">
        <v>16</v>
      </c>
      <c r="B733" s="297" t="s">
        <v>1255</v>
      </c>
      <c r="C733" s="175" t="s">
        <v>846</v>
      </c>
      <c r="D733" s="296">
        <v>0</v>
      </c>
      <c r="E733" s="259">
        <v>0.08</v>
      </c>
      <c r="F733" s="269">
        <v>0.08</v>
      </c>
      <c r="G733" s="257">
        <f>80*2.5</f>
        <v>200</v>
      </c>
      <c r="H733" s="177" t="s">
        <v>0</v>
      </c>
      <c r="I733" s="254"/>
      <c r="J733" s="255"/>
      <c r="K733" s="255"/>
      <c r="L733" s="255"/>
      <c r="M733" s="255"/>
      <c r="N733" s="255"/>
      <c r="O733" s="255"/>
      <c r="P733" s="255"/>
      <c r="Q733" s="306">
        <v>80640070927</v>
      </c>
      <c r="R733" s="306">
        <v>80640070927</v>
      </c>
    </row>
    <row r="734" spans="1:18" x14ac:dyDescent="0.2">
      <c r="A734" s="502"/>
      <c r="B734" s="179"/>
      <c r="C734" s="175" t="s">
        <v>846</v>
      </c>
      <c r="D734" s="296">
        <v>0</v>
      </c>
      <c r="E734" s="259">
        <v>0.16800000000000001</v>
      </c>
      <c r="F734" s="269">
        <v>0.16800000000000001</v>
      </c>
      <c r="G734" s="257">
        <v>370</v>
      </c>
      <c r="H734" s="177" t="s">
        <v>0</v>
      </c>
      <c r="I734" s="254"/>
      <c r="J734" s="255"/>
      <c r="K734" s="255"/>
      <c r="L734" s="255"/>
      <c r="M734" s="255"/>
      <c r="N734" s="255"/>
      <c r="O734" s="255"/>
      <c r="P734" s="255"/>
      <c r="Q734" s="306">
        <v>80640070928</v>
      </c>
      <c r="R734" s="306">
        <v>80640070928</v>
      </c>
    </row>
    <row r="735" spans="1:18" x14ac:dyDescent="0.2">
      <c r="A735" s="501">
        <v>17</v>
      </c>
      <c r="B735" s="297" t="s">
        <v>1256</v>
      </c>
      <c r="C735" s="175" t="s">
        <v>846</v>
      </c>
      <c r="D735" s="296">
        <v>0</v>
      </c>
      <c r="E735" s="259">
        <v>8.3000000000000004E-2</v>
      </c>
      <c r="F735" s="269">
        <v>8.3000000000000004E-2</v>
      </c>
      <c r="G735" s="257">
        <v>183</v>
      </c>
      <c r="H735" s="177" t="s">
        <v>0</v>
      </c>
      <c r="I735" s="254"/>
      <c r="J735" s="255"/>
      <c r="K735" s="255"/>
      <c r="L735" s="255"/>
      <c r="M735" s="255"/>
      <c r="N735" s="255"/>
      <c r="O735" s="255"/>
      <c r="P735" s="255"/>
      <c r="Q735" s="306">
        <v>80640070923</v>
      </c>
      <c r="R735" s="306">
        <v>80640070923</v>
      </c>
    </row>
    <row r="736" spans="1:18" x14ac:dyDescent="0.2">
      <c r="A736" s="502"/>
      <c r="B736" s="179"/>
      <c r="C736" s="175" t="s">
        <v>846</v>
      </c>
      <c r="D736" s="296">
        <v>0</v>
      </c>
      <c r="E736" s="259">
        <v>0.17799999999999999</v>
      </c>
      <c r="F736" s="269">
        <v>0.17799999999999999</v>
      </c>
      <c r="G736" s="257">
        <v>392</v>
      </c>
      <c r="H736" s="177" t="s">
        <v>0</v>
      </c>
      <c r="I736" s="254"/>
      <c r="J736" s="255"/>
      <c r="K736" s="255"/>
      <c r="L736" s="255"/>
      <c r="M736" s="255"/>
      <c r="N736" s="255"/>
      <c r="O736" s="255"/>
      <c r="P736" s="255"/>
      <c r="Q736" s="306">
        <v>80640070924</v>
      </c>
      <c r="R736" s="306">
        <v>80640070924</v>
      </c>
    </row>
    <row r="737" spans="1:32" x14ac:dyDescent="0.2">
      <c r="A737" s="501">
        <v>18</v>
      </c>
      <c r="B737" s="297" t="s">
        <v>1257</v>
      </c>
      <c r="C737" s="175" t="s">
        <v>846</v>
      </c>
      <c r="D737" s="296">
        <v>0</v>
      </c>
      <c r="E737" s="259">
        <v>8.1000000000000003E-2</v>
      </c>
      <c r="F737" s="269">
        <v>8.1000000000000003E-2</v>
      </c>
      <c r="G737" s="257">
        <v>203</v>
      </c>
      <c r="H737" s="177" t="s">
        <v>0</v>
      </c>
      <c r="I737" s="254"/>
      <c r="J737" s="255"/>
      <c r="K737" s="255"/>
      <c r="L737" s="255"/>
      <c r="M737" s="255"/>
      <c r="N737" s="255"/>
      <c r="O737" s="255"/>
      <c r="P737" s="255"/>
      <c r="Q737" s="306">
        <v>80640070921</v>
      </c>
      <c r="R737" s="306">
        <v>80640070921</v>
      </c>
    </row>
    <row r="738" spans="1:32" x14ac:dyDescent="0.2">
      <c r="A738" s="502"/>
      <c r="B738" s="179"/>
      <c r="C738" s="175" t="s">
        <v>846</v>
      </c>
      <c r="D738" s="296">
        <v>0</v>
      </c>
      <c r="E738" s="259">
        <v>0.188</v>
      </c>
      <c r="F738" s="269">
        <v>0.188</v>
      </c>
      <c r="G738" s="257">
        <v>414</v>
      </c>
      <c r="H738" s="177" t="s">
        <v>0</v>
      </c>
      <c r="I738" s="254"/>
      <c r="J738" s="255"/>
      <c r="K738" s="255"/>
      <c r="L738" s="255"/>
      <c r="M738" s="255"/>
      <c r="N738" s="255"/>
      <c r="O738" s="255"/>
      <c r="P738" s="255"/>
      <c r="Q738" s="306">
        <v>80640070922</v>
      </c>
      <c r="R738" s="306">
        <v>80640070922</v>
      </c>
    </row>
    <row r="739" spans="1:32" x14ac:dyDescent="0.2">
      <c r="A739" s="501">
        <v>19</v>
      </c>
      <c r="B739" s="297" t="s">
        <v>1258</v>
      </c>
      <c r="C739" s="175" t="s">
        <v>846</v>
      </c>
      <c r="D739" s="296">
        <v>0</v>
      </c>
      <c r="E739" s="259">
        <v>8.2000000000000003E-2</v>
      </c>
      <c r="F739" s="269">
        <v>8.2000000000000003E-2</v>
      </c>
      <c r="G739" s="257">
        <f>82*2.5</f>
        <v>205</v>
      </c>
      <c r="H739" s="177" t="s">
        <v>0</v>
      </c>
      <c r="I739" s="254"/>
      <c r="J739" s="255"/>
      <c r="K739" s="255"/>
      <c r="L739" s="255"/>
      <c r="M739" s="255"/>
      <c r="N739" s="255"/>
      <c r="O739" s="255"/>
      <c r="P739" s="255"/>
      <c r="Q739" s="306">
        <v>80640070918</v>
      </c>
      <c r="R739" s="306">
        <v>80640070918</v>
      </c>
    </row>
    <row r="740" spans="1:32" x14ac:dyDescent="0.2">
      <c r="A740" s="502"/>
      <c r="B740" s="179"/>
      <c r="C740" s="175" t="s">
        <v>846</v>
      </c>
      <c r="D740" s="296">
        <v>0</v>
      </c>
      <c r="E740" s="259">
        <v>0.19900000000000001</v>
      </c>
      <c r="F740" s="269">
        <v>0.19900000000000001</v>
      </c>
      <c r="G740" s="257">
        <v>498</v>
      </c>
      <c r="H740" s="177" t="s">
        <v>0</v>
      </c>
      <c r="I740" s="254"/>
      <c r="J740" s="255"/>
      <c r="K740" s="255"/>
      <c r="L740" s="255"/>
      <c r="M740" s="255"/>
      <c r="N740" s="255"/>
      <c r="O740" s="255"/>
      <c r="P740" s="255"/>
      <c r="Q740" s="306">
        <v>80640070919</v>
      </c>
      <c r="R740" s="306">
        <v>80640070919</v>
      </c>
    </row>
    <row r="741" spans="1:32" x14ac:dyDescent="0.2">
      <c r="A741" s="501">
        <v>20</v>
      </c>
      <c r="B741" s="297" t="s">
        <v>1259</v>
      </c>
      <c r="C741" s="175" t="s">
        <v>846</v>
      </c>
      <c r="D741" s="296">
        <v>0</v>
      </c>
      <c r="E741" s="259">
        <v>8.5000000000000006E-2</v>
      </c>
      <c r="F741" s="269">
        <v>8.5000000000000006E-2</v>
      </c>
      <c r="G741" s="257">
        <f>85*2.2</f>
        <v>187.00000000000003</v>
      </c>
      <c r="H741" s="177" t="s">
        <v>0</v>
      </c>
      <c r="I741" s="254"/>
      <c r="J741" s="255"/>
      <c r="K741" s="255"/>
      <c r="L741" s="255"/>
      <c r="M741" s="255"/>
      <c r="N741" s="255"/>
      <c r="O741" s="255"/>
      <c r="P741" s="255"/>
      <c r="Q741" s="306">
        <v>80640070916</v>
      </c>
      <c r="R741" s="306">
        <v>80640070916</v>
      </c>
    </row>
    <row r="742" spans="1:32" x14ac:dyDescent="0.2">
      <c r="A742" s="502"/>
      <c r="B742" s="179"/>
      <c r="C742" s="175" t="s">
        <v>846</v>
      </c>
      <c r="D742" s="296">
        <v>0</v>
      </c>
      <c r="E742" s="259">
        <v>0.20799999999999999</v>
      </c>
      <c r="F742" s="269">
        <v>0.20799999999999999</v>
      </c>
      <c r="G742" s="257">
        <f>208*2.5</f>
        <v>520</v>
      </c>
      <c r="H742" s="177" t="s">
        <v>0</v>
      </c>
      <c r="I742" s="254"/>
      <c r="J742" s="255"/>
      <c r="K742" s="255"/>
      <c r="L742" s="255"/>
      <c r="M742" s="255"/>
      <c r="N742" s="255"/>
      <c r="O742" s="255"/>
      <c r="P742" s="255"/>
      <c r="Q742" s="306">
        <v>80640070917</v>
      </c>
      <c r="R742" s="306">
        <v>80640070917</v>
      </c>
    </row>
    <row r="743" spans="1:32" x14ac:dyDescent="0.2">
      <c r="A743" s="501">
        <v>21</v>
      </c>
      <c r="B743" s="297" t="s">
        <v>1260</v>
      </c>
      <c r="C743" s="175" t="s">
        <v>846</v>
      </c>
      <c r="D743" s="296">
        <v>0</v>
      </c>
      <c r="E743" s="259">
        <v>8.3000000000000004E-2</v>
      </c>
      <c r="F743" s="269">
        <v>8.3000000000000004E-2</v>
      </c>
      <c r="G743" s="257">
        <v>208</v>
      </c>
      <c r="H743" s="177" t="s">
        <v>0</v>
      </c>
      <c r="I743" s="254"/>
      <c r="J743" s="255"/>
      <c r="K743" s="255"/>
      <c r="L743" s="255"/>
      <c r="M743" s="255"/>
      <c r="N743" s="255"/>
      <c r="O743" s="255"/>
      <c r="P743" s="255"/>
      <c r="Q743" s="306">
        <v>80640070912</v>
      </c>
      <c r="R743" s="306">
        <v>80640070912</v>
      </c>
    </row>
    <row r="744" spans="1:32" x14ac:dyDescent="0.2">
      <c r="A744" s="502"/>
      <c r="B744" s="179"/>
      <c r="C744" s="175" t="s">
        <v>846</v>
      </c>
      <c r="D744" s="296">
        <v>0</v>
      </c>
      <c r="E744" s="259">
        <v>0.20599999999999999</v>
      </c>
      <c r="F744" s="269">
        <v>0.20599999999999999</v>
      </c>
      <c r="G744" s="257">
        <f>206*3</f>
        <v>618</v>
      </c>
      <c r="H744" s="177" t="s">
        <v>0</v>
      </c>
      <c r="I744" s="254"/>
      <c r="J744" s="255"/>
      <c r="K744" s="255"/>
      <c r="L744" s="255"/>
      <c r="M744" s="255"/>
      <c r="N744" s="255"/>
      <c r="O744" s="255"/>
      <c r="P744" s="255"/>
      <c r="Q744" s="306">
        <v>80640070913</v>
      </c>
      <c r="R744" s="306">
        <v>80640070913</v>
      </c>
    </row>
    <row r="745" spans="1:32" x14ac:dyDescent="0.2">
      <c r="A745" s="501">
        <v>22</v>
      </c>
      <c r="B745" s="297" t="s">
        <v>1261</v>
      </c>
      <c r="C745" s="175" t="s">
        <v>846</v>
      </c>
      <c r="D745" s="296">
        <v>0</v>
      </c>
      <c r="E745" s="259">
        <v>8.3000000000000004E-2</v>
      </c>
      <c r="F745" s="269">
        <v>8.3000000000000004E-2</v>
      </c>
      <c r="G745" s="257">
        <f>83*2</f>
        <v>166</v>
      </c>
      <c r="H745" s="177" t="s">
        <v>0</v>
      </c>
      <c r="I745" s="254"/>
      <c r="J745" s="255"/>
      <c r="K745" s="255"/>
      <c r="L745" s="255"/>
      <c r="M745" s="255"/>
      <c r="N745" s="255"/>
      <c r="O745" s="255"/>
      <c r="P745" s="255"/>
      <c r="Q745" s="306">
        <v>80640070910</v>
      </c>
      <c r="R745" s="306">
        <v>80640070910</v>
      </c>
    </row>
    <row r="746" spans="1:32" x14ac:dyDescent="0.2">
      <c r="A746" s="502"/>
      <c r="B746" s="202"/>
      <c r="C746" s="175" t="s">
        <v>846</v>
      </c>
      <c r="D746" s="296">
        <v>0</v>
      </c>
      <c r="E746" s="259">
        <v>0.114</v>
      </c>
      <c r="F746" s="269">
        <v>0.114</v>
      </c>
      <c r="G746" s="257">
        <v>251</v>
      </c>
      <c r="H746" s="177" t="s">
        <v>0</v>
      </c>
      <c r="I746" s="254"/>
      <c r="J746" s="255"/>
      <c r="K746" s="255"/>
      <c r="L746" s="255"/>
      <c r="M746" s="255"/>
      <c r="N746" s="255"/>
      <c r="O746" s="255"/>
      <c r="P746" s="255"/>
      <c r="Q746" s="306">
        <v>80640070911</v>
      </c>
      <c r="R746" s="306">
        <v>80640070911</v>
      </c>
    </row>
    <row r="747" spans="1:32" x14ac:dyDescent="0.2">
      <c r="A747" s="501">
        <v>23</v>
      </c>
      <c r="B747" s="303" t="s">
        <v>598</v>
      </c>
      <c r="C747" s="175" t="s">
        <v>846</v>
      </c>
      <c r="D747" s="296">
        <v>0</v>
      </c>
      <c r="E747" s="259">
        <v>0.13</v>
      </c>
      <c r="F747" s="269">
        <v>0.13</v>
      </c>
      <c r="G747" s="257">
        <v>520</v>
      </c>
      <c r="H747" s="177" t="s">
        <v>0</v>
      </c>
      <c r="I747" s="254"/>
      <c r="J747" s="255"/>
      <c r="K747" s="255"/>
      <c r="L747" s="255"/>
      <c r="M747" s="255"/>
      <c r="N747" s="255"/>
      <c r="O747" s="255"/>
      <c r="P747" s="255"/>
      <c r="Q747" s="306">
        <v>80640070938</v>
      </c>
      <c r="R747" s="307">
        <v>80640070891</v>
      </c>
    </row>
    <row r="748" spans="1:32" x14ac:dyDescent="0.2">
      <c r="A748" s="502"/>
      <c r="B748" s="299"/>
      <c r="C748" s="175" t="s">
        <v>846</v>
      </c>
      <c r="D748" s="296">
        <v>0.14399999999999999</v>
      </c>
      <c r="E748" s="259">
        <v>0.52400000000000002</v>
      </c>
      <c r="F748" s="269">
        <v>0.38</v>
      </c>
      <c r="G748" s="257">
        <v>1520</v>
      </c>
      <c r="H748" s="177" t="s">
        <v>0</v>
      </c>
      <c r="I748" s="254"/>
      <c r="J748" s="255"/>
      <c r="K748" s="255"/>
      <c r="L748" s="255"/>
      <c r="M748" s="255"/>
      <c r="N748" s="255"/>
      <c r="O748" s="255"/>
      <c r="P748" s="255"/>
      <c r="Q748" s="306">
        <v>80640070938</v>
      </c>
      <c r="R748" s="307">
        <v>80640070890</v>
      </c>
    </row>
    <row r="749" spans="1:32" x14ac:dyDescent="0.2">
      <c r="A749" s="502">
        <v>24</v>
      </c>
      <c r="B749" s="299" t="s">
        <v>1262</v>
      </c>
      <c r="C749" s="175" t="s">
        <v>846</v>
      </c>
      <c r="D749" s="296">
        <v>0</v>
      </c>
      <c r="E749" s="259">
        <v>0.27300000000000002</v>
      </c>
      <c r="F749" s="269">
        <v>0.27300000000000002</v>
      </c>
      <c r="G749" s="257">
        <v>683</v>
      </c>
      <c r="H749" s="177" t="s">
        <v>0</v>
      </c>
      <c r="I749" s="254"/>
      <c r="J749" s="255"/>
      <c r="K749" s="255"/>
      <c r="L749" s="255"/>
      <c r="M749" s="255"/>
      <c r="N749" s="255"/>
      <c r="O749" s="255"/>
      <c r="P749" s="255"/>
      <c r="Q749" s="307">
        <v>80640070930</v>
      </c>
      <c r="R749" s="307">
        <v>80640070930</v>
      </c>
    </row>
    <row r="750" spans="1:32" x14ac:dyDescent="0.2">
      <c r="A750" s="502">
        <v>25</v>
      </c>
      <c r="B750" s="299" t="s">
        <v>1263</v>
      </c>
      <c r="C750" s="175" t="s">
        <v>846</v>
      </c>
      <c r="D750" s="296">
        <v>0</v>
      </c>
      <c r="E750" s="259">
        <v>0.315</v>
      </c>
      <c r="F750" s="269">
        <v>0.315</v>
      </c>
      <c r="G750" s="257">
        <f>3*315</f>
        <v>945</v>
      </c>
      <c r="H750" s="177" t="s">
        <v>0</v>
      </c>
      <c r="I750" s="254"/>
      <c r="J750" s="255"/>
      <c r="K750" s="255"/>
      <c r="L750" s="255"/>
      <c r="M750" s="255"/>
      <c r="N750" s="255"/>
      <c r="O750" s="255"/>
      <c r="P750" s="255"/>
      <c r="Q750" s="307">
        <v>80640070930</v>
      </c>
      <c r="R750" s="307">
        <v>80640070930</v>
      </c>
    </row>
    <row r="751" spans="1:32" x14ac:dyDescent="0.2">
      <c r="A751" s="502">
        <v>26</v>
      </c>
      <c r="B751" s="299" t="s">
        <v>1264</v>
      </c>
      <c r="C751" s="175" t="s">
        <v>846</v>
      </c>
      <c r="D751" s="296">
        <v>0</v>
      </c>
      <c r="E751" s="259">
        <v>2.5350000000000001</v>
      </c>
      <c r="F751" s="269">
        <v>2.5350000000000001</v>
      </c>
      <c r="G751" s="257">
        <v>6338</v>
      </c>
      <c r="H751" s="177" t="s">
        <v>0</v>
      </c>
      <c r="I751" s="254"/>
      <c r="J751" s="255"/>
      <c r="K751" s="255"/>
      <c r="L751" s="255"/>
      <c r="M751" s="255"/>
      <c r="N751" s="255"/>
      <c r="O751" s="255"/>
      <c r="P751" s="255"/>
      <c r="Q751" s="770">
        <v>80640070892</v>
      </c>
      <c r="R751" s="770">
        <v>80640070892</v>
      </c>
    </row>
    <row r="752" spans="1:32" ht="11.25" customHeight="1" x14ac:dyDescent="0.25">
      <c r="A752" s="502">
        <v>27</v>
      </c>
      <c r="B752" s="202" t="s">
        <v>599</v>
      </c>
      <c r="C752" s="175" t="s">
        <v>846</v>
      </c>
      <c r="D752" s="259">
        <v>0</v>
      </c>
      <c r="E752" s="259">
        <v>0.34</v>
      </c>
      <c r="F752" s="269">
        <v>0.34</v>
      </c>
      <c r="G752" s="257">
        <v>1360</v>
      </c>
      <c r="H752" s="177" t="s">
        <v>0</v>
      </c>
      <c r="I752" s="254"/>
      <c r="J752" s="255"/>
      <c r="K752" s="255"/>
      <c r="L752" s="255"/>
      <c r="M752" s="255"/>
      <c r="N752" s="255"/>
      <c r="O752" s="255"/>
      <c r="P752" s="255"/>
      <c r="Q752" s="306">
        <v>80640070936</v>
      </c>
      <c r="R752" s="307">
        <v>80640070888</v>
      </c>
      <c r="S752"/>
      <c r="T752"/>
      <c r="U752"/>
      <c r="V752"/>
      <c r="W752"/>
      <c r="X752"/>
      <c r="Y752"/>
      <c r="Z752"/>
      <c r="AB752"/>
      <c r="AC752"/>
      <c r="AD752"/>
      <c r="AE752"/>
      <c r="AF752"/>
    </row>
    <row r="753" spans="1:32" ht="11.25" customHeight="1" x14ac:dyDescent="0.25">
      <c r="A753" s="502">
        <v>28</v>
      </c>
      <c r="B753" s="202" t="s">
        <v>1265</v>
      </c>
      <c r="C753" s="175" t="s">
        <v>846</v>
      </c>
      <c r="D753" s="296">
        <v>0</v>
      </c>
      <c r="E753" s="259">
        <v>0.18099999999999999</v>
      </c>
      <c r="F753" s="269">
        <v>0.18099999999999999</v>
      </c>
      <c r="G753" s="257">
        <v>453</v>
      </c>
      <c r="H753" s="177" t="s">
        <v>0</v>
      </c>
      <c r="I753" s="254"/>
      <c r="J753" s="255"/>
      <c r="K753" s="255"/>
      <c r="L753" s="255"/>
      <c r="M753" s="255"/>
      <c r="N753" s="255"/>
      <c r="O753" s="255"/>
      <c r="P753" s="255"/>
      <c r="Q753" s="306">
        <v>80640070846</v>
      </c>
      <c r="R753" s="306">
        <v>80640070846</v>
      </c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</row>
    <row r="754" spans="1:32" ht="11.25" customHeight="1" x14ac:dyDescent="0.25">
      <c r="A754" s="175">
        <v>29</v>
      </c>
      <c r="B754" s="177" t="s">
        <v>1266</v>
      </c>
      <c r="C754" s="175" t="s">
        <v>846</v>
      </c>
      <c r="D754" s="296">
        <v>0</v>
      </c>
      <c r="E754" s="259">
        <v>0.23</v>
      </c>
      <c r="F754" s="269">
        <v>0.23</v>
      </c>
      <c r="G754" s="257">
        <f>230*3</f>
        <v>690</v>
      </c>
      <c r="H754" s="177" t="s">
        <v>0</v>
      </c>
      <c r="I754" s="254"/>
      <c r="J754" s="255"/>
      <c r="K754" s="255"/>
      <c r="L754" s="255"/>
      <c r="M754" s="255"/>
      <c r="N754" s="255"/>
      <c r="O754" s="255"/>
      <c r="P754" s="255"/>
      <c r="Q754" s="307">
        <v>80640070930</v>
      </c>
      <c r="R754" s="307">
        <v>80640070930</v>
      </c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</row>
    <row r="755" spans="1:32" ht="11.25" customHeight="1" x14ac:dyDescent="0.25">
      <c r="A755" s="175">
        <v>30</v>
      </c>
      <c r="B755" s="297" t="s">
        <v>1267</v>
      </c>
      <c r="C755" s="175" t="s">
        <v>846</v>
      </c>
      <c r="D755" s="296">
        <v>0</v>
      </c>
      <c r="E755" s="259">
        <v>0.39300000000000002</v>
      </c>
      <c r="F755" s="269">
        <v>0.39300000000000002</v>
      </c>
      <c r="G755" s="257">
        <v>983</v>
      </c>
      <c r="H755" s="177" t="s">
        <v>0</v>
      </c>
      <c r="I755" s="254"/>
      <c r="J755" s="255"/>
      <c r="K755" s="255"/>
      <c r="L755" s="255"/>
      <c r="M755" s="255"/>
      <c r="N755" s="255"/>
      <c r="O755" s="255"/>
      <c r="P755" s="255"/>
      <c r="Q755" s="307">
        <v>80640070930</v>
      </c>
      <c r="R755" s="307">
        <v>80640070930</v>
      </c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</row>
    <row r="756" spans="1:32" ht="11.25" customHeight="1" x14ac:dyDescent="0.25">
      <c r="A756" s="773">
        <v>31</v>
      </c>
      <c r="B756" s="297" t="s">
        <v>1268</v>
      </c>
      <c r="C756" s="175" t="s">
        <v>846</v>
      </c>
      <c r="D756" s="296">
        <v>0</v>
      </c>
      <c r="E756" s="259">
        <v>5.3999999999999999E-2</v>
      </c>
      <c r="F756" s="269">
        <v>5.3999999999999999E-2</v>
      </c>
      <c r="G756" s="257">
        <v>119</v>
      </c>
      <c r="H756" s="177" t="s">
        <v>0</v>
      </c>
      <c r="I756" s="254"/>
      <c r="J756" s="255"/>
      <c r="K756" s="255"/>
      <c r="L756" s="255"/>
      <c r="M756" s="255"/>
      <c r="N756" s="255"/>
      <c r="O756" s="255"/>
      <c r="P756" s="255"/>
      <c r="Q756" s="771">
        <v>80640070894</v>
      </c>
      <c r="R756" s="771">
        <v>80640070894</v>
      </c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</row>
    <row r="757" spans="1:32" ht="11.25" customHeight="1" x14ac:dyDescent="0.25">
      <c r="A757" s="501">
        <v>32</v>
      </c>
      <c r="B757" s="298" t="s">
        <v>1269</v>
      </c>
      <c r="C757" s="175" t="s">
        <v>846</v>
      </c>
      <c r="D757" s="296">
        <v>0</v>
      </c>
      <c r="E757" s="259">
        <v>0.222</v>
      </c>
      <c r="F757" s="269">
        <v>0.222</v>
      </c>
      <c r="G757" s="257">
        <v>600</v>
      </c>
      <c r="H757" s="177" t="s">
        <v>0</v>
      </c>
      <c r="I757" s="254"/>
      <c r="J757" s="255"/>
      <c r="K757" s="255"/>
      <c r="L757" s="255"/>
      <c r="M757" s="255"/>
      <c r="N757" s="255"/>
      <c r="O757" s="255"/>
      <c r="P757" s="255"/>
      <c r="Q757" s="307">
        <v>80640070893</v>
      </c>
      <c r="R757" s="307">
        <v>80640070893</v>
      </c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</row>
    <row r="758" spans="1:32" ht="11.25" customHeight="1" x14ac:dyDescent="0.25">
      <c r="A758" s="502"/>
      <c r="B758" s="299"/>
      <c r="C758" s="175" t="s">
        <v>846</v>
      </c>
      <c r="D758" s="296">
        <v>0</v>
      </c>
      <c r="E758" s="259">
        <v>8.1000000000000003E-2</v>
      </c>
      <c r="F758" s="269">
        <v>8.1000000000000003E-2</v>
      </c>
      <c r="G758" s="257">
        <v>203</v>
      </c>
      <c r="H758" s="177" t="s">
        <v>0</v>
      </c>
      <c r="I758" s="254"/>
      <c r="J758" s="255"/>
      <c r="K758" s="255"/>
      <c r="L758" s="255"/>
      <c r="M758" s="255"/>
      <c r="N758" s="255"/>
      <c r="O758" s="255"/>
      <c r="P758" s="255"/>
      <c r="Q758" s="771">
        <v>80640070894</v>
      </c>
      <c r="R758" s="771">
        <v>80640070894</v>
      </c>
      <c r="S758"/>
      <c r="T758"/>
      <c r="U758"/>
      <c r="V758"/>
      <c r="W758"/>
      <c r="X758"/>
      <c r="Y758"/>
      <c r="Z758"/>
      <c r="AA758" t="s">
        <v>1097</v>
      </c>
      <c r="AB758"/>
      <c r="AC758"/>
      <c r="AD758"/>
      <c r="AE758"/>
      <c r="AF758"/>
    </row>
    <row r="759" spans="1:32" ht="22.5" x14ac:dyDescent="0.2">
      <c r="C759" s="33"/>
      <c r="S759" s="102"/>
      <c r="T759" s="625" t="s">
        <v>1092</v>
      </c>
      <c r="U759" s="625" t="s">
        <v>1093</v>
      </c>
      <c r="V759" s="625" t="s">
        <v>1094</v>
      </c>
      <c r="W759" s="625" t="s">
        <v>1095</v>
      </c>
      <c r="X759" s="625" t="s">
        <v>1096</v>
      </c>
      <c r="Y759" s="627" t="s">
        <v>269</v>
      </c>
      <c r="Z759" s="102"/>
      <c r="AA759" s="625" t="s">
        <v>1092</v>
      </c>
      <c r="AB759" s="625" t="s">
        <v>1093</v>
      </c>
      <c r="AC759" s="625" t="s">
        <v>1094</v>
      </c>
      <c r="AD759" s="625" t="s">
        <v>1095</v>
      </c>
      <c r="AE759" s="625" t="s">
        <v>1096</v>
      </c>
      <c r="AF759" s="627" t="s">
        <v>269</v>
      </c>
    </row>
    <row r="760" spans="1:32" ht="12.75" customHeight="1" x14ac:dyDescent="0.2">
      <c r="A760" s="137" t="s">
        <v>419</v>
      </c>
      <c r="B760" s="138"/>
      <c r="C760" s="485"/>
      <c r="D760" s="139"/>
      <c r="E760" s="140"/>
      <c r="F760" s="141">
        <f>SUM(F708:F758)</f>
        <v>15.989000000000003</v>
      </c>
      <c r="G760" s="204">
        <f>SUM(G708:G758)</f>
        <v>51978</v>
      </c>
      <c r="H760" s="143"/>
      <c r="I760" s="94"/>
      <c r="J760" s="144"/>
      <c r="K760" s="145" t="s">
        <v>268</v>
      </c>
      <c r="L760" s="265">
        <f>SUM(L708:L758)</f>
        <v>0</v>
      </c>
      <c r="M760" s="265">
        <f>SUM(M708:M758)</f>
        <v>0</v>
      </c>
      <c r="N760" s="147"/>
      <c r="O760" s="145" t="s">
        <v>269</v>
      </c>
      <c r="P760" s="265">
        <f>SUM(P708:P758)</f>
        <v>0</v>
      </c>
      <c r="Q760" s="147"/>
      <c r="R760" s="147"/>
      <c r="S760" s="628" t="s">
        <v>844</v>
      </c>
      <c r="T760" s="625" t="s">
        <v>231</v>
      </c>
      <c r="U760" s="625" t="s">
        <v>231</v>
      </c>
      <c r="V760" s="625" t="s">
        <v>231</v>
      </c>
      <c r="W760" s="625" t="s">
        <v>231</v>
      </c>
      <c r="X760" s="625" t="s">
        <v>231</v>
      </c>
      <c r="Y760" s="626" t="s">
        <v>231</v>
      </c>
      <c r="Z760" s="628"/>
      <c r="AA760" s="625" t="s">
        <v>231</v>
      </c>
      <c r="AB760" s="625" t="s">
        <v>231</v>
      </c>
      <c r="AC760" s="625" t="s">
        <v>231</v>
      </c>
      <c r="AD760" s="625" t="s">
        <v>231</v>
      </c>
      <c r="AE760" s="625" t="s">
        <v>231</v>
      </c>
      <c r="AF760" s="626" t="s">
        <v>231</v>
      </c>
    </row>
    <row r="761" spans="1:32" ht="12.75" customHeight="1" x14ac:dyDescent="0.2">
      <c r="A761" s="148" t="s">
        <v>270</v>
      </c>
      <c r="B761" s="149"/>
      <c r="C761" s="486"/>
      <c r="D761" s="150"/>
      <c r="E761" s="151"/>
      <c r="F761" s="163">
        <f>SUMIFS(F708:F758,H708:H758,"melnais")</f>
        <v>0</v>
      </c>
      <c r="G761" s="266">
        <f>SUMIFS(G708:G758,H708:H758,"melnais")</f>
        <v>0</v>
      </c>
      <c r="H761" s="154"/>
      <c r="I761" s="155"/>
      <c r="J761" s="147"/>
      <c r="K761" s="136"/>
      <c r="L761" s="156"/>
      <c r="M761" s="156"/>
      <c r="N761" s="147"/>
      <c r="O761" s="147"/>
      <c r="P761" s="147"/>
      <c r="Q761" s="147"/>
      <c r="R761" s="147"/>
      <c r="S761" s="616" t="s">
        <v>847</v>
      </c>
      <c r="T761" s="614">
        <f>SUMIFS(F699:F758,C699:C758,"A",H699:H758,"melnais")</f>
        <v>0</v>
      </c>
      <c r="U761" s="614">
        <f>SUMIFS(F699:F758,C699:C758,"A",H699:H758,"dubultā virsma")</f>
        <v>0</v>
      </c>
      <c r="V761" s="614">
        <f>SUMIFS(F699:F758,C699:C758,"A",H699:H758,"bruģis")</f>
        <v>0</v>
      </c>
      <c r="W761" s="614">
        <f>SUMIFS(F699:F758,C699:C758,"A",H699:H758,"grants")</f>
        <v>0</v>
      </c>
      <c r="X761" s="614">
        <f>SUMIFS(F699:F758,C699:C758,"A",H699:H758,"cits segums")</f>
        <v>0</v>
      </c>
      <c r="Y761" s="614">
        <f>SUM(T761:X761)</f>
        <v>0</v>
      </c>
      <c r="Z761" s="616" t="s">
        <v>847</v>
      </c>
      <c r="AA761" s="614">
        <f>SUMIFS(F699:F758,C699:C758,"A",H699:H758,"melnais", Q699:Q758,"Nepiederošs")</f>
        <v>0</v>
      </c>
      <c r="AB761" s="614">
        <f>SUMIFS(F699:F758,C699:C758,"A",H699:H758,"dubultā virsma", Q699:Q758,"Nepiederošs")</f>
        <v>0</v>
      </c>
      <c r="AC761" s="614">
        <f>SUMIFS(F699:F758,C699:C758,"A",H699:H758,"bruģis", Q699:Q758,"Nepiederošs")</f>
        <v>0</v>
      </c>
      <c r="AD761" s="614">
        <f>SUMIFS(F699:F758,C699:C758,"A",H699:H758,"grants", Q699:Q758,"Nepiederošs")</f>
        <v>0</v>
      </c>
      <c r="AE761" s="614">
        <f>SUMIFS(F699:F758,C699:C758,"A",H699:H758,"cits segums", Q699:Q758,"Nepiederošs")</f>
        <v>0</v>
      </c>
      <c r="AF761" s="614">
        <f>SUM(AA761:AE761)</f>
        <v>0</v>
      </c>
    </row>
    <row r="762" spans="1:32" ht="12.75" customHeight="1" x14ac:dyDescent="0.2">
      <c r="A762" s="148" t="s">
        <v>271</v>
      </c>
      <c r="B762" s="149"/>
      <c r="C762" s="486"/>
      <c r="D762" s="150"/>
      <c r="E762" s="151"/>
      <c r="F762" s="163">
        <f>SUMIFS(F729:F758,H729:H758,"bruģis")</f>
        <v>0</v>
      </c>
      <c r="G762" s="266">
        <f>SUMIFS(G729:G758,H729:H758,"bruģis")</f>
        <v>0</v>
      </c>
      <c r="H762" s="162"/>
      <c r="I762" s="94"/>
      <c r="J762" s="159"/>
      <c r="K762" s="160"/>
      <c r="L762" s="160"/>
      <c r="M762" s="160"/>
      <c r="N762" s="161"/>
      <c r="O762" s="147"/>
      <c r="P762" s="147"/>
      <c r="Q762" s="147"/>
      <c r="R762" s="147"/>
      <c r="S762" s="617" t="s">
        <v>848</v>
      </c>
      <c r="T762" s="614">
        <f>SUMIFS(F699:F758,C699:C758,"B",H699:H758,"melnais")</f>
        <v>0</v>
      </c>
      <c r="U762" s="614">
        <f>SUMIFS(F699:F758,C699:C758,"B",H699:H758,"dubultā virsma")</f>
        <v>0</v>
      </c>
      <c r="V762" s="614">
        <f>SUMIFS(F699:F758,C699:C758,"B",H699:H758,"bruģis")</f>
        <v>0</v>
      </c>
      <c r="W762" s="614">
        <f>SUMIFS(F699:F758,C699:C758,"B",H699:H758,"grants")</f>
        <v>0</v>
      </c>
      <c r="X762" s="614">
        <f>SUMIFS(F699:F758,C699:C758,"B",H699:H758,"cits segums")</f>
        <v>0</v>
      </c>
      <c r="Y762" s="614">
        <f t="shared" ref="Y762:Y764" si="177">SUM(T762:X762)</f>
        <v>0</v>
      </c>
      <c r="Z762" s="617" t="s">
        <v>848</v>
      </c>
      <c r="AA762" s="614">
        <f>SUMIFS(F699:F758,C699:C758,"B",H699:H758,"melnais", Q699:Q758,"Nepiederošs")</f>
        <v>0</v>
      </c>
      <c r="AB762" s="614">
        <f>SUMIFS(F699:F758,C699:C758,"B",H699:H758,"dubultā virsma", Q699:Q758,"Nepiederošs")</f>
        <v>0</v>
      </c>
      <c r="AC762" s="614">
        <f>SUMIFS(F699:F758,C699:C758,"B",H699:H758,"bruģis", Q699:Q758,"Nepiederošs")</f>
        <v>0</v>
      </c>
      <c r="AD762" s="614">
        <f>SUMIFS(F699:F758,C699:C758,"B",H699:H758,"grants", Q699:Q758,"Nepiederošs")</f>
        <v>0</v>
      </c>
      <c r="AE762" s="614">
        <f>SUMIFS(F699:F758,C699:C758,"B",H699:H758,"cits segums", Q699:Q758,"Nepiederošs")</f>
        <v>0</v>
      </c>
      <c r="AF762" s="614">
        <f t="shared" ref="AF762:AF764" si="178">SUM(AA762:AE762)</f>
        <v>0</v>
      </c>
    </row>
    <row r="763" spans="1:32" ht="12.75" customHeight="1" x14ac:dyDescent="0.2">
      <c r="A763" s="148" t="s">
        <v>272</v>
      </c>
      <c r="B763" s="149"/>
      <c r="C763" s="486"/>
      <c r="D763" s="150"/>
      <c r="E763" s="151"/>
      <c r="F763" s="163">
        <f>SUMIFS(F708:F758,H708:H758,"grants")</f>
        <v>15.989000000000003</v>
      </c>
      <c r="G763" s="266">
        <f>SUMIFS(G708:G758,H708:H758,"grants")</f>
        <v>51978</v>
      </c>
      <c r="H763" s="162"/>
      <c r="I763" s="162"/>
      <c r="J763" s="159"/>
      <c r="K763" s="160"/>
      <c r="L763" s="160"/>
      <c r="M763" s="160"/>
      <c r="N763" s="161"/>
      <c r="O763" s="147"/>
      <c r="P763" s="147"/>
      <c r="Q763" s="147"/>
      <c r="R763" s="147"/>
      <c r="S763" s="615" t="s">
        <v>845</v>
      </c>
      <c r="T763" s="614">
        <f>SUMIFS(F699:F758,C699:C758,"C",H699:H758,"melnais")</f>
        <v>0</v>
      </c>
      <c r="U763" s="614">
        <f>SUMIFS(F699:F758,C699:C758,"C",H699:H758,"dubultā virsma")</f>
        <v>0</v>
      </c>
      <c r="V763" s="614">
        <f>SUMIFS(F699:F758,C699:C758,"C",H699:H758,"bruģis")</f>
        <v>0</v>
      </c>
      <c r="W763" s="614">
        <f>SUMIFS(F699:F758,C699:C758,"C",H699:H758,"grants")</f>
        <v>0</v>
      </c>
      <c r="X763" s="614">
        <f>SUMIFS(F699:F758,C699:C758,"C",H699:H758,"cits segums")</f>
        <v>0</v>
      </c>
      <c r="Y763" s="614">
        <f t="shared" si="177"/>
        <v>0</v>
      </c>
      <c r="Z763" s="615" t="s">
        <v>845</v>
      </c>
      <c r="AA763" s="614">
        <f>SUMIFS(F699:F758,C699:C758,"C",H699:H758,"melnais", Q699:Q758,"Nepiederošs")</f>
        <v>0</v>
      </c>
      <c r="AB763" s="614">
        <f>SUMIFS(F699:F758,C699:C758,"C",H699:H758,"dubultā virsma", Q699:Q758,"Nepiederošs")</f>
        <v>0</v>
      </c>
      <c r="AC763" s="614">
        <f>SUMIFS(F699:F758,C699:C758,"C",H699:H758,"bruģis", Q699:Q758,"Nepiederošs")</f>
        <v>0</v>
      </c>
      <c r="AD763" s="614">
        <f>SUMIFS(F699:F758,C699:C758,"C",H699:H758,"grants", Q699:Q758,"Nepiederošs")</f>
        <v>0</v>
      </c>
      <c r="AE763" s="614">
        <f>SUMIFS(F699:F758,C699:C758,"C",H699:H758,"cits segums", Q699:Q758,"Nepiederošs")</f>
        <v>0</v>
      </c>
      <c r="AF763" s="614">
        <f t="shared" si="178"/>
        <v>0</v>
      </c>
    </row>
    <row r="764" spans="1:32" ht="12.75" customHeight="1" x14ac:dyDescent="0.2">
      <c r="A764" s="148" t="s">
        <v>401</v>
      </c>
      <c r="B764" s="149"/>
      <c r="C764" s="486"/>
      <c r="D764" s="150"/>
      <c r="E764" s="151"/>
      <c r="F764" s="163">
        <f>SUMIFS(F708:F758,H708:H758,"cits segums")</f>
        <v>0</v>
      </c>
      <c r="G764" s="266">
        <f>SUMIFS(G708:G758,H708:H758,"cits segums")</f>
        <v>0</v>
      </c>
      <c r="H764" s="165"/>
      <c r="I764" s="162"/>
      <c r="J764" s="166"/>
      <c r="K764" s="160"/>
      <c r="L764" s="160"/>
      <c r="M764" s="160"/>
      <c r="N764" s="161"/>
      <c r="O764" s="147"/>
      <c r="P764" s="147"/>
      <c r="Q764" s="147"/>
      <c r="R764" s="147"/>
      <c r="S764" s="616" t="s">
        <v>846</v>
      </c>
      <c r="T764" s="614">
        <f>SUMIFS(F699:F758,C699:C758,"D",H699:H758,"melnais")</f>
        <v>0</v>
      </c>
      <c r="U764" s="614">
        <f>SUMIFS(F699:F758,C699:C758,"D",H699:H758,"dubultā virsma")</f>
        <v>0</v>
      </c>
      <c r="V764" s="614">
        <f>SUMIFS(F699:F758,C699:C758,"D",H699:H758,"bruģis")</f>
        <v>0</v>
      </c>
      <c r="W764" s="614">
        <f>SUMIFS(F699:F758,C699:C758,"D",H699:H758,"grants")</f>
        <v>15.989000000000003</v>
      </c>
      <c r="X764" s="614">
        <f>SUMIFS(F699:F758,C699:C758,"D",H699:H758,"cits segums")</f>
        <v>0</v>
      </c>
      <c r="Y764" s="614">
        <f t="shared" si="177"/>
        <v>15.989000000000003</v>
      </c>
      <c r="Z764" s="616" t="s">
        <v>846</v>
      </c>
      <c r="AA764" s="614">
        <f>SUMIFS(F699:F758,C699:C758,"D",H699:H758,"melnais", Q699:Q758,"Nepiederošs")</f>
        <v>0</v>
      </c>
      <c r="AB764" s="614">
        <f>SUMIFS(F699:F758,C699:C758,"D",H699:H758,"dubultā virsma", Q699:Q758,"Nepiederošs")</f>
        <v>0</v>
      </c>
      <c r="AC764" s="614">
        <f>SUMIFS(F699:F758,C699:C758,"D",H699:H758,"bruģis", Q699:Q758,"Nepiederošs")</f>
        <v>0</v>
      </c>
      <c r="AD764" s="614">
        <f>SUMIFS(F699:F758,C699:C758,"D",H699:H758,"grants", Q699:Q758,"Nepiederošs")</f>
        <v>0.79799999999999993</v>
      </c>
      <c r="AE764" s="614">
        <f>SUMIFS(F699:F758,C699:C758,"D",H699:H758,"cits segums", Q699:Q758,"Nepiederošs")</f>
        <v>0</v>
      </c>
      <c r="AF764" s="614">
        <f t="shared" si="178"/>
        <v>0.79799999999999993</v>
      </c>
    </row>
    <row r="765" spans="1:32" ht="15" x14ac:dyDescent="0.25">
      <c r="C765" s="33"/>
      <c r="S765" s="637"/>
      <c r="T765" s="629">
        <f>SUM(T761:T764)</f>
        <v>0</v>
      </c>
      <c r="U765" s="629">
        <f t="shared" ref="U765" si="179">SUM(U761:U764)</f>
        <v>0</v>
      </c>
      <c r="V765" s="629">
        <f t="shared" ref="V765" si="180">SUM(V761:V764)</f>
        <v>0</v>
      </c>
      <c r="W765" s="629">
        <f t="shared" ref="W765" si="181">SUM(W761:W764)</f>
        <v>15.989000000000003</v>
      </c>
      <c r="X765" s="629">
        <f t="shared" ref="X765" si="182">SUM(X761:X764)</f>
        <v>0</v>
      </c>
      <c r="Y765" s="629">
        <f t="shared" ref="Y765" si="183">SUM(Y761:Y764)</f>
        <v>15.989000000000003</v>
      </c>
      <c r="Z765"/>
      <c r="AA765" s="629">
        <f>SUM(AA761:AA764)</f>
        <v>0</v>
      </c>
      <c r="AB765" s="629">
        <f t="shared" ref="AB765" si="184">SUM(AB761:AB764)</f>
        <v>0</v>
      </c>
      <c r="AC765" s="629">
        <f>SUM(AC761:AC764)</f>
        <v>0</v>
      </c>
      <c r="AD765" s="629">
        <f t="shared" ref="AD765" si="185">SUM(AD761:AD764)</f>
        <v>0.79799999999999993</v>
      </c>
      <c r="AE765" s="629">
        <f t="shared" ref="AE765" si="186">SUM(AE761:AE764)</f>
        <v>0</v>
      </c>
      <c r="AF765" s="629">
        <f t="shared" ref="AF765" si="187">SUM(AF761:AF764)</f>
        <v>0.79799999999999993</v>
      </c>
    </row>
    <row r="766" spans="1:32" s="38" customFormat="1" ht="15" customHeight="1" x14ac:dyDescent="0.25">
      <c r="A766" s="33"/>
      <c r="C766" s="487"/>
      <c r="D766" s="813" t="s">
        <v>1078</v>
      </c>
      <c r="E766" s="813"/>
      <c r="F766" s="813"/>
      <c r="G766" s="813"/>
      <c r="H766" s="813"/>
      <c r="I766" s="813"/>
      <c r="J766" s="813"/>
      <c r="K766" s="813"/>
      <c r="L766" s="813"/>
      <c r="M766" s="813"/>
      <c r="N766" s="813"/>
      <c r="O766" s="813"/>
      <c r="P766" s="813"/>
      <c r="Q766" s="30"/>
      <c r="R766" s="37"/>
      <c r="AD766" s="635"/>
    </row>
    <row r="767" spans="1:32" ht="12.75" customHeight="1" x14ac:dyDescent="0.2">
      <c r="A767" s="818" t="s">
        <v>244</v>
      </c>
      <c r="B767" s="825" t="s">
        <v>388</v>
      </c>
      <c r="C767" s="482"/>
      <c r="D767" s="826" t="s">
        <v>246</v>
      </c>
      <c r="E767" s="827"/>
      <c r="F767" s="827"/>
      <c r="G767" s="827"/>
      <c r="H767" s="827"/>
      <c r="I767" s="827"/>
      <c r="J767" s="827"/>
      <c r="K767" s="827"/>
      <c r="L767" s="827"/>
      <c r="M767" s="827"/>
      <c r="N767" s="827"/>
      <c r="O767" s="827"/>
      <c r="P767" s="828"/>
      <c r="Q767" s="821" t="s">
        <v>247</v>
      </c>
      <c r="R767" s="822"/>
    </row>
    <row r="768" spans="1:32" ht="12.75" customHeight="1" x14ac:dyDescent="0.2">
      <c r="A768" s="818"/>
      <c r="B768" s="825"/>
      <c r="C768" s="410"/>
      <c r="D768" s="816" t="s">
        <v>389</v>
      </c>
      <c r="E768" s="816"/>
      <c r="F768" s="816"/>
      <c r="G768" s="816"/>
      <c r="H768" s="816"/>
      <c r="I768" s="814" t="s">
        <v>249</v>
      </c>
      <c r="J768" s="814"/>
      <c r="K768" s="814"/>
      <c r="L768" s="814"/>
      <c r="M768" s="814"/>
      <c r="N768" s="814"/>
      <c r="O768" s="814"/>
      <c r="P768" s="815" t="s">
        <v>250</v>
      </c>
      <c r="Q768" s="823"/>
      <c r="R768" s="824"/>
    </row>
    <row r="769" spans="1:32" ht="15.2" customHeight="1" x14ac:dyDescent="0.2">
      <c r="A769" s="818"/>
      <c r="B769" s="825"/>
      <c r="C769" s="410"/>
      <c r="D769" s="816" t="s">
        <v>251</v>
      </c>
      <c r="E769" s="816"/>
      <c r="F769" s="817" t="s">
        <v>252</v>
      </c>
      <c r="G769" s="817" t="s">
        <v>257</v>
      </c>
      <c r="H769" s="818" t="s">
        <v>253</v>
      </c>
      <c r="I769" s="819" t="s">
        <v>254</v>
      </c>
      <c r="J769" s="814" t="s">
        <v>255</v>
      </c>
      <c r="K769" s="814"/>
      <c r="L769" s="820" t="s">
        <v>256</v>
      </c>
      <c r="M769" s="820" t="s">
        <v>257</v>
      </c>
      <c r="N769" s="820" t="s">
        <v>258</v>
      </c>
      <c r="O769" s="820" t="s">
        <v>259</v>
      </c>
      <c r="P769" s="809"/>
      <c r="Q769" s="809" t="s">
        <v>260</v>
      </c>
      <c r="R769" s="811" t="s">
        <v>261</v>
      </c>
    </row>
    <row r="770" spans="1:32" ht="33.75" customHeight="1" x14ac:dyDescent="0.2">
      <c r="A770" s="818"/>
      <c r="B770" s="825"/>
      <c r="C770" s="432" t="s">
        <v>844</v>
      </c>
      <c r="D770" s="95" t="s">
        <v>262</v>
      </c>
      <c r="E770" s="95" t="s">
        <v>263</v>
      </c>
      <c r="F770" s="817"/>
      <c r="G770" s="817"/>
      <c r="H770" s="818"/>
      <c r="I770" s="819"/>
      <c r="J770" s="96" t="s">
        <v>231</v>
      </c>
      <c r="K770" s="96" t="s">
        <v>264</v>
      </c>
      <c r="L770" s="820"/>
      <c r="M770" s="820"/>
      <c r="N770" s="820"/>
      <c r="O770" s="820"/>
      <c r="P770" s="810"/>
      <c r="Q770" s="810"/>
      <c r="R770" s="812"/>
    </row>
    <row r="771" spans="1:32" s="99" customFormat="1" ht="12" customHeight="1" x14ac:dyDescent="0.25">
      <c r="A771" s="200">
        <v>1</v>
      </c>
      <c r="B771" s="200">
        <v>2</v>
      </c>
      <c r="C771" s="200"/>
      <c r="D771" s="200">
        <v>3</v>
      </c>
      <c r="E771" s="200">
        <v>4</v>
      </c>
      <c r="F771" s="200">
        <v>5</v>
      </c>
      <c r="G771" s="200">
        <v>6</v>
      </c>
      <c r="H771" s="200">
        <v>7</v>
      </c>
      <c r="I771" s="201">
        <v>8</v>
      </c>
      <c r="J771" s="201">
        <v>9</v>
      </c>
      <c r="K771" s="201">
        <v>10</v>
      </c>
      <c r="L771" s="201">
        <v>11</v>
      </c>
      <c r="M771" s="201">
        <v>12</v>
      </c>
      <c r="N771" s="201">
        <v>13</v>
      </c>
      <c r="O771" s="201">
        <v>14</v>
      </c>
      <c r="P771" s="201">
        <v>15</v>
      </c>
      <c r="Q771" s="201">
        <v>16</v>
      </c>
      <c r="R771" s="200">
        <v>17</v>
      </c>
    </row>
    <row r="772" spans="1:32" x14ac:dyDescent="0.2">
      <c r="A772" s="167">
        <v>1</v>
      </c>
      <c r="B772" s="298" t="s">
        <v>600</v>
      </c>
      <c r="C772" s="175" t="s">
        <v>846</v>
      </c>
      <c r="D772" s="259">
        <v>0</v>
      </c>
      <c r="E772" s="259">
        <v>0.23</v>
      </c>
      <c r="F772" s="269">
        <v>0.23</v>
      </c>
      <c r="G772" s="257">
        <v>1150</v>
      </c>
      <c r="H772" s="177" t="s">
        <v>4</v>
      </c>
      <c r="I772" s="254"/>
      <c r="J772" s="255"/>
      <c r="K772" s="255"/>
      <c r="L772" s="255"/>
      <c r="M772" s="255"/>
      <c r="N772" s="255"/>
      <c r="O772" s="255"/>
      <c r="P772" s="255"/>
      <c r="Q772" s="308">
        <v>80640020585</v>
      </c>
      <c r="R772" s="309">
        <v>80640020585</v>
      </c>
    </row>
    <row r="773" spans="1:32" x14ac:dyDescent="0.2">
      <c r="A773" s="171"/>
      <c r="B773" s="303"/>
      <c r="C773" s="175" t="s">
        <v>846</v>
      </c>
      <c r="D773" s="259">
        <v>0.23</v>
      </c>
      <c r="E773" s="259">
        <v>0.82899999999999996</v>
      </c>
      <c r="F773" s="269">
        <v>0.59899999999999998</v>
      </c>
      <c r="G773" s="257">
        <v>2995</v>
      </c>
      <c r="H773" s="177" t="s">
        <v>0</v>
      </c>
      <c r="I773" s="254"/>
      <c r="J773" s="255"/>
      <c r="K773" s="255"/>
      <c r="L773" s="255"/>
      <c r="M773" s="255"/>
      <c r="N773" s="255"/>
      <c r="O773" s="255"/>
      <c r="P773" s="255"/>
      <c r="Q773" s="308">
        <v>80640020585</v>
      </c>
      <c r="R773" s="309">
        <v>80640020585</v>
      </c>
    </row>
    <row r="774" spans="1:32" x14ac:dyDescent="0.2">
      <c r="A774" s="171"/>
      <c r="B774" s="303"/>
      <c r="C774" s="175" t="s">
        <v>846</v>
      </c>
      <c r="D774" s="259">
        <v>0.59899999999999998</v>
      </c>
      <c r="E774" s="259">
        <f>D774+F774</f>
        <v>0.70899999999999996</v>
      </c>
      <c r="F774" s="269">
        <v>0.11</v>
      </c>
      <c r="G774" s="257">
        <f>5*110</f>
        <v>550</v>
      </c>
      <c r="H774" s="177" t="s">
        <v>0</v>
      </c>
      <c r="I774" s="254"/>
      <c r="J774" s="255"/>
      <c r="K774" s="255"/>
      <c r="L774" s="255"/>
      <c r="M774" s="255"/>
      <c r="N774" s="255"/>
      <c r="O774" s="255"/>
      <c r="P774" s="255"/>
      <c r="Q774" s="473" t="s">
        <v>859</v>
      </c>
      <c r="R774" s="309">
        <v>80640020636</v>
      </c>
    </row>
    <row r="775" spans="1:32" x14ac:dyDescent="0.2">
      <c r="A775" s="171"/>
      <c r="B775" s="303"/>
      <c r="C775" s="175" t="s">
        <v>846</v>
      </c>
      <c r="D775" s="259">
        <f>E774</f>
        <v>0.70899999999999996</v>
      </c>
      <c r="E775" s="259">
        <f>D775+F775</f>
        <v>0.77899999999999991</v>
      </c>
      <c r="F775" s="269">
        <v>7.0000000000000007E-2</v>
      </c>
      <c r="G775" s="257">
        <f>5*70</f>
        <v>350</v>
      </c>
      <c r="H775" s="177" t="s">
        <v>0</v>
      </c>
      <c r="I775" s="254"/>
      <c r="J775" s="255"/>
      <c r="K775" s="255"/>
      <c r="L775" s="255"/>
      <c r="M775" s="255"/>
      <c r="N775" s="255"/>
      <c r="O775" s="255"/>
      <c r="P775" s="255"/>
      <c r="Q775" s="473" t="s">
        <v>859</v>
      </c>
      <c r="R775" s="309">
        <v>80640020150</v>
      </c>
    </row>
    <row r="776" spans="1:32" x14ac:dyDescent="0.2">
      <c r="A776" s="171"/>
      <c r="B776" s="303"/>
      <c r="C776" s="175" t="s">
        <v>846</v>
      </c>
      <c r="D776" s="259">
        <f t="shared" ref="D776:D778" si="188">E775</f>
        <v>0.77899999999999991</v>
      </c>
      <c r="E776" s="259">
        <f t="shared" ref="E776:E778" si="189">D776+F776</f>
        <v>0.84399999999999986</v>
      </c>
      <c r="F776" s="269">
        <v>6.5000000000000002E-2</v>
      </c>
      <c r="G776" s="257">
        <f>5*65</f>
        <v>325</v>
      </c>
      <c r="H776" s="177" t="s">
        <v>0</v>
      </c>
      <c r="I776" s="254"/>
      <c r="J776" s="255"/>
      <c r="K776" s="255"/>
      <c r="L776" s="255"/>
      <c r="M776" s="255"/>
      <c r="N776" s="255"/>
      <c r="O776" s="255"/>
      <c r="P776" s="255"/>
      <c r="Q776" s="473" t="s">
        <v>859</v>
      </c>
      <c r="R776" s="309">
        <v>80640020143</v>
      </c>
    </row>
    <row r="777" spans="1:32" x14ac:dyDescent="0.2">
      <c r="A777" s="171"/>
      <c r="B777" s="303"/>
      <c r="C777" s="175" t="s">
        <v>846</v>
      </c>
      <c r="D777" s="259">
        <f t="shared" si="188"/>
        <v>0.84399999999999986</v>
      </c>
      <c r="E777" s="259">
        <f t="shared" si="189"/>
        <v>0.99399999999999988</v>
      </c>
      <c r="F777" s="269">
        <v>0.15</v>
      </c>
      <c r="G777" s="257">
        <f>5*150</f>
        <v>750</v>
      </c>
      <c r="H777" s="177" t="s">
        <v>0</v>
      </c>
      <c r="I777" s="254"/>
      <c r="J777" s="255"/>
      <c r="K777" s="255"/>
      <c r="L777" s="255"/>
      <c r="M777" s="255"/>
      <c r="N777" s="255"/>
      <c r="O777" s="255"/>
      <c r="P777" s="255"/>
      <c r="Q777" s="473" t="s">
        <v>859</v>
      </c>
      <c r="R777" s="309">
        <v>80640020016</v>
      </c>
    </row>
    <row r="778" spans="1:32" x14ac:dyDescent="0.2">
      <c r="A778" s="171"/>
      <c r="B778" s="303"/>
      <c r="C778" s="175" t="s">
        <v>846</v>
      </c>
      <c r="D778" s="259">
        <f t="shared" si="188"/>
        <v>0.99399999999999988</v>
      </c>
      <c r="E778" s="259">
        <f t="shared" si="189"/>
        <v>1.1849999999999998</v>
      </c>
      <c r="F778" s="269">
        <v>0.191</v>
      </c>
      <c r="G778" s="257">
        <f>5*191</f>
        <v>955</v>
      </c>
      <c r="H778" s="177" t="s">
        <v>0</v>
      </c>
      <c r="I778" s="254"/>
      <c r="J778" s="255"/>
      <c r="K778" s="255"/>
      <c r="L778" s="255"/>
      <c r="M778" s="255"/>
      <c r="N778" s="255"/>
      <c r="O778" s="255"/>
      <c r="P778" s="255"/>
      <c r="Q778" s="473" t="s">
        <v>859</v>
      </c>
      <c r="R778" s="503">
        <v>80640020592</v>
      </c>
    </row>
    <row r="779" spans="1:32" ht="22.5" x14ac:dyDescent="0.2">
      <c r="A779" s="171"/>
      <c r="B779" s="303"/>
      <c r="C779" s="175" t="s">
        <v>846</v>
      </c>
      <c r="D779" s="269">
        <v>0</v>
      </c>
      <c r="E779" s="269">
        <v>0.4</v>
      </c>
      <c r="F779" s="269">
        <v>0.4</v>
      </c>
      <c r="G779" s="256">
        <v>1680</v>
      </c>
      <c r="H779" s="249" t="s">
        <v>4</v>
      </c>
      <c r="I779" s="312" t="s">
        <v>629</v>
      </c>
      <c r="J779" s="272">
        <v>0.4</v>
      </c>
      <c r="K779" s="272" t="s">
        <v>631</v>
      </c>
      <c r="L779" s="272">
        <v>6.25</v>
      </c>
      <c r="M779" s="272">
        <v>25</v>
      </c>
      <c r="N779" s="272"/>
      <c r="O779" s="272" t="s">
        <v>630</v>
      </c>
      <c r="P779" s="272"/>
      <c r="Q779" s="308">
        <v>80640020586</v>
      </c>
      <c r="R779" s="309">
        <v>80640020586</v>
      </c>
    </row>
    <row r="780" spans="1:32" x14ac:dyDescent="0.2">
      <c r="A780" s="171"/>
      <c r="B780" s="303"/>
      <c r="C780" s="175" t="s">
        <v>846</v>
      </c>
      <c r="D780" s="259">
        <v>0.4</v>
      </c>
      <c r="E780" s="259">
        <v>0.52900000000000003</v>
      </c>
      <c r="F780" s="269">
        <v>0.129</v>
      </c>
      <c r="G780" s="257">
        <v>645</v>
      </c>
      <c r="H780" s="177" t="s">
        <v>4</v>
      </c>
      <c r="I780" s="254"/>
      <c r="J780" s="255"/>
      <c r="K780" s="255"/>
      <c r="L780" s="255"/>
      <c r="M780" s="255"/>
      <c r="N780" s="255"/>
      <c r="O780" s="255"/>
      <c r="P780" s="255"/>
      <c r="Q780" s="308">
        <v>80640030270</v>
      </c>
      <c r="R780" s="309">
        <v>80640030270</v>
      </c>
    </row>
    <row r="781" spans="1:32" x14ac:dyDescent="0.2">
      <c r="A781" s="167">
        <v>2</v>
      </c>
      <c r="B781" s="298" t="s">
        <v>601</v>
      </c>
      <c r="C781" s="175" t="s">
        <v>846</v>
      </c>
      <c r="D781" s="296">
        <v>0</v>
      </c>
      <c r="E781" s="259">
        <v>0.45</v>
      </c>
      <c r="F781" s="269">
        <v>0.45</v>
      </c>
      <c r="G781" s="257">
        <v>1800</v>
      </c>
      <c r="H781" s="177" t="s">
        <v>4</v>
      </c>
      <c r="I781" s="254"/>
      <c r="J781" s="255"/>
      <c r="K781" s="255"/>
      <c r="L781" s="255"/>
      <c r="M781" s="255"/>
      <c r="N781" s="255"/>
      <c r="O781" s="255"/>
      <c r="P781" s="255"/>
      <c r="Q781" s="309">
        <v>80640020786</v>
      </c>
      <c r="R781" s="309">
        <v>80640020786</v>
      </c>
    </row>
    <row r="782" spans="1:32" ht="22.5" x14ac:dyDescent="0.2">
      <c r="A782" s="173"/>
      <c r="B782" s="299"/>
      <c r="C782" s="175" t="s">
        <v>846</v>
      </c>
      <c r="D782" s="269">
        <v>0</v>
      </c>
      <c r="E782" s="269">
        <v>9.7000000000000003E-2</v>
      </c>
      <c r="F782" s="269">
        <v>9.7000000000000003E-2</v>
      </c>
      <c r="G782" s="256">
        <v>243</v>
      </c>
      <c r="H782" s="240" t="s">
        <v>325</v>
      </c>
      <c r="I782" s="254"/>
      <c r="J782" s="255"/>
      <c r="K782" s="255"/>
      <c r="L782" s="255"/>
      <c r="M782" s="255"/>
      <c r="N782" s="255"/>
      <c r="O782" s="255"/>
      <c r="P782" s="255"/>
      <c r="Q782" s="504" t="s">
        <v>870</v>
      </c>
      <c r="R782" s="503" t="s">
        <v>870</v>
      </c>
    </row>
    <row r="783" spans="1:32" x14ac:dyDescent="0.2">
      <c r="A783" s="173">
        <v>3</v>
      </c>
      <c r="B783" s="303" t="s">
        <v>602</v>
      </c>
      <c r="C783" s="492" t="s">
        <v>846</v>
      </c>
      <c r="D783" s="296">
        <v>0</v>
      </c>
      <c r="E783" s="259">
        <v>0.33</v>
      </c>
      <c r="F783" s="269">
        <v>0.33</v>
      </c>
      <c r="G783" s="257">
        <v>990</v>
      </c>
      <c r="H783" s="240" t="s">
        <v>325</v>
      </c>
      <c r="I783" s="254"/>
      <c r="J783" s="255"/>
      <c r="K783" s="255"/>
      <c r="L783" s="255"/>
      <c r="M783" s="255"/>
      <c r="N783" s="255"/>
      <c r="O783" s="255"/>
      <c r="P783" s="255"/>
      <c r="Q783" s="308">
        <v>80640020790</v>
      </c>
      <c r="R783" s="309">
        <v>80640020785</v>
      </c>
    </row>
    <row r="784" spans="1:32" ht="15" x14ac:dyDescent="0.25">
      <c r="A784" s="175">
        <v>4</v>
      </c>
      <c r="B784" s="177" t="s">
        <v>223</v>
      </c>
      <c r="C784" s="175" t="s">
        <v>846</v>
      </c>
      <c r="D784" s="296">
        <v>0</v>
      </c>
      <c r="E784" s="259">
        <v>0.33</v>
      </c>
      <c r="F784" s="269">
        <v>0.33</v>
      </c>
      <c r="G784" s="257">
        <v>1320</v>
      </c>
      <c r="H784" s="177" t="s">
        <v>0</v>
      </c>
      <c r="I784" s="254"/>
      <c r="J784" s="255"/>
      <c r="K784" s="255"/>
      <c r="L784" s="255"/>
      <c r="M784" s="255"/>
      <c r="N784" s="255"/>
      <c r="O784" s="255"/>
      <c r="P784" s="255"/>
      <c r="Q784" s="308">
        <v>80640020789</v>
      </c>
      <c r="R784" s="309">
        <v>80640020784</v>
      </c>
      <c r="S784"/>
      <c r="T784"/>
      <c r="U784"/>
      <c r="V784"/>
      <c r="W784"/>
      <c r="X784"/>
      <c r="Y784"/>
      <c r="Z784"/>
      <c r="AA784" t="s">
        <v>1097</v>
      </c>
      <c r="AB784"/>
      <c r="AC784"/>
      <c r="AD784"/>
      <c r="AE784"/>
      <c r="AF784"/>
    </row>
    <row r="785" spans="1:32" ht="22.5" x14ac:dyDescent="0.2">
      <c r="C785" s="33"/>
      <c r="S785" s="102"/>
      <c r="T785" s="625" t="s">
        <v>1092</v>
      </c>
      <c r="U785" s="625" t="s">
        <v>1093</v>
      </c>
      <c r="V785" s="625" t="s">
        <v>1094</v>
      </c>
      <c r="W785" s="625" t="s">
        <v>1095</v>
      </c>
      <c r="X785" s="625" t="s">
        <v>1096</v>
      </c>
      <c r="Y785" s="627" t="s">
        <v>269</v>
      </c>
      <c r="Z785" s="102"/>
      <c r="AA785" s="625" t="s">
        <v>1092</v>
      </c>
      <c r="AB785" s="625" t="s">
        <v>1093</v>
      </c>
      <c r="AC785" s="625" t="s">
        <v>1094</v>
      </c>
      <c r="AD785" s="625" t="s">
        <v>1095</v>
      </c>
      <c r="AE785" s="625" t="s">
        <v>1096</v>
      </c>
      <c r="AF785" s="627" t="s">
        <v>269</v>
      </c>
    </row>
    <row r="786" spans="1:32" ht="12.75" customHeight="1" x14ac:dyDescent="0.2">
      <c r="A786" s="137" t="s">
        <v>603</v>
      </c>
      <c r="B786" s="138"/>
      <c r="C786" s="485"/>
      <c r="D786" s="139"/>
      <c r="E786" s="140"/>
      <c r="F786" s="141">
        <f>SUM(F772:F784)</f>
        <v>3.1510000000000002</v>
      </c>
      <c r="G786" s="265">
        <f>SUM(G772:G784)</f>
        <v>13753</v>
      </c>
      <c r="H786" s="143"/>
      <c r="I786" s="94"/>
      <c r="J786" s="144"/>
      <c r="K786" s="145" t="s">
        <v>268</v>
      </c>
      <c r="L786" s="265">
        <f>SUM(L772:L784)</f>
        <v>6.25</v>
      </c>
      <c r="M786" s="265">
        <f>SUM(M772:M784)</f>
        <v>25</v>
      </c>
      <c r="N786" s="147"/>
      <c r="O786" s="145" t="s">
        <v>269</v>
      </c>
      <c r="P786" s="265">
        <f>SUM(P772:P784)</f>
        <v>0</v>
      </c>
      <c r="Q786" s="147"/>
      <c r="R786" s="147"/>
      <c r="S786" s="628" t="s">
        <v>844</v>
      </c>
      <c r="T786" s="625" t="s">
        <v>231</v>
      </c>
      <c r="U786" s="625" t="s">
        <v>231</v>
      </c>
      <c r="V786" s="625" t="s">
        <v>231</v>
      </c>
      <c r="W786" s="625" t="s">
        <v>231</v>
      </c>
      <c r="X786" s="625" t="s">
        <v>231</v>
      </c>
      <c r="Y786" s="626" t="s">
        <v>231</v>
      </c>
      <c r="Z786" s="628"/>
      <c r="AA786" s="625" t="s">
        <v>231</v>
      </c>
      <c r="AB786" s="625" t="s">
        <v>231</v>
      </c>
      <c r="AC786" s="625" t="s">
        <v>231</v>
      </c>
      <c r="AD786" s="625" t="s">
        <v>231</v>
      </c>
      <c r="AE786" s="625" t="s">
        <v>231</v>
      </c>
      <c r="AF786" s="626" t="s">
        <v>231</v>
      </c>
    </row>
    <row r="787" spans="1:32" ht="12.75" customHeight="1" x14ac:dyDescent="0.2">
      <c r="A787" s="148" t="s">
        <v>270</v>
      </c>
      <c r="B787" s="149"/>
      <c r="C787" s="486"/>
      <c r="D787" s="150"/>
      <c r="E787" s="151"/>
      <c r="F787" s="163">
        <f>SUMIFS(F772:F784,H772:H784,"melnais")</f>
        <v>1.2090000000000001</v>
      </c>
      <c r="G787" s="266">
        <f>SUMIFS(G772:G784,H772:H784,"melnais")</f>
        <v>5275</v>
      </c>
      <c r="H787" s="154"/>
      <c r="I787" s="155"/>
      <c r="J787" s="147"/>
      <c r="K787" s="136"/>
      <c r="L787" s="156"/>
      <c r="M787" s="156"/>
      <c r="N787" s="147"/>
      <c r="O787" s="147"/>
      <c r="P787" s="147"/>
      <c r="Q787" s="147"/>
      <c r="R787" s="147"/>
      <c r="S787" s="616" t="s">
        <v>847</v>
      </c>
      <c r="T787" s="614">
        <f>SUMIFS(F765:F784,C765:C784,"A",H765:H784,"melnais")</f>
        <v>0</v>
      </c>
      <c r="U787" s="614">
        <f>SUMIFS(F765:F784,C765:C784,"A",H765:H784,"dubultā virsma")</f>
        <v>0</v>
      </c>
      <c r="V787" s="614">
        <f>SUMIFS(F765:F784,C765:C784,"A",H765:H784,"bruģis")</f>
        <v>0</v>
      </c>
      <c r="W787" s="614">
        <f>SUMIFS(F765:F784,C765:C784,"A",H765:H784,"grants")</f>
        <v>0</v>
      </c>
      <c r="X787" s="614">
        <f>SUMIFS(F765:F784,C765:C784,"A",H765:H784,"cits segums")</f>
        <v>0</v>
      </c>
      <c r="Y787" s="614">
        <f>SUM(T787:X787)</f>
        <v>0</v>
      </c>
      <c r="Z787" s="616" t="s">
        <v>847</v>
      </c>
      <c r="AA787" s="614">
        <f>SUMIFS(F765:F784,C765:C784,"A",H765:H784,"melnais", Q765:Q784,"Nepiederošs")</f>
        <v>0</v>
      </c>
      <c r="AB787" s="614">
        <f>SUMIFS(F765:F784,C765:C784,"A",H765:H784,"dubultā virsma", Q765:Q784,"Nepiederošs")</f>
        <v>0</v>
      </c>
      <c r="AC787" s="614">
        <f>SUMIFS(F765:F784,C765:C784,"A",H765:H784,"bruģis", Q765:Q784,"Nepiederošs")</f>
        <v>0</v>
      </c>
      <c r="AD787" s="614">
        <f>SUMIFS(F765:F784,C765:C784,"A",H765:H784,"grants", Q765:Q784,"Nepiederošs")</f>
        <v>0</v>
      </c>
      <c r="AE787" s="614">
        <f>SUMIFS(F765:F784,C765:C784,"A",H765:H784,"cits segums", Q765:Q784,"Nepiederošs")</f>
        <v>0</v>
      </c>
      <c r="AF787" s="614">
        <f>SUM(AA787:AE787)</f>
        <v>0</v>
      </c>
    </row>
    <row r="788" spans="1:32" ht="12.75" customHeight="1" x14ac:dyDescent="0.2">
      <c r="A788" s="148" t="s">
        <v>271</v>
      </c>
      <c r="B788" s="149"/>
      <c r="C788" s="486"/>
      <c r="D788" s="150"/>
      <c r="E788" s="151"/>
      <c r="F788" s="163">
        <f>SUMIFS(F781:F784,H781:H784,"bruģis")</f>
        <v>0</v>
      </c>
      <c r="G788" s="266">
        <f>SUMIFS(G781:G784,H781:H784,"bruģis")</f>
        <v>0</v>
      </c>
      <c r="H788" s="162"/>
      <c r="I788" s="94"/>
      <c r="J788" s="159"/>
      <c r="K788" s="160"/>
      <c r="L788" s="160"/>
      <c r="M788" s="160"/>
      <c r="N788" s="161"/>
      <c r="O788" s="147"/>
      <c r="P788" s="147"/>
      <c r="Q788" s="147"/>
      <c r="R788" s="147"/>
      <c r="S788" s="617" t="s">
        <v>848</v>
      </c>
      <c r="T788" s="614">
        <f>SUMIFS(F765:F784,C765:C784,"B",H765:H784,"melnais")</f>
        <v>0</v>
      </c>
      <c r="U788" s="614">
        <f>SUMIFS(F765:F784,C765:C784,"B",H765:H784,"dubultā virsma")</f>
        <v>0</v>
      </c>
      <c r="V788" s="614">
        <f>SUMIFS(F765:F784,C765:C784,"B",H765:H784,"bruģis")</f>
        <v>0</v>
      </c>
      <c r="W788" s="614">
        <f>SUMIFS(F765:F784,C765:C784,"B",H765:H784,"grants")</f>
        <v>0</v>
      </c>
      <c r="X788" s="614">
        <f>SUMIFS(F765:F784,C765:C784,"B",H765:H784,"cits segums")</f>
        <v>0</v>
      </c>
      <c r="Y788" s="614">
        <f t="shared" ref="Y788:Y790" si="190">SUM(T788:X788)</f>
        <v>0</v>
      </c>
      <c r="Z788" s="617" t="s">
        <v>848</v>
      </c>
      <c r="AA788" s="614">
        <f>SUMIFS(F765:F784,C765:C784,"B",H765:H784,"melnais", Q765:Q784,"Nepiederošs")</f>
        <v>0</v>
      </c>
      <c r="AB788" s="614">
        <f>SUMIFS(F765:F784,C765:C784,"B",H765:H784,"dubultā virsma", Q765:Q784,"Nepiederošs")</f>
        <v>0</v>
      </c>
      <c r="AC788" s="614">
        <f>SUMIFS(F765:F784,C765:C784,"B",H765:H784,"bruģis", Q765:Q784,"Nepiederošs")</f>
        <v>0</v>
      </c>
      <c r="AD788" s="614">
        <f>SUMIFS(F765:F784,C765:C784,"B",H765:H784,"grants", Q765:Q784,"Nepiederošs")</f>
        <v>0</v>
      </c>
      <c r="AE788" s="614">
        <f>SUMIFS(F765:F784,C765:C784,"B",H765:H784,"cits segums", Q765:Q784,"Nepiederošs")</f>
        <v>0</v>
      </c>
      <c r="AF788" s="614">
        <f t="shared" ref="AF788:AF790" si="191">SUM(AA788:AE788)</f>
        <v>0</v>
      </c>
    </row>
    <row r="789" spans="1:32" ht="12.75" customHeight="1" x14ac:dyDescent="0.2">
      <c r="A789" s="148" t="s">
        <v>272</v>
      </c>
      <c r="B789" s="149"/>
      <c r="C789" s="486"/>
      <c r="D789" s="150"/>
      <c r="E789" s="151"/>
      <c r="F789" s="163">
        <f>SUMIFS(F772:F784,H772:H784,"grants")</f>
        <v>1.5149999999999999</v>
      </c>
      <c r="G789" s="266">
        <f>SUMIFS(G772:G784,H772:H784,"grants")</f>
        <v>7245</v>
      </c>
      <c r="H789" s="162"/>
      <c r="I789" s="162"/>
      <c r="J789" s="159"/>
      <c r="K789" s="160"/>
      <c r="L789" s="160"/>
      <c r="M789" s="160"/>
      <c r="N789" s="161"/>
      <c r="O789" s="147"/>
      <c r="P789" s="147"/>
      <c r="Q789" s="147"/>
      <c r="R789" s="147"/>
      <c r="S789" s="615" t="s">
        <v>845</v>
      </c>
      <c r="T789" s="614">
        <f>SUMIFS(F765:F784,C765:C784,"C",H765:H784,"melnais")</f>
        <v>0</v>
      </c>
      <c r="U789" s="614">
        <f>SUMIFS(F765:F784,C765:C784,"C",H765:H784,"dubultā virsma")</f>
        <v>0</v>
      </c>
      <c r="V789" s="614">
        <f>SUMIFS(F765:F784,C765:C784,"C",H765:H784,"bruģis")</f>
        <v>0</v>
      </c>
      <c r="W789" s="614">
        <f>SUMIFS(F765:F784,C765:C784,"C",H765:H784,"grants")</f>
        <v>0</v>
      </c>
      <c r="X789" s="614">
        <f>SUMIFS(F765:F784,C765:C784,"C",H765:H784,"cits segums")</f>
        <v>0</v>
      </c>
      <c r="Y789" s="614">
        <f t="shared" si="190"/>
        <v>0</v>
      </c>
      <c r="Z789" s="615" t="s">
        <v>845</v>
      </c>
      <c r="AA789" s="614">
        <f>SUMIFS(F765:F784,C765:C784,"C",H765:H784,"melnais", Q765:Q784,"Nepiederošs")</f>
        <v>0</v>
      </c>
      <c r="AB789" s="614">
        <f>SUMIFS(F765:F784,C765:C784,"C",H765:H784,"dubultā virsma", Q765:Q784,"Nepiederošs")</f>
        <v>0</v>
      </c>
      <c r="AC789" s="614">
        <f>SUMIFS(F765:F784,C765:C784,"C",H765:H784,"bruģis", Q765:Q784,"Nepiederošs")</f>
        <v>0</v>
      </c>
      <c r="AD789" s="614">
        <f>SUMIFS(F765:F784,C765:C784,"C",H765:H784,"grants", Q765:Q784,"Nepiederošs")</f>
        <v>0</v>
      </c>
      <c r="AE789" s="614">
        <f>SUMIFS(F765:F784,C765:C784,"C",H765:H784,"cits segums", Q765:Q784,"Nepiederošs")</f>
        <v>0</v>
      </c>
      <c r="AF789" s="614">
        <f t="shared" si="191"/>
        <v>0</v>
      </c>
    </row>
    <row r="790" spans="1:32" ht="12.75" customHeight="1" x14ac:dyDescent="0.2">
      <c r="A790" s="148" t="s">
        <v>401</v>
      </c>
      <c r="B790" s="149"/>
      <c r="C790" s="486"/>
      <c r="D790" s="150"/>
      <c r="E790" s="151"/>
      <c r="F790" s="163">
        <f>SUMIFS(F772:F784,H772:H784,"cits segums")</f>
        <v>0.42700000000000005</v>
      </c>
      <c r="G790" s="266">
        <f>SUMIFS(G772:G784,H772:H784,"cits segums")</f>
        <v>1233</v>
      </c>
      <c r="H790" s="165"/>
      <c r="I790" s="162"/>
      <c r="J790" s="166"/>
      <c r="K790" s="160"/>
      <c r="L790" s="160"/>
      <c r="M790" s="160"/>
      <c r="N790" s="161"/>
      <c r="O790" s="147"/>
      <c r="P790" s="147"/>
      <c r="Q790" s="147"/>
      <c r="R790" s="147"/>
      <c r="S790" s="616" t="s">
        <v>846</v>
      </c>
      <c r="T790" s="614">
        <f>SUMIFS(F765:F784,C765:C784,"D",H765:H784,"melnais")</f>
        <v>1.2090000000000001</v>
      </c>
      <c r="U790" s="614">
        <f>SUMIFS(F765:F784,C765:C784,"D",H765:H784,"dubultā virsma")</f>
        <v>0</v>
      </c>
      <c r="V790" s="614">
        <f>SUMIFS(F765:F784,C765:C784,"D",H765:H784,"bruģis")</f>
        <v>0</v>
      </c>
      <c r="W790" s="614">
        <f>SUMIFS(F765:F784,C765:C784,"D",H765:H784,"grants")</f>
        <v>1.5149999999999999</v>
      </c>
      <c r="X790" s="614">
        <f>SUMIFS(F765:F784,C765:C784,"D",H765:H784,"cits segums")</f>
        <v>0.42700000000000005</v>
      </c>
      <c r="Y790" s="614">
        <f t="shared" si="190"/>
        <v>3.1510000000000002</v>
      </c>
      <c r="Z790" s="616" t="s">
        <v>846</v>
      </c>
      <c r="AA790" s="614">
        <f>SUMIFS(F765:F784,C765:C784,"D",H765:H784,"melnais", Q765:Q784,"Nepiederošs")</f>
        <v>0</v>
      </c>
      <c r="AB790" s="614">
        <f>SUMIFS(F765:F784,C765:C784,"D",H765:H784,"dubultā virsma", Q765:Q784,"Nepiederošs")</f>
        <v>0</v>
      </c>
      <c r="AC790" s="614">
        <f>SUMIFS(F765:F784,C765:C784,"D",H765:H784,"bruģis", Q765:Q784,"Nepiederošs")</f>
        <v>0</v>
      </c>
      <c r="AD790" s="614">
        <f>SUMIFS(F765:F784,C765:C784,"D",H765:H784,"grants", Q765:Q784,"Nepiederošs")</f>
        <v>0.58600000000000008</v>
      </c>
      <c r="AE790" s="614">
        <f>SUMIFS(F765:F784,C765:C784,"D",H765:H784,"cits segums", Q765:Q784,"Nepiederošs")</f>
        <v>0</v>
      </c>
      <c r="AF790" s="614">
        <f t="shared" si="191"/>
        <v>0.58600000000000008</v>
      </c>
    </row>
    <row r="791" spans="1:32" ht="15" x14ac:dyDescent="0.25">
      <c r="C791" s="33"/>
      <c r="S791" s="637"/>
      <c r="T791" s="629">
        <f>SUM(T787:T790)</f>
        <v>1.2090000000000001</v>
      </c>
      <c r="U791" s="629">
        <f t="shared" ref="U791" si="192">SUM(U787:U790)</f>
        <v>0</v>
      </c>
      <c r="V791" s="629">
        <f t="shared" ref="V791" si="193">SUM(V787:V790)</f>
        <v>0</v>
      </c>
      <c r="W791" s="629">
        <f t="shared" ref="W791" si="194">SUM(W787:W790)</f>
        <v>1.5149999999999999</v>
      </c>
      <c r="X791" s="629">
        <f t="shared" ref="X791" si="195">SUM(X787:X790)</f>
        <v>0.42700000000000005</v>
      </c>
      <c r="Y791" s="629">
        <f t="shared" ref="Y791" si="196">SUM(Y787:Y790)</f>
        <v>3.1510000000000002</v>
      </c>
      <c r="Z791"/>
      <c r="AA791" s="629">
        <f>SUM(AA787:AA790)</f>
        <v>0</v>
      </c>
      <c r="AB791" s="629">
        <f t="shared" ref="AB791" si="197">SUM(AB787:AB790)</f>
        <v>0</v>
      </c>
      <c r="AC791" s="629">
        <f>SUM(AC787:AC790)</f>
        <v>0</v>
      </c>
      <c r="AD791" s="629">
        <f t="shared" ref="AD791" si="198">SUM(AD787:AD790)</f>
        <v>0.58600000000000008</v>
      </c>
      <c r="AE791" s="629">
        <f t="shared" ref="AE791" si="199">SUM(AE787:AE790)</f>
        <v>0</v>
      </c>
      <c r="AF791" s="629">
        <f t="shared" ref="AF791" si="200">SUM(AF787:AF790)</f>
        <v>0.58600000000000008</v>
      </c>
    </row>
    <row r="792" spans="1:32" s="38" customFormat="1" ht="15" customHeight="1" x14ac:dyDescent="0.25">
      <c r="A792" s="33"/>
      <c r="C792" s="487"/>
      <c r="D792" s="813" t="s">
        <v>1079</v>
      </c>
      <c r="E792" s="813"/>
      <c r="F792" s="813"/>
      <c r="G792" s="813"/>
      <c r="H792" s="813"/>
      <c r="I792" s="813"/>
      <c r="J792" s="813"/>
      <c r="K792" s="813"/>
      <c r="L792" s="813"/>
      <c r="M792" s="813"/>
      <c r="N792" s="813"/>
      <c r="O792" s="813"/>
      <c r="P792" s="813"/>
      <c r="Q792" s="30"/>
      <c r="R792" s="37"/>
    </row>
    <row r="793" spans="1:32" ht="12.75" customHeight="1" x14ac:dyDescent="0.2">
      <c r="A793" s="818" t="s">
        <v>244</v>
      </c>
      <c r="B793" s="825" t="s">
        <v>388</v>
      </c>
      <c r="C793" s="482"/>
      <c r="D793" s="826" t="s">
        <v>246</v>
      </c>
      <c r="E793" s="827"/>
      <c r="F793" s="827"/>
      <c r="G793" s="827"/>
      <c r="H793" s="827"/>
      <c r="I793" s="827"/>
      <c r="J793" s="827"/>
      <c r="K793" s="827"/>
      <c r="L793" s="827"/>
      <c r="M793" s="827"/>
      <c r="N793" s="827"/>
      <c r="O793" s="827"/>
      <c r="P793" s="828"/>
      <c r="Q793" s="821" t="s">
        <v>247</v>
      </c>
      <c r="R793" s="822"/>
    </row>
    <row r="794" spans="1:32" ht="12.75" customHeight="1" x14ac:dyDescent="0.2">
      <c r="A794" s="818"/>
      <c r="B794" s="825"/>
      <c r="C794" s="410"/>
      <c r="D794" s="816" t="s">
        <v>389</v>
      </c>
      <c r="E794" s="816"/>
      <c r="F794" s="816"/>
      <c r="G794" s="816"/>
      <c r="H794" s="816"/>
      <c r="I794" s="814" t="s">
        <v>249</v>
      </c>
      <c r="J794" s="814"/>
      <c r="K794" s="814"/>
      <c r="L794" s="814"/>
      <c r="M794" s="814"/>
      <c r="N794" s="814"/>
      <c r="O794" s="814"/>
      <c r="P794" s="815" t="s">
        <v>250</v>
      </c>
      <c r="Q794" s="823"/>
      <c r="R794" s="824"/>
    </row>
    <row r="795" spans="1:32" ht="15.2" customHeight="1" x14ac:dyDescent="0.2">
      <c r="A795" s="818"/>
      <c r="B795" s="825"/>
      <c r="C795" s="410"/>
      <c r="D795" s="816" t="s">
        <v>251</v>
      </c>
      <c r="E795" s="816"/>
      <c r="F795" s="817" t="s">
        <v>252</v>
      </c>
      <c r="G795" s="817" t="s">
        <v>257</v>
      </c>
      <c r="H795" s="818" t="s">
        <v>253</v>
      </c>
      <c r="I795" s="819" t="s">
        <v>254</v>
      </c>
      <c r="J795" s="814" t="s">
        <v>255</v>
      </c>
      <c r="K795" s="814"/>
      <c r="L795" s="820" t="s">
        <v>256</v>
      </c>
      <c r="M795" s="820" t="s">
        <v>257</v>
      </c>
      <c r="N795" s="820" t="s">
        <v>258</v>
      </c>
      <c r="O795" s="820" t="s">
        <v>259</v>
      </c>
      <c r="P795" s="809"/>
      <c r="Q795" s="809" t="s">
        <v>260</v>
      </c>
      <c r="R795" s="811" t="s">
        <v>261</v>
      </c>
    </row>
    <row r="796" spans="1:32" ht="33.75" customHeight="1" x14ac:dyDescent="0.2">
      <c r="A796" s="818"/>
      <c r="B796" s="825"/>
      <c r="C796" s="432" t="s">
        <v>844</v>
      </c>
      <c r="D796" s="95" t="s">
        <v>262</v>
      </c>
      <c r="E796" s="95" t="s">
        <v>263</v>
      </c>
      <c r="F796" s="817"/>
      <c r="G796" s="817"/>
      <c r="H796" s="818"/>
      <c r="I796" s="819"/>
      <c r="J796" s="96" t="s">
        <v>231</v>
      </c>
      <c r="K796" s="96" t="s">
        <v>264</v>
      </c>
      <c r="L796" s="820"/>
      <c r="M796" s="820"/>
      <c r="N796" s="820"/>
      <c r="O796" s="820"/>
      <c r="P796" s="810"/>
      <c r="Q796" s="810"/>
      <c r="R796" s="812"/>
    </row>
    <row r="797" spans="1:32" s="99" customFormat="1" ht="12" customHeight="1" x14ac:dyDescent="0.25">
      <c r="A797" s="200">
        <v>1</v>
      </c>
      <c r="B797" s="200">
        <v>2</v>
      </c>
      <c r="C797" s="200"/>
      <c r="D797" s="200">
        <v>3</v>
      </c>
      <c r="E797" s="200">
        <v>4</v>
      </c>
      <c r="F797" s="200">
        <v>5</v>
      </c>
      <c r="G797" s="200">
        <v>6</v>
      </c>
      <c r="H797" s="200">
        <v>7</v>
      </c>
      <c r="I797" s="201">
        <v>8</v>
      </c>
      <c r="J797" s="201">
        <v>9</v>
      </c>
      <c r="K797" s="201">
        <v>10</v>
      </c>
      <c r="L797" s="201">
        <v>11</v>
      </c>
      <c r="M797" s="201">
        <v>12</v>
      </c>
      <c r="N797" s="201">
        <v>13</v>
      </c>
      <c r="O797" s="201">
        <v>14</v>
      </c>
      <c r="P797" s="201">
        <v>15</v>
      </c>
      <c r="Q797" s="201">
        <v>16</v>
      </c>
      <c r="R797" s="200">
        <v>17</v>
      </c>
    </row>
    <row r="798" spans="1:32" x14ac:dyDescent="0.2">
      <c r="A798" s="175">
        <v>1</v>
      </c>
      <c r="B798" s="177" t="s">
        <v>165</v>
      </c>
      <c r="C798" s="175" t="s">
        <v>846</v>
      </c>
      <c r="D798" s="259">
        <v>0</v>
      </c>
      <c r="E798" s="259">
        <v>0.15</v>
      </c>
      <c r="F798" s="269">
        <v>0.15</v>
      </c>
      <c r="G798" s="257">
        <v>450</v>
      </c>
      <c r="H798" s="177" t="s">
        <v>0</v>
      </c>
      <c r="I798" s="254"/>
      <c r="J798" s="255"/>
      <c r="K798" s="255"/>
      <c r="L798" s="255"/>
      <c r="M798" s="255"/>
      <c r="N798" s="255"/>
      <c r="O798" s="255"/>
      <c r="P798" s="255"/>
      <c r="Q798" s="261">
        <v>80640020842</v>
      </c>
      <c r="R798" s="262">
        <v>80640020832</v>
      </c>
    </row>
    <row r="799" spans="1:32" x14ac:dyDescent="0.2">
      <c r="A799" s="175">
        <v>2</v>
      </c>
      <c r="B799" s="177" t="s">
        <v>604</v>
      </c>
      <c r="C799" s="175" t="s">
        <v>846</v>
      </c>
      <c r="D799" s="259">
        <v>0</v>
      </c>
      <c r="E799" s="259">
        <v>0.28999999999999998</v>
      </c>
      <c r="F799" s="269">
        <v>0.28999999999999998</v>
      </c>
      <c r="G799" s="257">
        <v>870</v>
      </c>
      <c r="H799" s="177" t="s">
        <v>0</v>
      </c>
      <c r="I799" s="254"/>
      <c r="J799" s="255"/>
      <c r="K799" s="255"/>
      <c r="L799" s="255"/>
      <c r="M799" s="255"/>
      <c r="N799" s="255"/>
      <c r="O799" s="255"/>
      <c r="P799" s="255"/>
      <c r="Q799" s="261">
        <v>80640020854</v>
      </c>
      <c r="R799" s="262">
        <v>80640020831</v>
      </c>
    </row>
    <row r="800" spans="1:32" x14ac:dyDescent="0.2">
      <c r="A800" s="167">
        <v>3</v>
      </c>
      <c r="B800" s="297" t="s">
        <v>605</v>
      </c>
      <c r="C800" s="167" t="s">
        <v>846</v>
      </c>
      <c r="D800" s="259">
        <v>0</v>
      </c>
      <c r="E800" s="259">
        <v>0.22</v>
      </c>
      <c r="F800" s="269">
        <v>0.22</v>
      </c>
      <c r="G800" s="257">
        <v>660</v>
      </c>
      <c r="H800" s="177" t="s">
        <v>0</v>
      </c>
      <c r="I800" s="254"/>
      <c r="J800" s="255"/>
      <c r="K800" s="255"/>
      <c r="L800" s="255"/>
      <c r="M800" s="255"/>
      <c r="N800" s="255"/>
      <c r="O800" s="255"/>
      <c r="P800" s="255"/>
      <c r="Q800" s="261">
        <v>80640020851</v>
      </c>
      <c r="R800" s="262">
        <v>80640020826</v>
      </c>
    </row>
    <row r="801" spans="1:18" x14ac:dyDescent="0.2">
      <c r="A801" s="167">
        <v>4</v>
      </c>
      <c r="B801" s="298" t="s">
        <v>606</v>
      </c>
      <c r="C801" s="501" t="s">
        <v>846</v>
      </c>
      <c r="D801" s="296">
        <v>0</v>
      </c>
      <c r="E801" s="259">
        <v>0.18</v>
      </c>
      <c r="F801" s="269">
        <v>0.18</v>
      </c>
      <c r="G801" s="257">
        <v>540</v>
      </c>
      <c r="H801" s="177" t="s">
        <v>0</v>
      </c>
      <c r="I801" s="254"/>
      <c r="J801" s="255"/>
      <c r="K801" s="255"/>
      <c r="L801" s="255"/>
      <c r="M801" s="255"/>
      <c r="N801" s="255"/>
      <c r="O801" s="255"/>
      <c r="P801" s="255"/>
      <c r="Q801" s="261">
        <v>80640020849</v>
      </c>
      <c r="R801" s="262">
        <v>80640020823</v>
      </c>
    </row>
    <row r="802" spans="1:18" x14ac:dyDescent="0.2">
      <c r="A802" s="171"/>
      <c r="B802" s="303"/>
      <c r="C802" s="501" t="s">
        <v>846</v>
      </c>
      <c r="D802" s="296">
        <v>0.192</v>
      </c>
      <c r="E802" s="259">
        <v>0.442</v>
      </c>
      <c r="F802" s="269">
        <v>0.25</v>
      </c>
      <c r="G802" s="257">
        <v>750</v>
      </c>
      <c r="H802" s="177" t="s">
        <v>0</v>
      </c>
      <c r="I802" s="254"/>
      <c r="J802" s="255"/>
      <c r="K802" s="255"/>
      <c r="L802" s="255"/>
      <c r="M802" s="255"/>
      <c r="N802" s="255"/>
      <c r="O802" s="255"/>
      <c r="P802" s="255"/>
      <c r="Q802" s="261">
        <v>80640020849</v>
      </c>
      <c r="R802" s="262">
        <v>80640020825</v>
      </c>
    </row>
    <row r="803" spans="1:18" x14ac:dyDescent="0.2">
      <c r="A803" s="167">
        <v>5</v>
      </c>
      <c r="B803" s="298" t="s">
        <v>193</v>
      </c>
      <c r="C803" s="501" t="s">
        <v>846</v>
      </c>
      <c r="D803" s="296">
        <v>0</v>
      </c>
      <c r="E803" s="259">
        <v>0.24</v>
      </c>
      <c r="F803" s="269">
        <v>0.24</v>
      </c>
      <c r="G803" s="257">
        <v>720</v>
      </c>
      <c r="H803" s="177" t="s">
        <v>0</v>
      </c>
      <c r="I803" s="254"/>
      <c r="J803" s="255"/>
      <c r="K803" s="255"/>
      <c r="L803" s="255"/>
      <c r="M803" s="255"/>
      <c r="N803" s="255"/>
      <c r="O803" s="255"/>
      <c r="P803" s="255"/>
      <c r="Q803" s="261">
        <v>80640020843</v>
      </c>
      <c r="R803" s="262">
        <v>80640020819</v>
      </c>
    </row>
    <row r="804" spans="1:18" x14ac:dyDescent="0.2">
      <c r="A804" s="173"/>
      <c r="B804" s="299"/>
      <c r="C804" s="501" t="s">
        <v>846</v>
      </c>
      <c r="D804" s="296">
        <v>0.249</v>
      </c>
      <c r="E804" s="259">
        <v>0.52900000000000003</v>
      </c>
      <c r="F804" s="269">
        <v>0.28000000000000003</v>
      </c>
      <c r="G804" s="257">
        <v>840</v>
      </c>
      <c r="H804" s="177" t="s">
        <v>0</v>
      </c>
      <c r="I804" s="254"/>
      <c r="J804" s="255"/>
      <c r="K804" s="255"/>
      <c r="L804" s="255"/>
      <c r="M804" s="255"/>
      <c r="N804" s="255"/>
      <c r="O804" s="255"/>
      <c r="P804" s="255"/>
      <c r="Q804" s="261">
        <v>80640020843</v>
      </c>
      <c r="R804" s="262">
        <v>80640020818</v>
      </c>
    </row>
    <row r="805" spans="1:18" x14ac:dyDescent="0.2">
      <c r="A805" s="171"/>
      <c r="B805" s="179" t="s">
        <v>198</v>
      </c>
      <c r="C805" s="501" t="s">
        <v>846</v>
      </c>
      <c r="D805" s="259">
        <v>0</v>
      </c>
      <c r="E805" s="259">
        <v>9.7000000000000003E-2</v>
      </c>
      <c r="F805" s="269">
        <v>9.7000000000000003E-2</v>
      </c>
      <c r="G805" s="257">
        <v>243</v>
      </c>
      <c r="H805" s="240" t="s">
        <v>325</v>
      </c>
      <c r="I805" s="254"/>
      <c r="J805" s="255"/>
      <c r="K805" s="255"/>
      <c r="L805" s="255"/>
      <c r="M805" s="255"/>
      <c r="N805" s="255"/>
      <c r="O805" s="255"/>
      <c r="P805" s="255"/>
      <c r="Q805" s="261">
        <v>80640020833</v>
      </c>
      <c r="R805" s="262">
        <v>80640020833</v>
      </c>
    </row>
    <row r="806" spans="1:18" x14ac:dyDescent="0.2">
      <c r="A806" s="167">
        <v>6</v>
      </c>
      <c r="B806" s="298" t="s">
        <v>173</v>
      </c>
      <c r="C806" s="501" t="s">
        <v>846</v>
      </c>
      <c r="D806" s="296">
        <v>0</v>
      </c>
      <c r="E806" s="259">
        <v>0.28000000000000003</v>
      </c>
      <c r="F806" s="269">
        <v>0.28000000000000003</v>
      </c>
      <c r="G806" s="257">
        <v>840</v>
      </c>
      <c r="H806" s="177" t="s">
        <v>0</v>
      </c>
      <c r="I806" s="254"/>
      <c r="J806" s="255"/>
      <c r="K806" s="255"/>
      <c r="L806" s="255"/>
      <c r="M806" s="255"/>
      <c r="N806" s="255"/>
      <c r="O806" s="255"/>
      <c r="P806" s="255"/>
      <c r="Q806" s="261">
        <v>80640020847</v>
      </c>
      <c r="R806" s="262">
        <v>80640020822</v>
      </c>
    </row>
    <row r="807" spans="1:18" x14ac:dyDescent="0.2">
      <c r="A807" s="173"/>
      <c r="B807" s="299"/>
      <c r="C807" s="501" t="s">
        <v>846</v>
      </c>
      <c r="D807" s="296">
        <v>0.28999999999999998</v>
      </c>
      <c r="E807" s="259">
        <v>0.56999999999999995</v>
      </c>
      <c r="F807" s="269">
        <v>0.28000000000000003</v>
      </c>
      <c r="G807" s="257">
        <v>840</v>
      </c>
      <c r="H807" s="177" t="s">
        <v>0</v>
      </c>
      <c r="I807" s="254"/>
      <c r="J807" s="255"/>
      <c r="K807" s="255"/>
      <c r="L807" s="255"/>
      <c r="M807" s="255"/>
      <c r="N807" s="255"/>
      <c r="O807" s="255"/>
      <c r="P807" s="255"/>
      <c r="Q807" s="261">
        <v>80640020847</v>
      </c>
      <c r="R807" s="262">
        <v>80640020824</v>
      </c>
    </row>
    <row r="808" spans="1:18" x14ac:dyDescent="0.2">
      <c r="A808" s="171">
        <v>7</v>
      </c>
      <c r="B808" s="179" t="s">
        <v>607</v>
      </c>
      <c r="C808" s="501" t="s">
        <v>846</v>
      </c>
      <c r="D808" s="259">
        <v>0</v>
      </c>
      <c r="E808" s="259">
        <v>0.87</v>
      </c>
      <c r="F808" s="269">
        <v>0.87</v>
      </c>
      <c r="G808" s="257">
        <v>4350</v>
      </c>
      <c r="H808" s="177" t="s">
        <v>0</v>
      </c>
      <c r="I808" s="254"/>
      <c r="J808" s="255"/>
      <c r="K808" s="255"/>
      <c r="L808" s="255"/>
      <c r="M808" s="255"/>
      <c r="N808" s="255"/>
      <c r="O808" s="255"/>
      <c r="P808" s="255"/>
      <c r="Q808" s="261">
        <v>80640020855</v>
      </c>
      <c r="R808" s="262">
        <v>80640020835</v>
      </c>
    </row>
    <row r="809" spans="1:18" x14ac:dyDescent="0.2">
      <c r="A809" s="167">
        <v>8</v>
      </c>
      <c r="B809" s="298" t="s">
        <v>608</v>
      </c>
      <c r="C809" s="501" t="s">
        <v>846</v>
      </c>
      <c r="D809" s="296">
        <v>0</v>
      </c>
      <c r="E809" s="259">
        <v>0.25</v>
      </c>
      <c r="F809" s="269">
        <v>0.25</v>
      </c>
      <c r="G809" s="257">
        <v>750</v>
      </c>
      <c r="H809" s="177" t="s">
        <v>0</v>
      </c>
      <c r="I809" s="254"/>
      <c r="J809" s="255"/>
      <c r="K809" s="255"/>
      <c r="L809" s="255"/>
      <c r="M809" s="255"/>
      <c r="N809" s="255"/>
      <c r="O809" s="255"/>
      <c r="P809" s="255"/>
      <c r="Q809" s="261">
        <v>80640020839</v>
      </c>
      <c r="R809" s="262">
        <v>80640020814</v>
      </c>
    </row>
    <row r="810" spans="1:18" x14ac:dyDescent="0.2">
      <c r="A810" s="171"/>
      <c r="B810" s="303"/>
      <c r="C810" s="501" t="s">
        <v>846</v>
      </c>
      <c r="D810" s="296">
        <v>0.25900000000000001</v>
      </c>
      <c r="E810" s="259">
        <v>0.40899999999999997</v>
      </c>
      <c r="F810" s="269">
        <v>0.15</v>
      </c>
      <c r="G810" s="257">
        <v>450</v>
      </c>
      <c r="H810" s="177" t="s">
        <v>0</v>
      </c>
      <c r="I810" s="254"/>
      <c r="J810" s="255"/>
      <c r="K810" s="255"/>
      <c r="L810" s="255"/>
      <c r="M810" s="255"/>
      <c r="N810" s="255"/>
      <c r="O810" s="255"/>
      <c r="P810" s="255"/>
      <c r="Q810" s="261">
        <v>80640020839</v>
      </c>
      <c r="R810" s="262">
        <v>80640020815</v>
      </c>
    </row>
    <row r="811" spans="1:18" x14ac:dyDescent="0.2">
      <c r="A811" s="167">
        <v>9</v>
      </c>
      <c r="B811" s="298" t="s">
        <v>195</v>
      </c>
      <c r="C811" s="501" t="s">
        <v>846</v>
      </c>
      <c r="D811" s="296">
        <v>0</v>
      </c>
      <c r="E811" s="259">
        <v>0.26</v>
      </c>
      <c r="F811" s="269">
        <v>0.26</v>
      </c>
      <c r="G811" s="257">
        <v>780</v>
      </c>
      <c r="H811" s="177" t="s">
        <v>0</v>
      </c>
      <c r="I811" s="254"/>
      <c r="J811" s="255"/>
      <c r="K811" s="255"/>
      <c r="L811" s="255"/>
      <c r="M811" s="255"/>
      <c r="N811" s="255"/>
      <c r="O811" s="255"/>
      <c r="P811" s="255"/>
      <c r="Q811" s="261">
        <v>80640020841</v>
      </c>
      <c r="R811" s="262">
        <v>80640020816</v>
      </c>
    </row>
    <row r="812" spans="1:18" x14ac:dyDescent="0.2">
      <c r="A812" s="171"/>
      <c r="B812" s="303"/>
      <c r="C812" s="501" t="s">
        <v>846</v>
      </c>
      <c r="D812" s="296">
        <v>0.26900000000000002</v>
      </c>
      <c r="E812" s="259">
        <v>0.45900000000000002</v>
      </c>
      <c r="F812" s="269">
        <v>0.19</v>
      </c>
      <c r="G812" s="257">
        <v>570</v>
      </c>
      <c r="H812" s="177" t="s">
        <v>0</v>
      </c>
      <c r="I812" s="254"/>
      <c r="J812" s="255"/>
      <c r="K812" s="255"/>
      <c r="L812" s="255"/>
      <c r="M812" s="255"/>
      <c r="N812" s="255"/>
      <c r="O812" s="255"/>
      <c r="P812" s="255"/>
      <c r="Q812" s="261">
        <v>80640020841</v>
      </c>
      <c r="R812" s="262">
        <v>80640020817</v>
      </c>
    </row>
    <row r="813" spans="1:18" x14ac:dyDescent="0.2">
      <c r="A813" s="167">
        <v>10</v>
      </c>
      <c r="B813" s="298" t="s">
        <v>609</v>
      </c>
      <c r="C813" s="501" t="s">
        <v>846</v>
      </c>
      <c r="D813" s="296">
        <v>0</v>
      </c>
      <c r="E813" s="259">
        <v>0.28000000000000003</v>
      </c>
      <c r="F813" s="269">
        <v>0.28000000000000003</v>
      </c>
      <c r="G813" s="257">
        <v>840</v>
      </c>
      <c r="H813" s="177" t="s">
        <v>0</v>
      </c>
      <c r="I813" s="254"/>
      <c r="J813" s="255"/>
      <c r="K813" s="255"/>
      <c r="L813" s="255"/>
      <c r="M813" s="255"/>
      <c r="N813" s="255"/>
      <c r="O813" s="255"/>
      <c r="P813" s="255"/>
      <c r="Q813" s="261">
        <v>80640020845</v>
      </c>
      <c r="R813" s="262">
        <v>80640020820</v>
      </c>
    </row>
    <row r="814" spans="1:18" x14ac:dyDescent="0.2">
      <c r="A814" s="173"/>
      <c r="B814" s="299"/>
      <c r="C814" s="501" t="s">
        <v>846</v>
      </c>
      <c r="D814" s="296">
        <v>0.28999999999999998</v>
      </c>
      <c r="E814" s="259">
        <v>0.56999999999999995</v>
      </c>
      <c r="F814" s="269">
        <v>0.28000000000000003</v>
      </c>
      <c r="G814" s="257">
        <v>840</v>
      </c>
      <c r="H814" s="177" t="s">
        <v>0</v>
      </c>
      <c r="I814" s="254"/>
      <c r="J814" s="255"/>
      <c r="K814" s="255"/>
      <c r="L814" s="255"/>
      <c r="M814" s="255"/>
      <c r="N814" s="255"/>
      <c r="O814" s="255"/>
      <c r="P814" s="255"/>
      <c r="Q814" s="261">
        <v>80640020845</v>
      </c>
      <c r="R814" s="262">
        <v>80640020821</v>
      </c>
    </row>
    <row r="815" spans="1:18" x14ac:dyDescent="0.2">
      <c r="A815" s="173">
        <v>11</v>
      </c>
      <c r="B815" s="202" t="s">
        <v>177</v>
      </c>
      <c r="C815" s="175" t="s">
        <v>846</v>
      </c>
      <c r="D815" s="259">
        <v>0</v>
      </c>
      <c r="E815" s="259">
        <v>0.83</v>
      </c>
      <c r="F815" s="269">
        <v>0.83</v>
      </c>
      <c r="G815" s="257">
        <v>2490</v>
      </c>
      <c r="H815" s="177" t="s">
        <v>0</v>
      </c>
      <c r="I815" s="254"/>
      <c r="J815" s="255"/>
      <c r="K815" s="255"/>
      <c r="L815" s="255"/>
      <c r="M815" s="255"/>
      <c r="N815" s="255"/>
      <c r="O815" s="255"/>
      <c r="P815" s="255"/>
      <c r="Q815" s="261">
        <v>80640020836</v>
      </c>
      <c r="R815" s="262">
        <v>80640020811</v>
      </c>
    </row>
    <row r="816" spans="1:18" x14ac:dyDescent="0.2">
      <c r="A816" s="175">
        <v>12</v>
      </c>
      <c r="B816" s="177" t="s">
        <v>610</v>
      </c>
      <c r="C816" s="173" t="s">
        <v>846</v>
      </c>
      <c r="D816" s="259">
        <v>0</v>
      </c>
      <c r="E816" s="259">
        <v>0.53</v>
      </c>
      <c r="F816" s="269">
        <v>0.53</v>
      </c>
      <c r="G816" s="257">
        <v>1590</v>
      </c>
      <c r="H816" s="177" t="s">
        <v>0</v>
      </c>
      <c r="I816" s="254"/>
      <c r="J816" s="255"/>
      <c r="K816" s="255"/>
      <c r="L816" s="255"/>
      <c r="M816" s="255"/>
      <c r="N816" s="255"/>
      <c r="O816" s="255"/>
      <c r="P816" s="255"/>
      <c r="Q816" s="261">
        <v>80640020837</v>
      </c>
      <c r="R816" s="262">
        <v>80640020812</v>
      </c>
    </row>
    <row r="817" spans="1:32" x14ac:dyDescent="0.2">
      <c r="A817" s="175">
        <v>13</v>
      </c>
      <c r="B817" s="177" t="s">
        <v>196</v>
      </c>
      <c r="C817" s="173" t="s">
        <v>846</v>
      </c>
      <c r="D817" s="259">
        <v>0</v>
      </c>
      <c r="E817" s="259">
        <v>0.2</v>
      </c>
      <c r="F817" s="269">
        <v>0.2</v>
      </c>
      <c r="G817" s="257">
        <v>600</v>
      </c>
      <c r="H817" s="177" t="s">
        <v>0</v>
      </c>
      <c r="I817" s="254"/>
      <c r="J817" s="255"/>
      <c r="K817" s="255"/>
      <c r="L817" s="255"/>
      <c r="M817" s="255"/>
      <c r="N817" s="255"/>
      <c r="O817" s="255"/>
      <c r="P817" s="255"/>
      <c r="Q817" s="261">
        <v>80640020853</v>
      </c>
      <c r="R817" s="262">
        <v>80640020828</v>
      </c>
    </row>
    <row r="818" spans="1:32" x14ac:dyDescent="0.2">
      <c r="A818" s="175">
        <v>14</v>
      </c>
      <c r="B818" s="177" t="s">
        <v>611</v>
      </c>
      <c r="C818" s="173" t="s">
        <v>846</v>
      </c>
      <c r="D818" s="259">
        <v>0</v>
      </c>
      <c r="E818" s="259">
        <v>0.24</v>
      </c>
      <c r="F818" s="269">
        <v>0.24</v>
      </c>
      <c r="G818" s="257">
        <v>720</v>
      </c>
      <c r="H818" s="177" t="s">
        <v>0</v>
      </c>
      <c r="I818" s="254"/>
      <c r="J818" s="255"/>
      <c r="K818" s="255"/>
      <c r="L818" s="255"/>
      <c r="M818" s="255"/>
      <c r="N818" s="255"/>
      <c r="O818" s="255"/>
      <c r="P818" s="255"/>
      <c r="Q818" s="261">
        <v>80640020838</v>
      </c>
      <c r="R818" s="262">
        <v>80640020813</v>
      </c>
    </row>
    <row r="819" spans="1:32" ht="15" x14ac:dyDescent="0.25">
      <c r="A819" s="175">
        <v>15</v>
      </c>
      <c r="B819" s="177" t="s">
        <v>9</v>
      </c>
      <c r="C819" s="173" t="s">
        <v>846</v>
      </c>
      <c r="D819" s="259">
        <v>0</v>
      </c>
      <c r="E819" s="259">
        <v>0.18</v>
      </c>
      <c r="F819" s="269">
        <v>0.18</v>
      </c>
      <c r="G819" s="257">
        <v>540</v>
      </c>
      <c r="H819" s="177" t="s">
        <v>0</v>
      </c>
      <c r="I819" s="254"/>
      <c r="J819" s="255"/>
      <c r="K819" s="255"/>
      <c r="L819" s="255"/>
      <c r="M819" s="255"/>
      <c r="N819" s="255"/>
      <c r="O819" s="255"/>
      <c r="P819" s="255"/>
      <c r="Q819" s="261">
        <v>80640020852</v>
      </c>
      <c r="R819" s="262">
        <v>80640020827</v>
      </c>
      <c r="S819"/>
      <c r="T819"/>
      <c r="U819"/>
      <c r="V819"/>
      <c r="W819"/>
      <c r="X819"/>
      <c r="Y819"/>
      <c r="Z819"/>
      <c r="AA819" t="s">
        <v>1097</v>
      </c>
      <c r="AB819"/>
      <c r="AC819"/>
      <c r="AD819"/>
      <c r="AE819"/>
      <c r="AF819"/>
    </row>
    <row r="820" spans="1:32" ht="22.5" x14ac:dyDescent="0.2">
      <c r="C820" s="33"/>
      <c r="S820" s="102"/>
      <c r="T820" s="625" t="s">
        <v>1092</v>
      </c>
      <c r="U820" s="625" t="s">
        <v>1093</v>
      </c>
      <c r="V820" s="625" t="s">
        <v>1094</v>
      </c>
      <c r="W820" s="625" t="s">
        <v>1095</v>
      </c>
      <c r="X820" s="625" t="s">
        <v>1096</v>
      </c>
      <c r="Y820" s="627" t="s">
        <v>269</v>
      </c>
      <c r="Z820" s="102"/>
      <c r="AA820" s="625" t="s">
        <v>1092</v>
      </c>
      <c r="AB820" s="625" t="s">
        <v>1093</v>
      </c>
      <c r="AC820" s="625" t="s">
        <v>1094</v>
      </c>
      <c r="AD820" s="625" t="s">
        <v>1095</v>
      </c>
      <c r="AE820" s="625" t="s">
        <v>1096</v>
      </c>
      <c r="AF820" s="627" t="s">
        <v>269</v>
      </c>
    </row>
    <row r="821" spans="1:32" ht="12.75" customHeight="1" x14ac:dyDescent="0.2">
      <c r="A821" s="137" t="s">
        <v>612</v>
      </c>
      <c r="B821" s="138"/>
      <c r="C821" s="485"/>
      <c r="D821" s="139"/>
      <c r="E821" s="140"/>
      <c r="F821" s="141">
        <f>SUM(F798:F819)</f>
        <v>6.5270000000000001</v>
      </c>
      <c r="G821" s="265">
        <f>SUM(G798:G819)</f>
        <v>21273</v>
      </c>
      <c r="H821" s="143"/>
      <c r="I821" s="94"/>
      <c r="J821" s="144"/>
      <c r="K821" s="145" t="s">
        <v>268</v>
      </c>
      <c r="L821" s="265">
        <f>SUM(L798:L819)</f>
        <v>0</v>
      </c>
      <c r="M821" s="265">
        <f>SUM(M798:M819)</f>
        <v>0</v>
      </c>
      <c r="N821" s="147"/>
      <c r="O821" s="145" t="s">
        <v>269</v>
      </c>
      <c r="P821" s="265">
        <f>SUM(P798:P819)</f>
        <v>0</v>
      </c>
      <c r="Q821" s="147"/>
      <c r="R821" s="147"/>
      <c r="S821" s="628" t="s">
        <v>844</v>
      </c>
      <c r="T821" s="625" t="s">
        <v>231</v>
      </c>
      <c r="U821" s="625" t="s">
        <v>231</v>
      </c>
      <c r="V821" s="625" t="s">
        <v>231</v>
      </c>
      <c r="W821" s="625" t="s">
        <v>231</v>
      </c>
      <c r="X821" s="625" t="s">
        <v>231</v>
      </c>
      <c r="Y821" s="626" t="s">
        <v>231</v>
      </c>
      <c r="Z821" s="628"/>
      <c r="AA821" s="625" t="s">
        <v>231</v>
      </c>
      <c r="AB821" s="625" t="s">
        <v>231</v>
      </c>
      <c r="AC821" s="625" t="s">
        <v>231</v>
      </c>
      <c r="AD821" s="625" t="s">
        <v>231</v>
      </c>
      <c r="AE821" s="625" t="s">
        <v>231</v>
      </c>
      <c r="AF821" s="626" t="s">
        <v>231</v>
      </c>
    </row>
    <row r="822" spans="1:32" ht="12.75" customHeight="1" x14ac:dyDescent="0.2">
      <c r="A822" s="148" t="s">
        <v>270</v>
      </c>
      <c r="B822" s="149"/>
      <c r="C822" s="486"/>
      <c r="D822" s="150"/>
      <c r="E822" s="151"/>
      <c r="F822" s="163">
        <f>SUMIFS(F798:F819,H798:H819,"melnais")</f>
        <v>0</v>
      </c>
      <c r="G822" s="266">
        <f>SUMIFS(G798:G819,H798:H819,"melnais")</f>
        <v>0</v>
      </c>
      <c r="H822" s="154"/>
      <c r="I822" s="155"/>
      <c r="J822" s="147"/>
      <c r="K822" s="136"/>
      <c r="L822" s="156"/>
      <c r="M822" s="156"/>
      <c r="N822" s="147"/>
      <c r="O822" s="147"/>
      <c r="P822" s="147"/>
      <c r="Q822" s="147"/>
      <c r="R822" s="147"/>
      <c r="S822" s="616" t="s">
        <v>847</v>
      </c>
      <c r="T822" s="614">
        <f>SUMIFS(F785:F819,C785:C819,"A",H785:H819,"melnais")</f>
        <v>0</v>
      </c>
      <c r="U822" s="614">
        <f>SUMIFS(F785:F819,C785:C819,"A",H785:H819,"dubultā virsma")</f>
        <v>0</v>
      </c>
      <c r="V822" s="614">
        <f>SUMIFS(F785:F819,C785:C819,"A",H785:H819,"bruģis")</f>
        <v>0</v>
      </c>
      <c r="W822" s="614">
        <f>SUMIFS(F785:F819,C785:C819,"A",H785:H819,"grants")</f>
        <v>0</v>
      </c>
      <c r="X822" s="614">
        <f>SUMIFS(F785:F819,C785:C819,"A",H785:H819,"cits segums")</f>
        <v>0</v>
      </c>
      <c r="Y822" s="614">
        <f>SUM(T822:X822)</f>
        <v>0</v>
      </c>
      <c r="Z822" s="616" t="s">
        <v>847</v>
      </c>
      <c r="AA822" s="614">
        <f>SUMIFS(F785:F819,C785:C819,"A",H785:H819,"melnais", Q785:Q819,"Nepiederošs")</f>
        <v>0</v>
      </c>
      <c r="AB822" s="614">
        <f>SUMIFS(F785:F819,C785:C819,"A",H785:H819,"dubultā virsma", Q785:Q819,"Nepiederošs")</f>
        <v>0</v>
      </c>
      <c r="AC822" s="614">
        <f>SUMIFS(F785:F819,C785:C819,"A",H785:H819,"bruģis", Q785:Q819,"Nepiederošs")</f>
        <v>0</v>
      </c>
      <c r="AD822" s="614">
        <f>SUMIFS(F785:F819,C785:C819,"A",H785:H819,"grants", Q785:Q819,"Nepiederošs")</f>
        <v>0</v>
      </c>
      <c r="AE822" s="614">
        <f>SUMIFS(F785:F819,C785:C819,"A",H785:H819,"cits segums", Q785:Q819,"Nepiederošs")</f>
        <v>0</v>
      </c>
      <c r="AF822" s="614">
        <f>SUM(AA822:AE822)</f>
        <v>0</v>
      </c>
    </row>
    <row r="823" spans="1:32" ht="12.75" customHeight="1" x14ac:dyDescent="0.2">
      <c r="A823" s="148" t="s">
        <v>271</v>
      </c>
      <c r="B823" s="149"/>
      <c r="C823" s="486"/>
      <c r="D823" s="150"/>
      <c r="E823" s="151"/>
      <c r="F823" s="163">
        <f>SUMIFS(F798:F819,H798:H819,"bruģis")</f>
        <v>0</v>
      </c>
      <c r="G823" s="266">
        <f>SUMIFS(G798:G819,H798:H819,"bruģis")</f>
        <v>0</v>
      </c>
      <c r="H823" s="162"/>
      <c r="I823" s="94"/>
      <c r="J823" s="159"/>
      <c r="K823" s="160"/>
      <c r="L823" s="160"/>
      <c r="M823" s="160"/>
      <c r="N823" s="161"/>
      <c r="O823" s="147"/>
      <c r="P823" s="147"/>
      <c r="Q823" s="147"/>
      <c r="R823" s="147"/>
      <c r="S823" s="617" t="s">
        <v>848</v>
      </c>
      <c r="T823" s="614">
        <f>SUMIFS(F785:F819,C785:C819,"B",H785:H819,"melnais")</f>
        <v>0</v>
      </c>
      <c r="U823" s="614">
        <f>SUMIFS(F785:F819,C785:C819,"B",H785:H819,"dubultā virsma")</f>
        <v>0</v>
      </c>
      <c r="V823" s="614">
        <f>SUMIFS(F785:F819,C785:C819,"B",H785:H819,"bruģis")</f>
        <v>0</v>
      </c>
      <c r="W823" s="614">
        <f>SUMIFS(F785:F819,C785:C819,"B",H785:H819,"grants")</f>
        <v>0</v>
      </c>
      <c r="X823" s="614">
        <f>SUMIFS(F785:F819,C785:C819,"B",H785:H819,"cits segums")</f>
        <v>0</v>
      </c>
      <c r="Y823" s="614">
        <f t="shared" ref="Y823:Y825" si="201">SUM(T823:X823)</f>
        <v>0</v>
      </c>
      <c r="Z823" s="617" t="s">
        <v>848</v>
      </c>
      <c r="AA823" s="614">
        <f>SUMIFS(F785:F819,C785:C819,"B",H785:H819,"melnais", Q785:Q819,"Nepiederošs")</f>
        <v>0</v>
      </c>
      <c r="AB823" s="614">
        <f>SUMIFS(F785:F819,C785:C819,"B",H785:H819,"dubultā virsma", Q785:Q819,"Nepiederošs")</f>
        <v>0</v>
      </c>
      <c r="AC823" s="614">
        <f>SUMIFS(F785:F819,C785:C819,"B",H785:H819,"bruģis", Q785:Q819,"Nepiederošs")</f>
        <v>0</v>
      </c>
      <c r="AD823" s="614">
        <f>SUMIFS(F785:F819,C785:C819,"B",H785:H819,"grants", Q785:Q819,"Nepiederošs")</f>
        <v>0</v>
      </c>
      <c r="AE823" s="614">
        <f>SUMIFS(F785:F819,C785:C819,"B",H785:H819,"cits segums", Q785:Q819,"Nepiederošs")</f>
        <v>0</v>
      </c>
      <c r="AF823" s="614">
        <f t="shared" ref="AF823:AF825" si="202">SUM(AA823:AE823)</f>
        <v>0</v>
      </c>
    </row>
    <row r="824" spans="1:32" ht="12.75" customHeight="1" x14ac:dyDescent="0.2">
      <c r="A824" s="148" t="s">
        <v>272</v>
      </c>
      <c r="B824" s="149"/>
      <c r="C824" s="486"/>
      <c r="D824" s="150"/>
      <c r="E824" s="151"/>
      <c r="F824" s="163">
        <f>SUMIFS(F798:F819,H798:H819,"grants")</f>
        <v>6.4300000000000006</v>
      </c>
      <c r="G824" s="266">
        <f>SUMIFS(G798:G819,H798:H819,"grants")</f>
        <v>21030</v>
      </c>
      <c r="H824" s="162"/>
      <c r="I824" s="162"/>
      <c r="J824" s="159"/>
      <c r="K824" s="160"/>
      <c r="L824" s="160"/>
      <c r="M824" s="160"/>
      <c r="N824" s="161"/>
      <c r="O824" s="147"/>
      <c r="P824" s="147"/>
      <c r="Q824" s="147"/>
      <c r="R824" s="147"/>
      <c r="S824" s="615" t="s">
        <v>845</v>
      </c>
      <c r="T824" s="614">
        <f>SUMIFS(F785:F819,C785:C819,"C",H785:H819,"melnais")</f>
        <v>0</v>
      </c>
      <c r="U824" s="614">
        <f>SUMIFS(F785:F819,C785:C819,"C",H785:H819,"dubultā virsma")</f>
        <v>0</v>
      </c>
      <c r="V824" s="614">
        <f>SUMIFS(F785:F819,C785:C819,"C",H785:H819,"bruģis")</f>
        <v>0</v>
      </c>
      <c r="W824" s="614">
        <f>SUMIFS(F785:F819,C785:C819,"C",H785:H819,"grants")</f>
        <v>0</v>
      </c>
      <c r="X824" s="614">
        <f>SUMIFS(F785:F819,C785:C819,"C",H785:H819,"cits segums")</f>
        <v>0</v>
      </c>
      <c r="Y824" s="614">
        <f t="shared" si="201"/>
        <v>0</v>
      </c>
      <c r="Z824" s="615" t="s">
        <v>845</v>
      </c>
      <c r="AA824" s="614">
        <f>SUMIFS(F785:F819,C785:C819,"C",H785:H819,"melnais", Q785:Q819,"Nepiederošs")</f>
        <v>0</v>
      </c>
      <c r="AB824" s="614">
        <f>SUMIFS(F785:F819,C785:C819,"C",H785:H819,"dubultā virsma", Q785:Q819,"Nepiederošs")</f>
        <v>0</v>
      </c>
      <c r="AC824" s="614">
        <f>SUMIFS(F785:F819,C785:C819,"C",H785:H819,"bruģis", Q785:Q819,"Nepiederošs")</f>
        <v>0</v>
      </c>
      <c r="AD824" s="614">
        <f>SUMIFS(F785:F819,C785:C819,"C",H785:H819,"grants", Q785:Q819,"Nepiederošs")</f>
        <v>0</v>
      </c>
      <c r="AE824" s="614">
        <f>SUMIFS(F785:F819,C785:C819,"C",H785:H819,"cits segums", Q785:Q819,"Nepiederošs")</f>
        <v>0</v>
      </c>
      <c r="AF824" s="614">
        <f t="shared" si="202"/>
        <v>0</v>
      </c>
    </row>
    <row r="825" spans="1:32" ht="12.75" customHeight="1" x14ac:dyDescent="0.2">
      <c r="A825" s="148" t="s">
        <v>401</v>
      </c>
      <c r="B825" s="149"/>
      <c r="C825" s="486"/>
      <c r="D825" s="150"/>
      <c r="E825" s="151"/>
      <c r="F825" s="163">
        <f>SUMIFS(F798:F819,H798:H819,"cits segums")</f>
        <v>9.7000000000000003E-2</v>
      </c>
      <c r="G825" s="266">
        <f>SUMIFS(G798:G819,H798:H819,"cits segums")</f>
        <v>243</v>
      </c>
      <c r="H825" s="165"/>
      <c r="I825" s="162"/>
      <c r="J825" s="166"/>
      <c r="K825" s="160"/>
      <c r="L825" s="160"/>
      <c r="M825" s="160"/>
      <c r="N825" s="161"/>
      <c r="O825" s="147"/>
      <c r="P825" s="147"/>
      <c r="Q825" s="147"/>
      <c r="R825" s="147"/>
      <c r="S825" s="616" t="s">
        <v>846</v>
      </c>
      <c r="T825" s="614">
        <f>SUMIFS(F785:F819,C785:C819,"D",H785:H819,"melnais")</f>
        <v>0</v>
      </c>
      <c r="U825" s="614">
        <f>SUMIFS(F785:F819,C785:C819,"D",H785:H819,"dubultā virsma")</f>
        <v>0</v>
      </c>
      <c r="V825" s="614">
        <f>SUMIFS(F785:F819,C785:C819,"D",H785:H819,"bruģis")</f>
        <v>0</v>
      </c>
      <c r="W825" s="614">
        <f>SUMIFS(F785:F819,C785:C819,"D",H785:H819,"grants")</f>
        <v>6.4300000000000006</v>
      </c>
      <c r="X825" s="614">
        <f>SUMIFS(F785:F819,C785:C819,"D",H785:H819,"cits segums")</f>
        <v>9.7000000000000003E-2</v>
      </c>
      <c r="Y825" s="614">
        <f t="shared" si="201"/>
        <v>6.527000000000001</v>
      </c>
      <c r="Z825" s="616" t="s">
        <v>846</v>
      </c>
      <c r="AA825" s="614">
        <f>SUMIFS(F785:F819,C785:C819,"D",H785:H819,"melnais", Q785:Q819,"Nepiederošs")</f>
        <v>0</v>
      </c>
      <c r="AB825" s="614">
        <f>SUMIFS(F785:F819,C785:C819,"D",H785:H819,"dubultā virsma", Q785:Q819,"Nepiederošs")</f>
        <v>0</v>
      </c>
      <c r="AC825" s="614">
        <f>SUMIFS(F785:F819,C785:C819,"D",H785:H819,"bruģis", Q785:Q819,"Nepiederošs")</f>
        <v>0</v>
      </c>
      <c r="AD825" s="614">
        <f>SUMIFS(F785:F819,C785:C819,"D",H785:H819,"grants", Q785:Q819,"Nepiederošs")</f>
        <v>0</v>
      </c>
      <c r="AE825" s="614">
        <f>SUMIFS(F785:F819,C785:C819,"D",H785:H819,"cits segums", Q785:Q819,"Nepiederošs")</f>
        <v>0</v>
      </c>
      <c r="AF825" s="614">
        <f t="shared" si="202"/>
        <v>0</v>
      </c>
    </row>
    <row r="826" spans="1:32" ht="15" x14ac:dyDescent="0.25">
      <c r="C826" s="33"/>
      <c r="S826" s="637"/>
      <c r="T826" s="629">
        <f>SUM(T822:T825)</f>
        <v>0</v>
      </c>
      <c r="U826" s="629">
        <f t="shared" ref="U826:Y826" si="203">SUM(U822:U825)</f>
        <v>0</v>
      </c>
      <c r="V826" s="629">
        <f t="shared" si="203"/>
        <v>0</v>
      </c>
      <c r="W826" s="629">
        <f t="shared" si="203"/>
        <v>6.4300000000000006</v>
      </c>
      <c r="X826" s="629">
        <f t="shared" si="203"/>
        <v>9.7000000000000003E-2</v>
      </c>
      <c r="Y826" s="629">
        <f t="shared" si="203"/>
        <v>6.527000000000001</v>
      </c>
      <c r="Z826"/>
      <c r="AA826" s="629">
        <f>SUM(AA822:AA825)</f>
        <v>0</v>
      </c>
      <c r="AB826" s="629">
        <f t="shared" ref="AB826" si="204">SUM(AB822:AB825)</f>
        <v>0</v>
      </c>
      <c r="AC826" s="629">
        <f>SUM(AC822:AC825)</f>
        <v>0</v>
      </c>
      <c r="AD826" s="629">
        <f t="shared" ref="AD826:AF826" si="205">SUM(AD822:AD825)</f>
        <v>0</v>
      </c>
      <c r="AE826" s="629">
        <f t="shared" si="205"/>
        <v>0</v>
      </c>
      <c r="AF826" s="629">
        <f t="shared" si="205"/>
        <v>0</v>
      </c>
    </row>
    <row r="827" spans="1:32" s="38" customFormat="1" ht="15" customHeight="1" x14ac:dyDescent="0.25">
      <c r="A827" s="33"/>
      <c r="C827" s="487"/>
      <c r="D827" s="813" t="s">
        <v>1080</v>
      </c>
      <c r="E827" s="813"/>
      <c r="F827" s="813"/>
      <c r="G827" s="813"/>
      <c r="H827" s="813"/>
      <c r="I827" s="813"/>
      <c r="J827" s="813"/>
      <c r="K827" s="813"/>
      <c r="L827" s="813"/>
      <c r="M827" s="813"/>
      <c r="N827" s="813"/>
      <c r="O827" s="813"/>
      <c r="P827" s="813"/>
      <c r="Q827" s="30"/>
      <c r="R827" s="37"/>
    </row>
    <row r="828" spans="1:32" ht="12.75" customHeight="1" x14ac:dyDescent="0.2">
      <c r="A828" s="818" t="s">
        <v>244</v>
      </c>
      <c r="B828" s="825" t="s">
        <v>388</v>
      </c>
      <c r="C828" s="482"/>
      <c r="D828" s="826" t="s">
        <v>246</v>
      </c>
      <c r="E828" s="827"/>
      <c r="F828" s="827"/>
      <c r="G828" s="827"/>
      <c r="H828" s="827"/>
      <c r="I828" s="827"/>
      <c r="J828" s="827"/>
      <c r="K828" s="827"/>
      <c r="L828" s="827"/>
      <c r="M828" s="827"/>
      <c r="N828" s="827"/>
      <c r="O828" s="827"/>
      <c r="P828" s="828"/>
      <c r="Q828" s="821" t="s">
        <v>247</v>
      </c>
      <c r="R828" s="822"/>
    </row>
    <row r="829" spans="1:32" ht="12.75" customHeight="1" x14ac:dyDescent="0.2">
      <c r="A829" s="818"/>
      <c r="B829" s="825"/>
      <c r="C829" s="410"/>
      <c r="D829" s="816" t="s">
        <v>389</v>
      </c>
      <c r="E829" s="816"/>
      <c r="F829" s="816"/>
      <c r="G829" s="816"/>
      <c r="H829" s="816"/>
      <c r="I829" s="814" t="s">
        <v>249</v>
      </c>
      <c r="J829" s="814"/>
      <c r="K829" s="814"/>
      <c r="L829" s="814"/>
      <c r="M829" s="814"/>
      <c r="N829" s="814"/>
      <c r="O829" s="814"/>
      <c r="P829" s="815" t="s">
        <v>250</v>
      </c>
      <c r="Q829" s="823"/>
      <c r="R829" s="824"/>
    </row>
    <row r="830" spans="1:32" ht="15.2" customHeight="1" x14ac:dyDescent="0.2">
      <c r="A830" s="818"/>
      <c r="B830" s="825"/>
      <c r="C830" s="410"/>
      <c r="D830" s="816" t="s">
        <v>251</v>
      </c>
      <c r="E830" s="816"/>
      <c r="F830" s="817" t="s">
        <v>252</v>
      </c>
      <c r="G830" s="817" t="s">
        <v>257</v>
      </c>
      <c r="H830" s="818" t="s">
        <v>253</v>
      </c>
      <c r="I830" s="819" t="s">
        <v>254</v>
      </c>
      <c r="J830" s="814" t="s">
        <v>255</v>
      </c>
      <c r="K830" s="814"/>
      <c r="L830" s="820" t="s">
        <v>256</v>
      </c>
      <c r="M830" s="820" t="s">
        <v>257</v>
      </c>
      <c r="N830" s="820" t="s">
        <v>258</v>
      </c>
      <c r="O830" s="820" t="s">
        <v>259</v>
      </c>
      <c r="P830" s="809"/>
      <c r="Q830" s="809" t="s">
        <v>260</v>
      </c>
      <c r="R830" s="811" t="s">
        <v>261</v>
      </c>
    </row>
    <row r="831" spans="1:32" ht="33.75" customHeight="1" x14ac:dyDescent="0.2">
      <c r="A831" s="818"/>
      <c r="B831" s="825"/>
      <c r="C831" s="432" t="s">
        <v>844</v>
      </c>
      <c r="D831" s="95" t="s">
        <v>262</v>
      </c>
      <c r="E831" s="95" t="s">
        <v>263</v>
      </c>
      <c r="F831" s="817"/>
      <c r="G831" s="817"/>
      <c r="H831" s="818"/>
      <c r="I831" s="819"/>
      <c r="J831" s="96" t="s">
        <v>231</v>
      </c>
      <c r="K831" s="96" t="s">
        <v>264</v>
      </c>
      <c r="L831" s="820"/>
      <c r="M831" s="820"/>
      <c r="N831" s="820"/>
      <c r="O831" s="820"/>
      <c r="P831" s="810"/>
      <c r="Q831" s="810"/>
      <c r="R831" s="812"/>
    </row>
    <row r="832" spans="1:32" s="99" customFormat="1" ht="12" customHeight="1" x14ac:dyDescent="0.25">
      <c r="A832" s="200">
        <v>1</v>
      </c>
      <c r="B832" s="200">
        <v>2</v>
      </c>
      <c r="C832" s="200"/>
      <c r="D832" s="200">
        <v>3</v>
      </c>
      <c r="E832" s="200">
        <v>4</v>
      </c>
      <c r="F832" s="200">
        <v>5</v>
      </c>
      <c r="G832" s="200">
        <v>6</v>
      </c>
      <c r="H832" s="200">
        <v>7</v>
      </c>
      <c r="I832" s="201">
        <v>8</v>
      </c>
      <c r="J832" s="201">
        <v>9</v>
      </c>
      <c r="K832" s="201">
        <v>10</v>
      </c>
      <c r="L832" s="201">
        <v>11</v>
      </c>
      <c r="M832" s="201">
        <v>12</v>
      </c>
      <c r="N832" s="201">
        <v>13</v>
      </c>
      <c r="O832" s="201">
        <v>14</v>
      </c>
      <c r="P832" s="201">
        <v>15</v>
      </c>
      <c r="Q832" s="201">
        <v>16</v>
      </c>
      <c r="R832" s="200">
        <v>17</v>
      </c>
    </row>
    <row r="833" spans="1:18" x14ac:dyDescent="0.2">
      <c r="A833" s="318">
        <v>1</v>
      </c>
      <c r="B833" s="364" t="s">
        <v>801</v>
      </c>
      <c r="C833" s="411" t="s">
        <v>846</v>
      </c>
      <c r="D833" s="370">
        <v>0</v>
      </c>
      <c r="E833" s="370">
        <v>0.26</v>
      </c>
      <c r="F833" s="370">
        <v>0.26</v>
      </c>
      <c r="G833" s="343">
        <v>780</v>
      </c>
      <c r="H833" s="334" t="s">
        <v>0</v>
      </c>
      <c r="I833" s="334"/>
      <c r="J833" s="334"/>
      <c r="K833" s="334"/>
      <c r="L833" s="334"/>
      <c r="M833" s="334"/>
      <c r="N833" s="334"/>
      <c r="O833" s="334"/>
      <c r="P833" s="324"/>
      <c r="Q833" s="324">
        <v>80680070417</v>
      </c>
      <c r="R833" s="324">
        <v>80680070417</v>
      </c>
    </row>
    <row r="834" spans="1:18" x14ac:dyDescent="0.2">
      <c r="A834" s="365">
        <v>2</v>
      </c>
      <c r="B834" s="360" t="s">
        <v>165</v>
      </c>
      <c r="C834" s="478" t="s">
        <v>846</v>
      </c>
      <c r="D834" s="370">
        <v>0</v>
      </c>
      <c r="E834" s="370">
        <v>2.7E-2</v>
      </c>
      <c r="F834" s="370">
        <v>2.7E-2</v>
      </c>
      <c r="G834" s="343">
        <v>162</v>
      </c>
      <c r="H834" s="334" t="s">
        <v>4</v>
      </c>
      <c r="I834" s="334"/>
      <c r="J834" s="334"/>
      <c r="K834" s="334"/>
      <c r="L834" s="334"/>
      <c r="M834" s="334"/>
      <c r="N834" s="334"/>
      <c r="O834" s="334"/>
      <c r="P834" s="324"/>
      <c r="Q834" s="324"/>
      <c r="R834" s="331" t="s">
        <v>802</v>
      </c>
    </row>
    <row r="835" spans="1:18" x14ac:dyDescent="0.2">
      <c r="A835" s="356"/>
      <c r="B835" s="359"/>
      <c r="C835" s="478" t="s">
        <v>846</v>
      </c>
      <c r="D835" s="370">
        <v>2.7E-2</v>
      </c>
      <c r="E835" s="370">
        <v>0.14200000000000002</v>
      </c>
      <c r="F835" s="370">
        <v>0.115</v>
      </c>
      <c r="G835" s="343">
        <v>690</v>
      </c>
      <c r="H835" s="334" t="s">
        <v>4</v>
      </c>
      <c r="I835" s="334"/>
      <c r="J835" s="334"/>
      <c r="K835" s="334"/>
      <c r="L835" s="334"/>
      <c r="M835" s="334"/>
      <c r="N835" s="334"/>
      <c r="O835" s="334"/>
      <c r="P835" s="324"/>
      <c r="Q835" s="324">
        <v>80680070837</v>
      </c>
      <c r="R835" s="324">
        <v>80680070753</v>
      </c>
    </row>
    <row r="836" spans="1:18" x14ac:dyDescent="0.2">
      <c r="A836" s="342">
        <v>3</v>
      </c>
      <c r="B836" s="351" t="s">
        <v>134</v>
      </c>
      <c r="C836" s="478" t="s">
        <v>846</v>
      </c>
      <c r="D836" s="352">
        <v>0</v>
      </c>
      <c r="E836" s="352">
        <v>0.27</v>
      </c>
      <c r="F836" s="370">
        <v>0.27</v>
      </c>
      <c r="G836" s="343">
        <v>1350</v>
      </c>
      <c r="H836" s="315" t="s">
        <v>4</v>
      </c>
      <c r="I836" s="315"/>
      <c r="J836" s="315"/>
      <c r="K836" s="315"/>
      <c r="L836" s="315"/>
      <c r="M836" s="315"/>
      <c r="N836" s="315"/>
      <c r="O836" s="315"/>
      <c r="P836" s="342"/>
      <c r="Q836" s="342">
        <v>80680070838</v>
      </c>
      <c r="R836" s="342">
        <v>80680070759</v>
      </c>
    </row>
    <row r="837" spans="1:18" x14ac:dyDescent="0.2">
      <c r="A837" s="318">
        <v>4</v>
      </c>
      <c r="B837" s="364" t="s">
        <v>131</v>
      </c>
      <c r="C837" s="478" t="s">
        <v>846</v>
      </c>
      <c r="D837" s="370">
        <v>0</v>
      </c>
      <c r="E837" s="370">
        <v>0.51</v>
      </c>
      <c r="F837" s="370">
        <v>0.51</v>
      </c>
      <c r="G837" s="343">
        <v>1785</v>
      </c>
      <c r="H837" s="334" t="s">
        <v>4</v>
      </c>
      <c r="I837" s="334"/>
      <c r="J837" s="334"/>
      <c r="K837" s="334"/>
      <c r="L837" s="334"/>
      <c r="M837" s="334"/>
      <c r="N837" s="334"/>
      <c r="O837" s="334"/>
      <c r="P837" s="324"/>
      <c r="Q837" s="324">
        <v>80680070505</v>
      </c>
      <c r="R837" s="324">
        <v>80680070505</v>
      </c>
    </row>
    <row r="838" spans="1:18" x14ac:dyDescent="0.2">
      <c r="A838" s="333">
        <v>5</v>
      </c>
      <c r="B838" s="360" t="s">
        <v>1</v>
      </c>
      <c r="C838" s="325" t="s">
        <v>845</v>
      </c>
      <c r="D838" s="370">
        <v>0</v>
      </c>
      <c r="E838" s="370">
        <v>0.68500000000000005</v>
      </c>
      <c r="F838" s="370">
        <v>0.68500000000000005</v>
      </c>
      <c r="G838" s="343">
        <v>3768</v>
      </c>
      <c r="H838" s="334" t="s">
        <v>4</v>
      </c>
      <c r="I838" s="334"/>
      <c r="J838" s="334"/>
      <c r="K838" s="334"/>
      <c r="L838" s="334"/>
      <c r="M838" s="334"/>
      <c r="N838" s="334"/>
      <c r="O838" s="334"/>
      <c r="P838" s="342">
        <v>1013</v>
      </c>
      <c r="Q838" s="324">
        <v>80680070500</v>
      </c>
      <c r="R838" s="324">
        <v>80680070500</v>
      </c>
    </row>
    <row r="839" spans="1:18" x14ac:dyDescent="0.2">
      <c r="A839" s="366"/>
      <c r="B839" s="367"/>
      <c r="C839" s="325" t="s">
        <v>845</v>
      </c>
      <c r="D839" s="370">
        <v>0.71000000000000008</v>
      </c>
      <c r="E839" s="370">
        <v>1.022</v>
      </c>
      <c r="F839" s="370">
        <v>0.312</v>
      </c>
      <c r="G839" s="343">
        <v>1778</v>
      </c>
      <c r="H839" s="334" t="s">
        <v>4</v>
      </c>
      <c r="I839" s="334"/>
      <c r="J839" s="334"/>
      <c r="K839" s="334"/>
      <c r="L839" s="334"/>
      <c r="M839" s="334"/>
      <c r="N839" s="334"/>
      <c r="O839" s="334"/>
      <c r="P839" s="324"/>
      <c r="Q839" s="324">
        <v>80680070500</v>
      </c>
      <c r="R839" s="324">
        <v>80680070542</v>
      </c>
    </row>
    <row r="840" spans="1:18" x14ac:dyDescent="0.2">
      <c r="A840" s="336"/>
      <c r="B840" s="359"/>
      <c r="C840" s="325" t="s">
        <v>845</v>
      </c>
      <c r="D840" s="370">
        <v>1.022</v>
      </c>
      <c r="E840" s="370">
        <v>1.4220000000000002</v>
      </c>
      <c r="F840" s="370">
        <v>0.4</v>
      </c>
      <c r="G840" s="343">
        <v>2000</v>
      </c>
      <c r="H840" s="334" t="s">
        <v>0</v>
      </c>
      <c r="I840" s="334"/>
      <c r="J840" s="334"/>
      <c r="K840" s="334"/>
      <c r="L840" s="334"/>
      <c r="M840" s="334"/>
      <c r="N840" s="334"/>
      <c r="O840" s="334"/>
      <c r="P840" s="324"/>
      <c r="Q840" s="324">
        <v>80680070500</v>
      </c>
      <c r="R840" s="324">
        <v>80680070542</v>
      </c>
    </row>
    <row r="841" spans="1:18" x14ac:dyDescent="0.2">
      <c r="A841" s="365">
        <v>6</v>
      </c>
      <c r="B841" s="360" t="s">
        <v>803</v>
      </c>
      <c r="C841" s="325" t="s">
        <v>846</v>
      </c>
      <c r="D841" s="370">
        <v>0</v>
      </c>
      <c r="E841" s="370">
        <v>0.45500000000000002</v>
      </c>
      <c r="F841" s="370">
        <v>0.45500000000000002</v>
      </c>
      <c r="G841" s="343">
        <v>2366</v>
      </c>
      <c r="H841" s="334" t="s">
        <v>4</v>
      </c>
      <c r="I841" s="334"/>
      <c r="J841" s="334"/>
      <c r="K841" s="334"/>
      <c r="L841" s="334"/>
      <c r="M841" s="334"/>
      <c r="N841" s="334"/>
      <c r="O841" s="334"/>
      <c r="P841" s="324"/>
      <c r="Q841" s="324">
        <v>80680070498</v>
      </c>
      <c r="R841" s="324">
        <v>80680070498</v>
      </c>
    </row>
    <row r="842" spans="1:18" x14ac:dyDescent="0.2">
      <c r="A842" s="356"/>
      <c r="B842" s="359"/>
      <c r="C842" s="325" t="s">
        <v>846</v>
      </c>
      <c r="D842" s="352">
        <v>0.45500000000000002</v>
      </c>
      <c r="E842" s="352">
        <v>0.60699999999999998</v>
      </c>
      <c r="F842" s="370">
        <v>0.152</v>
      </c>
      <c r="G842" s="343">
        <v>714</v>
      </c>
      <c r="H842" s="315" t="s">
        <v>4</v>
      </c>
      <c r="I842" s="315"/>
      <c r="J842" s="315"/>
      <c r="K842" s="315"/>
      <c r="L842" s="315"/>
      <c r="M842" s="315"/>
      <c r="N842" s="315"/>
      <c r="O842" s="315"/>
      <c r="P842" s="342"/>
      <c r="Q842" s="342">
        <v>80680070498</v>
      </c>
      <c r="R842" s="342">
        <v>80680070646</v>
      </c>
    </row>
    <row r="843" spans="1:18" x14ac:dyDescent="0.2">
      <c r="A843" s="342">
        <v>7</v>
      </c>
      <c r="B843" s="368" t="s">
        <v>804</v>
      </c>
      <c r="C843" s="493" t="s">
        <v>846</v>
      </c>
      <c r="D843" s="352">
        <v>0</v>
      </c>
      <c r="E843" s="352">
        <v>0.15</v>
      </c>
      <c r="F843" s="370">
        <v>0.15</v>
      </c>
      <c r="G843" s="343">
        <v>540</v>
      </c>
      <c r="H843" s="315" t="s">
        <v>4</v>
      </c>
      <c r="I843" s="315"/>
      <c r="J843" s="315"/>
      <c r="K843" s="315"/>
      <c r="L843" s="315"/>
      <c r="M843" s="315"/>
      <c r="N843" s="315"/>
      <c r="O843" s="315"/>
      <c r="P843" s="342"/>
      <c r="Q843" s="342">
        <v>80680070497</v>
      </c>
      <c r="R843" s="342">
        <v>80680070497</v>
      </c>
    </row>
    <row r="844" spans="1:18" x14ac:dyDescent="0.2">
      <c r="A844" s="365">
        <v>8</v>
      </c>
      <c r="B844" s="360" t="s">
        <v>108</v>
      </c>
      <c r="C844" s="325" t="s">
        <v>846</v>
      </c>
      <c r="D844" s="352">
        <v>0</v>
      </c>
      <c r="E844" s="352">
        <v>0.245</v>
      </c>
      <c r="F844" s="370">
        <v>0.245</v>
      </c>
      <c r="G844" s="343">
        <v>735</v>
      </c>
      <c r="H844" s="315" t="s">
        <v>0</v>
      </c>
      <c r="I844" s="315"/>
      <c r="J844" s="315"/>
      <c r="K844" s="315"/>
      <c r="L844" s="315"/>
      <c r="M844" s="315"/>
      <c r="N844" s="315"/>
      <c r="O844" s="315"/>
      <c r="P844" s="342"/>
      <c r="Q844" s="342"/>
      <c r="R844" s="362" t="s">
        <v>805</v>
      </c>
    </row>
    <row r="845" spans="1:18" x14ac:dyDescent="0.2">
      <c r="A845" s="356"/>
      <c r="B845" s="359"/>
      <c r="C845" s="325" t="s">
        <v>846</v>
      </c>
      <c r="D845" s="352">
        <v>0.245</v>
      </c>
      <c r="E845" s="352">
        <v>0.34499999999999997</v>
      </c>
      <c r="F845" s="370">
        <v>0.1</v>
      </c>
      <c r="G845" s="343">
        <v>300</v>
      </c>
      <c r="H845" s="315" t="s">
        <v>325</v>
      </c>
      <c r="I845" s="315"/>
      <c r="J845" s="315"/>
      <c r="K845" s="315"/>
      <c r="L845" s="315"/>
      <c r="M845" s="315"/>
      <c r="N845" s="315"/>
      <c r="O845" s="315"/>
      <c r="P845" s="342"/>
      <c r="Q845" s="342"/>
      <c r="R845" s="362" t="s">
        <v>805</v>
      </c>
    </row>
    <row r="846" spans="1:18" x14ac:dyDescent="0.2">
      <c r="A846" s="349">
        <v>9</v>
      </c>
      <c r="B846" s="364" t="s">
        <v>78</v>
      </c>
      <c r="C846" s="411" t="s">
        <v>845</v>
      </c>
      <c r="D846" s="352">
        <v>0</v>
      </c>
      <c r="E846" s="352">
        <v>0.21</v>
      </c>
      <c r="F846" s="370">
        <v>0.21</v>
      </c>
      <c r="G846" s="343">
        <v>1440</v>
      </c>
      <c r="H846" s="315" t="s">
        <v>4</v>
      </c>
      <c r="I846" s="315"/>
      <c r="J846" s="315"/>
      <c r="K846" s="315"/>
      <c r="L846" s="315"/>
      <c r="M846" s="315"/>
      <c r="N846" s="315"/>
      <c r="O846" s="315"/>
      <c r="P846" s="342"/>
      <c r="Q846" s="342">
        <v>80680070551</v>
      </c>
      <c r="R846" s="342">
        <v>80680070551</v>
      </c>
    </row>
    <row r="847" spans="1:18" x14ac:dyDescent="0.2">
      <c r="A847" s="342">
        <v>10</v>
      </c>
      <c r="B847" s="369" t="s">
        <v>806</v>
      </c>
      <c r="C847" s="494" t="s">
        <v>846</v>
      </c>
      <c r="D847" s="352">
        <v>0</v>
      </c>
      <c r="E847" s="352">
        <v>0.309</v>
      </c>
      <c r="F847" s="370">
        <v>0.309</v>
      </c>
      <c r="G847" s="343">
        <v>1236</v>
      </c>
      <c r="H847" s="315" t="s">
        <v>4</v>
      </c>
      <c r="I847" s="315"/>
      <c r="J847" s="315"/>
      <c r="K847" s="315"/>
      <c r="L847" s="315"/>
      <c r="M847" s="315"/>
      <c r="N847" s="315"/>
      <c r="O847" s="315"/>
      <c r="P847" s="342"/>
      <c r="Q847" s="342">
        <v>80680070502</v>
      </c>
      <c r="R847" s="342">
        <v>80680070502</v>
      </c>
    </row>
    <row r="848" spans="1:18" x14ac:dyDescent="0.2">
      <c r="A848" s="365">
        <v>11</v>
      </c>
      <c r="B848" s="360" t="s">
        <v>70</v>
      </c>
      <c r="C848" s="325" t="s">
        <v>846</v>
      </c>
      <c r="D848" s="352">
        <v>0</v>
      </c>
      <c r="E848" s="352">
        <v>0.29000000000000004</v>
      </c>
      <c r="F848" s="370">
        <v>0.29000000000000004</v>
      </c>
      <c r="G848" s="343">
        <v>955</v>
      </c>
      <c r="H848" s="315" t="s">
        <v>0</v>
      </c>
      <c r="I848" s="315"/>
      <c r="J848" s="315"/>
      <c r="K848" s="315"/>
      <c r="L848" s="315"/>
      <c r="M848" s="315"/>
      <c r="N848" s="315"/>
      <c r="O848" s="315"/>
      <c r="P848" s="342"/>
      <c r="Q848" s="342">
        <v>80680070684</v>
      </c>
      <c r="R848" s="342">
        <v>80680070684</v>
      </c>
    </row>
    <row r="849" spans="1:32" x14ac:dyDescent="0.2">
      <c r="A849" s="356"/>
      <c r="B849" s="359"/>
      <c r="C849" s="325" t="s">
        <v>846</v>
      </c>
      <c r="D849" s="352">
        <v>0.29000000000000004</v>
      </c>
      <c r="E849" s="352">
        <v>0.32000000000000006</v>
      </c>
      <c r="F849" s="370">
        <v>0.03</v>
      </c>
      <c r="G849" s="343">
        <v>90</v>
      </c>
      <c r="H849" s="315" t="s">
        <v>325</v>
      </c>
      <c r="I849" s="315"/>
      <c r="J849" s="315"/>
      <c r="K849" s="315"/>
      <c r="L849" s="315"/>
      <c r="M849" s="315"/>
      <c r="N849" s="315"/>
      <c r="O849" s="315"/>
      <c r="P849" s="342"/>
      <c r="Q849" s="342">
        <v>80680070684</v>
      </c>
      <c r="R849" s="342">
        <v>80680070684</v>
      </c>
    </row>
    <row r="850" spans="1:32" x14ac:dyDescent="0.2">
      <c r="A850" s="349">
        <v>12</v>
      </c>
      <c r="B850" s="364" t="s">
        <v>61</v>
      </c>
      <c r="C850" s="411" t="s">
        <v>845</v>
      </c>
      <c r="D850" s="352">
        <v>0</v>
      </c>
      <c r="E850" s="352">
        <v>0.115</v>
      </c>
      <c r="F850" s="370">
        <v>0.115</v>
      </c>
      <c r="G850" s="343">
        <v>690</v>
      </c>
      <c r="H850" s="315" t="s">
        <v>4</v>
      </c>
      <c r="I850" s="315"/>
      <c r="J850" s="315"/>
      <c r="K850" s="315"/>
      <c r="L850" s="315"/>
      <c r="M850" s="315"/>
      <c r="N850" s="315"/>
      <c r="O850" s="315"/>
      <c r="P850" s="342"/>
      <c r="Q850" s="342"/>
      <c r="R850" s="362" t="s">
        <v>807</v>
      </c>
    </row>
    <row r="851" spans="1:32" x14ac:dyDescent="0.2">
      <c r="A851" s="365">
        <v>13</v>
      </c>
      <c r="B851" s="360" t="s">
        <v>3</v>
      </c>
      <c r="C851" s="325" t="s">
        <v>845</v>
      </c>
      <c r="D851" s="352">
        <v>0</v>
      </c>
      <c r="E851" s="352">
        <v>1.4850000000000001</v>
      </c>
      <c r="F851" s="370">
        <v>1.4850000000000001</v>
      </c>
      <c r="G851" s="343">
        <v>8168</v>
      </c>
      <c r="H851" s="315" t="s">
        <v>4</v>
      </c>
      <c r="I851" s="315"/>
      <c r="J851" s="315"/>
      <c r="K851" s="315"/>
      <c r="L851" s="315"/>
      <c r="M851" s="315"/>
      <c r="N851" s="315"/>
      <c r="O851" s="315"/>
      <c r="P851" s="342">
        <v>951</v>
      </c>
      <c r="Q851" s="342">
        <v>80680070497</v>
      </c>
      <c r="R851" s="342">
        <v>80680070497</v>
      </c>
    </row>
    <row r="852" spans="1:32" x14ac:dyDescent="0.2">
      <c r="A852" s="356"/>
      <c r="B852" s="359"/>
      <c r="C852" s="325" t="s">
        <v>845</v>
      </c>
      <c r="D852" s="352">
        <v>1.4850000000000001</v>
      </c>
      <c r="E852" s="352">
        <v>1.7350000000000001</v>
      </c>
      <c r="F852" s="370">
        <v>0.25</v>
      </c>
      <c r="G852" s="343">
        <v>1000</v>
      </c>
      <c r="H852" s="315" t="s">
        <v>0</v>
      </c>
      <c r="I852" s="315"/>
      <c r="J852" s="315"/>
      <c r="K852" s="315"/>
      <c r="L852" s="315"/>
      <c r="M852" s="315"/>
      <c r="N852" s="315"/>
      <c r="O852" s="315"/>
      <c r="P852" s="342"/>
      <c r="Q852" s="342">
        <v>80680070497</v>
      </c>
      <c r="R852" s="342">
        <v>80680070497</v>
      </c>
    </row>
    <row r="853" spans="1:32" x14ac:dyDescent="0.2">
      <c r="A853" s="365">
        <v>14</v>
      </c>
      <c r="B853" s="360" t="s">
        <v>808</v>
      </c>
      <c r="C853" s="325" t="s">
        <v>846</v>
      </c>
      <c r="D853" s="352">
        <v>0</v>
      </c>
      <c r="E853" s="352">
        <v>0.53500000000000003</v>
      </c>
      <c r="F853" s="370">
        <v>0.53500000000000003</v>
      </c>
      <c r="G853" s="343">
        <v>1873</v>
      </c>
      <c r="H853" s="315" t="s">
        <v>0</v>
      </c>
      <c r="I853" s="315"/>
      <c r="J853" s="315"/>
      <c r="K853" s="315"/>
      <c r="L853" s="315"/>
      <c r="M853" s="315"/>
      <c r="N853" s="315"/>
      <c r="O853" s="315"/>
      <c r="P853" s="342"/>
      <c r="Q853" s="342">
        <v>80680070550</v>
      </c>
      <c r="R853" s="342">
        <v>80680070688</v>
      </c>
    </row>
    <row r="854" spans="1:32" x14ac:dyDescent="0.2">
      <c r="A854" s="356"/>
      <c r="B854" s="359"/>
      <c r="C854" s="325" t="s">
        <v>846</v>
      </c>
      <c r="D854" s="352">
        <v>0.53500000000000003</v>
      </c>
      <c r="E854" s="352">
        <v>1.0350000000000001</v>
      </c>
      <c r="F854" s="370">
        <v>0.5</v>
      </c>
      <c r="G854" s="343">
        <v>1750</v>
      </c>
      <c r="H854" s="315" t="s">
        <v>0</v>
      </c>
      <c r="I854" s="315"/>
      <c r="J854" s="315"/>
      <c r="K854" s="315"/>
      <c r="L854" s="315"/>
      <c r="M854" s="315"/>
      <c r="N854" s="315"/>
      <c r="O854" s="315"/>
      <c r="P854" s="342"/>
      <c r="Q854" s="342"/>
      <c r="R854" s="362" t="s">
        <v>809</v>
      </c>
    </row>
    <row r="855" spans="1:32" x14ac:dyDescent="0.2">
      <c r="A855" s="342">
        <v>15</v>
      </c>
      <c r="B855" s="351" t="s">
        <v>34</v>
      </c>
      <c r="C855" s="325" t="s">
        <v>845</v>
      </c>
      <c r="D855" s="352">
        <v>0</v>
      </c>
      <c r="E855" s="352">
        <v>0.83299999999999996</v>
      </c>
      <c r="F855" s="370">
        <v>0.83299999999999996</v>
      </c>
      <c r="G855" s="343">
        <v>5545</v>
      </c>
      <c r="H855" s="315" t="s">
        <v>4</v>
      </c>
      <c r="I855" s="315"/>
      <c r="J855" s="315"/>
      <c r="K855" s="315"/>
      <c r="L855" s="315"/>
      <c r="M855" s="315"/>
      <c r="N855" s="315"/>
      <c r="O855" s="315"/>
      <c r="P855" s="342">
        <v>700</v>
      </c>
      <c r="Q855" s="342">
        <v>80680070503</v>
      </c>
      <c r="R855" s="342">
        <v>80680070503</v>
      </c>
    </row>
    <row r="856" spans="1:32" x14ac:dyDescent="0.2">
      <c r="A856" s="829">
        <v>16</v>
      </c>
      <c r="B856" s="832" t="s">
        <v>810</v>
      </c>
      <c r="C856" s="325" t="s">
        <v>845</v>
      </c>
      <c r="D856" s="352">
        <v>0</v>
      </c>
      <c r="E856" s="352">
        <v>0.13500000000000001</v>
      </c>
      <c r="F856" s="370">
        <v>0.13500000000000001</v>
      </c>
      <c r="G856" s="343">
        <v>540</v>
      </c>
      <c r="H856" s="315" t="s">
        <v>4</v>
      </c>
      <c r="I856" s="315"/>
      <c r="J856" s="315"/>
      <c r="K856" s="315"/>
      <c r="L856" s="315"/>
      <c r="M856" s="315"/>
      <c r="N856" s="315"/>
      <c r="O856" s="315"/>
      <c r="P856" s="342"/>
      <c r="Q856" s="342">
        <v>80680070600</v>
      </c>
      <c r="R856" s="363">
        <v>80680070600001</v>
      </c>
    </row>
    <row r="857" spans="1:32" x14ac:dyDescent="0.2">
      <c r="A857" s="830"/>
      <c r="B857" s="833"/>
      <c r="C857" s="325" t="s">
        <v>845</v>
      </c>
      <c r="D857" s="370">
        <v>0.13500000000000001</v>
      </c>
      <c r="E857" s="370">
        <v>0.28500000000000003</v>
      </c>
      <c r="F857" s="370">
        <v>0.15</v>
      </c>
      <c r="G857" s="343">
        <v>1050</v>
      </c>
      <c r="H857" s="334" t="s">
        <v>4</v>
      </c>
      <c r="I857" s="334"/>
      <c r="J857" s="334"/>
      <c r="K857" s="334"/>
      <c r="L857" s="334"/>
      <c r="M857" s="334"/>
      <c r="N857" s="334"/>
      <c r="O857" s="334"/>
      <c r="P857" s="324"/>
      <c r="Q857" s="324">
        <v>80680070501</v>
      </c>
      <c r="R857" s="324">
        <v>80680070501</v>
      </c>
    </row>
    <row r="858" spans="1:32" x14ac:dyDescent="0.2">
      <c r="A858" s="831"/>
      <c r="B858" s="834"/>
      <c r="C858" s="325" t="s">
        <v>845</v>
      </c>
      <c r="D858" s="370">
        <v>0.31000000000000005</v>
      </c>
      <c r="E858" s="370">
        <v>0.97000000000000008</v>
      </c>
      <c r="F858" s="370">
        <v>0.66</v>
      </c>
      <c r="G858" s="343">
        <v>3300</v>
      </c>
      <c r="H858" s="334" t="s">
        <v>4</v>
      </c>
      <c r="I858" s="334"/>
      <c r="J858" s="334"/>
      <c r="K858" s="334"/>
      <c r="L858" s="334"/>
      <c r="M858" s="334"/>
      <c r="N858" s="334"/>
      <c r="O858" s="334"/>
      <c r="P858" s="324"/>
      <c r="Q858" s="324">
        <v>80680070501</v>
      </c>
      <c r="R858" s="324">
        <v>80680070513</v>
      </c>
    </row>
    <row r="859" spans="1:32" x14ac:dyDescent="0.2">
      <c r="A859" s="342">
        <v>17</v>
      </c>
      <c r="B859" s="351" t="s">
        <v>811</v>
      </c>
      <c r="C859" s="325" t="s">
        <v>846</v>
      </c>
      <c r="D859" s="352">
        <v>0</v>
      </c>
      <c r="E859" s="352">
        <v>0.19500000000000001</v>
      </c>
      <c r="F859" s="370">
        <v>0.19500000000000001</v>
      </c>
      <c r="G859" s="343">
        <v>780</v>
      </c>
      <c r="H859" s="315" t="s">
        <v>4</v>
      </c>
      <c r="I859" s="315"/>
      <c r="J859" s="315"/>
      <c r="K859" s="315"/>
      <c r="L859" s="315"/>
      <c r="M859" s="315"/>
      <c r="N859" s="315"/>
      <c r="O859" s="315"/>
      <c r="P859" s="342"/>
      <c r="Q859" s="342">
        <v>80680070504</v>
      </c>
      <c r="R859" s="342">
        <v>80680070504</v>
      </c>
    </row>
    <row r="860" spans="1:32" x14ac:dyDescent="0.2">
      <c r="A860" s="365">
        <v>18</v>
      </c>
      <c r="B860" s="360" t="s">
        <v>17</v>
      </c>
      <c r="C860" s="325" t="s">
        <v>846</v>
      </c>
      <c r="D860" s="352">
        <v>0</v>
      </c>
      <c r="E860" s="352">
        <v>0.11</v>
      </c>
      <c r="F860" s="370">
        <v>0.11</v>
      </c>
      <c r="G860" s="343">
        <v>550</v>
      </c>
      <c r="H860" s="315" t="s">
        <v>4</v>
      </c>
      <c r="I860" s="315"/>
      <c r="J860" s="315"/>
      <c r="K860" s="315"/>
      <c r="L860" s="315"/>
      <c r="M860" s="315"/>
      <c r="N860" s="315"/>
      <c r="O860" s="315"/>
      <c r="P860" s="342"/>
      <c r="Q860" s="342">
        <v>80680070836</v>
      </c>
      <c r="R860" s="342">
        <v>80680070742</v>
      </c>
    </row>
    <row r="861" spans="1:32" x14ac:dyDescent="0.2">
      <c r="A861" s="356"/>
      <c r="B861" s="359"/>
      <c r="C861" s="325" t="s">
        <v>846</v>
      </c>
      <c r="D861" s="352">
        <v>0.11</v>
      </c>
      <c r="E861" s="352">
        <v>0.53</v>
      </c>
      <c r="F861" s="370">
        <v>0.42000000000000004</v>
      </c>
      <c r="G861" s="343">
        <v>1970</v>
      </c>
      <c r="H861" s="315" t="s">
        <v>4</v>
      </c>
      <c r="I861" s="315"/>
      <c r="J861" s="315"/>
      <c r="K861" s="315"/>
      <c r="L861" s="315"/>
      <c r="M861" s="315"/>
      <c r="N861" s="315"/>
      <c r="O861" s="315"/>
      <c r="P861" s="342"/>
      <c r="Q861" s="342">
        <v>80680070778</v>
      </c>
      <c r="R861" s="342">
        <v>80680070550</v>
      </c>
    </row>
    <row r="862" spans="1:32" ht="15" x14ac:dyDescent="0.25">
      <c r="A862" s="342">
        <v>19</v>
      </c>
      <c r="B862" s="351" t="s">
        <v>812</v>
      </c>
      <c r="C862" s="325" t="s">
        <v>846</v>
      </c>
      <c r="D862" s="352">
        <v>0</v>
      </c>
      <c r="E862" s="352">
        <v>0.38500000000000001</v>
      </c>
      <c r="F862" s="370">
        <v>0.38500000000000001</v>
      </c>
      <c r="G862" s="343">
        <v>2118</v>
      </c>
      <c r="H862" s="315" t="s">
        <v>4</v>
      </c>
      <c r="I862" s="315"/>
      <c r="J862" s="315"/>
      <c r="K862" s="315"/>
      <c r="L862" s="315"/>
      <c r="M862" s="315"/>
      <c r="N862" s="315"/>
      <c r="O862" s="315"/>
      <c r="P862" s="342"/>
      <c r="Q862" s="342">
        <v>80680070506</v>
      </c>
      <c r="R862" s="342">
        <v>80680070506</v>
      </c>
      <c r="S862"/>
      <c r="T862"/>
      <c r="U862"/>
      <c r="V862"/>
      <c r="W862"/>
      <c r="X862"/>
      <c r="Y862"/>
      <c r="Z862"/>
      <c r="AA862" t="s">
        <v>1097</v>
      </c>
      <c r="AB862"/>
      <c r="AC862"/>
      <c r="AD862"/>
      <c r="AE862"/>
      <c r="AF862"/>
    </row>
    <row r="863" spans="1:32" ht="22.5" x14ac:dyDescent="0.2">
      <c r="C863" s="33"/>
      <c r="S863" s="102"/>
      <c r="T863" s="625" t="s">
        <v>1092</v>
      </c>
      <c r="U863" s="625" t="s">
        <v>1093</v>
      </c>
      <c r="V863" s="625" t="s">
        <v>1094</v>
      </c>
      <c r="W863" s="625" t="s">
        <v>1095</v>
      </c>
      <c r="X863" s="625" t="s">
        <v>1096</v>
      </c>
      <c r="Y863" s="627" t="s">
        <v>269</v>
      </c>
      <c r="Z863" s="102"/>
      <c r="AA863" s="625" t="s">
        <v>1092</v>
      </c>
      <c r="AB863" s="625" t="s">
        <v>1093</v>
      </c>
      <c r="AC863" s="625" t="s">
        <v>1094</v>
      </c>
      <c r="AD863" s="625" t="s">
        <v>1095</v>
      </c>
      <c r="AE863" s="625" t="s">
        <v>1096</v>
      </c>
      <c r="AF863" s="627" t="s">
        <v>269</v>
      </c>
    </row>
    <row r="864" spans="1:32" ht="12.75" customHeight="1" x14ac:dyDescent="0.2">
      <c r="A864" s="137" t="s">
        <v>813</v>
      </c>
      <c r="B864" s="138"/>
      <c r="C864" s="485"/>
      <c r="D864" s="139"/>
      <c r="E864" s="140"/>
      <c r="F864" s="141">
        <f>SUM(F833:F862)</f>
        <v>10.293000000000001</v>
      </c>
      <c r="G864" s="265">
        <f>SUM(G833:G862)</f>
        <v>50023</v>
      </c>
      <c r="H864" s="143"/>
      <c r="I864" s="94"/>
      <c r="J864" s="144"/>
      <c r="K864" s="145" t="s">
        <v>268</v>
      </c>
      <c r="L864" s="265">
        <f>SUM(L833:L862)</f>
        <v>0</v>
      </c>
      <c r="M864" s="265">
        <f>SUM(M833:M862)</f>
        <v>0</v>
      </c>
      <c r="N864" s="147"/>
      <c r="O864" s="145" t="s">
        <v>269</v>
      </c>
      <c r="P864" s="265">
        <f>SUM(P833:P862)</f>
        <v>2664</v>
      </c>
      <c r="Q864" s="147"/>
      <c r="R864" s="147"/>
      <c r="S864" s="628" t="s">
        <v>844</v>
      </c>
      <c r="T864" s="625" t="s">
        <v>231</v>
      </c>
      <c r="U864" s="625" t="s">
        <v>231</v>
      </c>
      <c r="V864" s="625" t="s">
        <v>231</v>
      </c>
      <c r="W864" s="625" t="s">
        <v>231</v>
      </c>
      <c r="X864" s="625" t="s">
        <v>231</v>
      </c>
      <c r="Y864" s="626" t="s">
        <v>231</v>
      </c>
      <c r="Z864" s="628"/>
      <c r="AA864" s="625" t="s">
        <v>231</v>
      </c>
      <c r="AB864" s="625" t="s">
        <v>231</v>
      </c>
      <c r="AC864" s="625" t="s">
        <v>231</v>
      </c>
      <c r="AD864" s="625" t="s">
        <v>231</v>
      </c>
      <c r="AE864" s="625" t="s">
        <v>231</v>
      </c>
      <c r="AF864" s="626" t="s">
        <v>231</v>
      </c>
    </row>
    <row r="865" spans="1:32" ht="12.75" customHeight="1" x14ac:dyDescent="0.2">
      <c r="A865" s="148" t="s">
        <v>270</v>
      </c>
      <c r="B865" s="149"/>
      <c r="C865" s="486"/>
      <c r="D865" s="150"/>
      <c r="E865" s="151"/>
      <c r="F865" s="163">
        <f>SUMIFS(F833:F862,H833:H862,"melnais")</f>
        <v>7.6830000000000016</v>
      </c>
      <c r="G865" s="266">
        <f>SUMIFS(G833:G862,H833:H862,"melnais")</f>
        <v>40540</v>
      </c>
      <c r="H865" s="154"/>
      <c r="I865" s="155"/>
      <c r="J865" s="147"/>
      <c r="K865" s="136"/>
      <c r="L865" s="156"/>
      <c r="M865" s="156"/>
      <c r="N865" s="147"/>
      <c r="O865" s="147"/>
      <c r="P865" s="147"/>
      <c r="Q865" s="147"/>
      <c r="R865" s="147"/>
      <c r="S865" s="616" t="s">
        <v>847</v>
      </c>
      <c r="T865" s="614">
        <f>SUMIFS(F828:F862,C828:C862,"A",H828:H862,"melnais")</f>
        <v>0</v>
      </c>
      <c r="U865" s="614">
        <f>SUMIFS(F828:F862,C828:C862,"A",H828:H862,"dubultā virsma")</f>
        <v>0</v>
      </c>
      <c r="V865" s="614">
        <f>SUMIFS(F828:F862,C828:C862,"A",H828:H862,"bruģis")</f>
        <v>0</v>
      </c>
      <c r="W865" s="614">
        <f>SUMIFS(F828:F862,C828:C862,"A",H828:H862,"grants")</f>
        <v>0</v>
      </c>
      <c r="X865" s="614">
        <f>SUMIFS(F828:F862,C828:C862,"A",H828:H862,"cits segums")</f>
        <v>0</v>
      </c>
      <c r="Y865" s="614">
        <f>SUM(T865:X865)</f>
        <v>0</v>
      </c>
      <c r="Z865" s="616" t="s">
        <v>847</v>
      </c>
      <c r="AA865" s="614">
        <f>SUMIFS(F828:F862,C828:C862,"A",H828:H862,"melnais", Q828:Q862,"Nepiederošs")</f>
        <v>0</v>
      </c>
      <c r="AB865" s="614">
        <f>SUMIFS(F828:F862,C828:C862,"A",H828:H862,"dubultā virsma", Q828:Q862,"Nepiederošs")</f>
        <v>0</v>
      </c>
      <c r="AC865" s="614">
        <f>SUMIFS(F828:F862,C828:C862,"A",H828:H862,"bruģis", Q828:Q862,"Nepiederošs")</f>
        <v>0</v>
      </c>
      <c r="AD865" s="614">
        <f>SUMIFS(F828:F862,C828:C862,"A",H828:H862,"grants", Q828:Q862,"Nepiederošs")</f>
        <v>0</v>
      </c>
      <c r="AE865" s="614">
        <f>SUMIFS(F828:F862,C828:C862,"A",H828:H862,"cits segums", Q828:Q862,"Nepiederošs")</f>
        <v>0</v>
      </c>
      <c r="AF865" s="614">
        <f>SUM(AA865:AE865)</f>
        <v>0</v>
      </c>
    </row>
    <row r="866" spans="1:32" ht="12.75" customHeight="1" x14ac:dyDescent="0.2">
      <c r="A866" s="148" t="s">
        <v>271</v>
      </c>
      <c r="B866" s="149"/>
      <c r="C866" s="486"/>
      <c r="D866" s="150"/>
      <c r="E866" s="151"/>
      <c r="F866" s="163">
        <f>SUMIFS(F833:F862,H833:H862,"bruģis")</f>
        <v>0</v>
      </c>
      <c r="G866" s="266">
        <f>SUMIFS(G833:G862,H833:H862,"bruģis")</f>
        <v>0</v>
      </c>
      <c r="H866" s="162"/>
      <c r="I866" s="94"/>
      <c r="J866" s="159"/>
      <c r="K866" s="160"/>
      <c r="L866" s="160"/>
      <c r="M866" s="160"/>
      <c r="N866" s="161"/>
      <c r="O866" s="147"/>
      <c r="P866" s="147"/>
      <c r="Q866" s="147"/>
      <c r="R866" s="147"/>
      <c r="S866" s="617" t="s">
        <v>848</v>
      </c>
      <c r="T866" s="614">
        <f>SUMIFS(F828:F862,C828:C862,"B",H828:H862,"melnais")</f>
        <v>0</v>
      </c>
      <c r="U866" s="614">
        <f>SUMIFS(F828:F862,C828:C862,"B",H828:H862,"dubultā virsma")</f>
        <v>0</v>
      </c>
      <c r="V866" s="614">
        <f>SUMIFS(F828:F862,C828:C862,"B",H828:H862,"bruģis")</f>
        <v>0</v>
      </c>
      <c r="W866" s="614">
        <f>SUMIFS(F828:F862,C828:C862,"B",H828:H862,"grants")</f>
        <v>0</v>
      </c>
      <c r="X866" s="614">
        <f>SUMIFS(F828:F862,C828:C862,"B",H828:H862,"cits segums")</f>
        <v>0</v>
      </c>
      <c r="Y866" s="614">
        <f t="shared" ref="Y866:Y868" si="206">SUM(T866:X866)</f>
        <v>0</v>
      </c>
      <c r="Z866" s="617" t="s">
        <v>848</v>
      </c>
      <c r="AA866" s="614">
        <f>SUMIFS(F828:F862,C828:C862,"B",H828:H862,"melnais", Q828:Q862,"Nepiederošs")</f>
        <v>0</v>
      </c>
      <c r="AB866" s="614">
        <f>SUMIFS(F828:F862,C828:C862,"B",H828:H862,"dubultā virsma", Q828:Q862,"Nepiederošs")</f>
        <v>0</v>
      </c>
      <c r="AC866" s="614">
        <f>SUMIFS(F828:F862,C828:C862,"B",H828:H862,"bruģis", Q828:Q862,"Nepiederošs")</f>
        <v>0</v>
      </c>
      <c r="AD866" s="614">
        <f>SUMIFS(F828:F862,C828:C862,"B",H828:H862,"grants", Q828:Q862,"Nepiederošs")</f>
        <v>0</v>
      </c>
      <c r="AE866" s="614">
        <f>SUMIFS(F828:F862,C828:C862,"B",H828:H862,"cits segums", Q828:Q862,"Nepiederošs")</f>
        <v>0</v>
      </c>
      <c r="AF866" s="614">
        <f t="shared" ref="AF866:AF868" si="207">SUM(AA866:AE866)</f>
        <v>0</v>
      </c>
    </row>
    <row r="867" spans="1:32" ht="12.75" customHeight="1" x14ac:dyDescent="0.2">
      <c r="A867" s="148" t="s">
        <v>272</v>
      </c>
      <c r="B867" s="149"/>
      <c r="C867" s="486"/>
      <c r="D867" s="150"/>
      <c r="E867" s="151"/>
      <c r="F867" s="163">
        <f>SUMIFS(F833:F862,H833:H862,"grants")</f>
        <v>2.48</v>
      </c>
      <c r="G867" s="266">
        <f>SUMIFS(G833:G862,H833:H862,"grants")</f>
        <v>9093</v>
      </c>
      <c r="H867" s="162"/>
      <c r="I867" s="162"/>
      <c r="J867" s="159"/>
      <c r="K867" s="160"/>
      <c r="L867" s="160"/>
      <c r="M867" s="160"/>
      <c r="N867" s="161"/>
      <c r="O867" s="147"/>
      <c r="P867" s="147"/>
      <c r="Q867" s="147"/>
      <c r="R867" s="147"/>
      <c r="S867" s="615" t="s">
        <v>845</v>
      </c>
      <c r="T867" s="614">
        <f>SUMIFS(F828:F862,C828:C862,"C",H828:H862,"melnais")</f>
        <v>4.585</v>
      </c>
      <c r="U867" s="614">
        <f>SUMIFS(F828:F862,C828:C862,"C",H828:H862,"dubultā virsma")</f>
        <v>0</v>
      </c>
      <c r="V867" s="614">
        <f>SUMIFS(F828:F862,C828:C862,"C",H828:H862,"bruģis")</f>
        <v>0</v>
      </c>
      <c r="W867" s="614">
        <f>SUMIFS(F828:F862,C828:C862,"C",H828:H862,"grants")</f>
        <v>0.65</v>
      </c>
      <c r="X867" s="614">
        <f>SUMIFS(F828:F862,C828:C862,"C",H828:H862,"cits segums")</f>
        <v>0</v>
      </c>
      <c r="Y867" s="614">
        <f t="shared" si="206"/>
        <v>5.2350000000000003</v>
      </c>
      <c r="Z867" s="615" t="s">
        <v>845</v>
      </c>
      <c r="AA867" s="614">
        <f>SUMIFS(F828:F862,C828:C862,"C",H828:H862,"melnais", Q828:Q862,"Nepiederošs")</f>
        <v>0</v>
      </c>
      <c r="AB867" s="614">
        <f>SUMIFS(F828:F862,C828:C862,"C",H828:H862,"dubultā virsma", Q828:Q862,"Nepiederošs")</f>
        <v>0</v>
      </c>
      <c r="AC867" s="614">
        <f>SUMIFS(F828:F862,C828:C862,"C",H828:H862,"bruģis", Q828:Q862,"Nepiederošs")</f>
        <v>0</v>
      </c>
      <c r="AD867" s="614">
        <f>SUMIFS(F828:F862,C828:C862,"C",H828:H862,"grants", Q828:Q862,"Nepiederošs")</f>
        <v>0</v>
      </c>
      <c r="AE867" s="614">
        <f>SUMIFS(F828:F862,C828:C862,"C",H828:H862,"cits segums", Q828:Q862,"Nepiederošs")</f>
        <v>0</v>
      </c>
      <c r="AF867" s="614">
        <f t="shared" si="207"/>
        <v>0</v>
      </c>
    </row>
    <row r="868" spans="1:32" ht="12.75" customHeight="1" x14ac:dyDescent="0.2">
      <c r="A868" s="148" t="s">
        <v>401</v>
      </c>
      <c r="B868" s="149"/>
      <c r="C868" s="486"/>
      <c r="D868" s="150"/>
      <c r="E868" s="151"/>
      <c r="F868" s="163">
        <f>SUMIFS(F833:F862,H833:H862,"cits segums")</f>
        <v>0.13</v>
      </c>
      <c r="G868" s="266">
        <f>SUMIFS(G833:G862,H833:H862,"cits segums")</f>
        <v>390</v>
      </c>
      <c r="H868" s="165"/>
      <c r="I868" s="162"/>
      <c r="J868" s="166"/>
      <c r="K868" s="160"/>
      <c r="L868" s="160"/>
      <c r="M868" s="160"/>
      <c r="N868" s="161"/>
      <c r="O868" s="147"/>
      <c r="P868" s="147"/>
      <c r="Q868" s="147"/>
      <c r="R868" s="147"/>
      <c r="S868" s="616" t="s">
        <v>846</v>
      </c>
      <c r="T868" s="614">
        <f>SUMIFS(F828:F862,C828:C862,"D",H828:H862,"melnais")</f>
        <v>3.0979999999999999</v>
      </c>
      <c r="U868" s="614">
        <f>SUMIFS(F828:F862,C828:C862,"D",H828:H862,"dubultā virsma")</f>
        <v>0</v>
      </c>
      <c r="V868" s="614">
        <f>SUMIFS(F828:F862,C828:C862,"D",H828:H862,"bruģis")</f>
        <v>0</v>
      </c>
      <c r="W868" s="614">
        <f>SUMIFS(F828:F862,C828:C862,"D",H828:H862,"grants")</f>
        <v>1.83</v>
      </c>
      <c r="X868" s="614">
        <f>SUMIFS(F828:F862,C828:C862,"D",H828:H862,"cits segums")</f>
        <v>0.13</v>
      </c>
      <c r="Y868" s="614">
        <f t="shared" si="206"/>
        <v>5.0579999999999998</v>
      </c>
      <c r="Z868" s="616" t="s">
        <v>846</v>
      </c>
      <c r="AA868" s="614">
        <f>SUMIFS(F828:F862,C828:C862,"D",H828:H862,"melnais", Q828:Q862,"Nepiederošs")</f>
        <v>0</v>
      </c>
      <c r="AB868" s="614">
        <f>SUMIFS(F828:F862,C828:C862,"D",H828:H862,"dubultā virsma", Q828:Q862,"Nepiederošs")</f>
        <v>0</v>
      </c>
      <c r="AC868" s="614">
        <f>SUMIFS(F828:F862,C828:C862,"D",H828:H862,"bruģis", Q828:Q862,"Nepiederošs")</f>
        <v>0</v>
      </c>
      <c r="AD868" s="614">
        <f>SUMIFS(F828:F862,C828:C862,"D",H828:H862,"grants", Q828:Q862,"Nepiederošs")</f>
        <v>0</v>
      </c>
      <c r="AE868" s="614">
        <f>SUMIFS(F828:F862,C828:C862,"D",H828:H862,"cits segums", Q828:Q862,"Nepiederošs")</f>
        <v>0</v>
      </c>
      <c r="AF868" s="614">
        <f t="shared" si="207"/>
        <v>0</v>
      </c>
    </row>
    <row r="869" spans="1:32" ht="15" x14ac:dyDescent="0.25">
      <c r="C869" s="33"/>
      <c r="S869" s="637"/>
      <c r="T869" s="629">
        <f>SUM(T865:T868)</f>
        <v>7.6829999999999998</v>
      </c>
      <c r="U869" s="629">
        <f t="shared" ref="U869:Y869" si="208">SUM(U865:U868)</f>
        <v>0</v>
      </c>
      <c r="V869" s="629">
        <f t="shared" si="208"/>
        <v>0</v>
      </c>
      <c r="W869" s="629">
        <f t="shared" si="208"/>
        <v>2.48</v>
      </c>
      <c r="X869" s="629">
        <f t="shared" si="208"/>
        <v>0.13</v>
      </c>
      <c r="Y869" s="629">
        <f t="shared" si="208"/>
        <v>10.292999999999999</v>
      </c>
      <c r="Z869"/>
      <c r="AA869" s="629">
        <f>SUM(AA865:AA868)</f>
        <v>0</v>
      </c>
      <c r="AB869" s="629">
        <f t="shared" ref="AB869" si="209">SUM(AB865:AB868)</f>
        <v>0</v>
      </c>
      <c r="AC869" s="629">
        <f>SUM(AC865:AC868)</f>
        <v>0</v>
      </c>
      <c r="AD869" s="629">
        <f t="shared" ref="AD869:AF869" si="210">SUM(AD865:AD868)</f>
        <v>0</v>
      </c>
      <c r="AE869" s="629">
        <f t="shared" si="210"/>
        <v>0</v>
      </c>
      <c r="AF869" s="629">
        <f t="shared" si="210"/>
        <v>0</v>
      </c>
    </row>
    <row r="870" spans="1:32" s="38" customFormat="1" ht="15" customHeight="1" x14ac:dyDescent="0.25">
      <c r="A870" s="33"/>
      <c r="C870" s="487"/>
      <c r="D870" s="813" t="s">
        <v>1081</v>
      </c>
      <c r="E870" s="813"/>
      <c r="F870" s="813"/>
      <c r="G870" s="813"/>
      <c r="H870" s="813"/>
      <c r="I870" s="813"/>
      <c r="J870" s="813"/>
      <c r="K870" s="813"/>
      <c r="L870" s="813"/>
      <c r="M870" s="813"/>
      <c r="N870" s="813"/>
      <c r="O870" s="813"/>
      <c r="P870" s="813"/>
      <c r="Q870" s="30"/>
      <c r="R870" s="37"/>
    </row>
    <row r="871" spans="1:32" ht="12.75" customHeight="1" x14ac:dyDescent="0.2">
      <c r="A871" s="818" t="s">
        <v>244</v>
      </c>
      <c r="B871" s="825" t="s">
        <v>388</v>
      </c>
      <c r="C871" s="482"/>
      <c r="D871" s="826" t="s">
        <v>246</v>
      </c>
      <c r="E871" s="827"/>
      <c r="F871" s="827"/>
      <c r="G871" s="827"/>
      <c r="H871" s="827"/>
      <c r="I871" s="827"/>
      <c r="J871" s="827"/>
      <c r="K871" s="827"/>
      <c r="L871" s="827"/>
      <c r="M871" s="827"/>
      <c r="N871" s="827"/>
      <c r="O871" s="827"/>
      <c r="P871" s="828"/>
      <c r="Q871" s="821" t="s">
        <v>247</v>
      </c>
      <c r="R871" s="822"/>
    </row>
    <row r="872" spans="1:32" ht="12.75" customHeight="1" x14ac:dyDescent="0.2">
      <c r="A872" s="818"/>
      <c r="B872" s="825"/>
      <c r="C872" s="410"/>
      <c r="D872" s="816" t="s">
        <v>389</v>
      </c>
      <c r="E872" s="816"/>
      <c r="F872" s="816"/>
      <c r="G872" s="816"/>
      <c r="H872" s="816"/>
      <c r="I872" s="814" t="s">
        <v>249</v>
      </c>
      <c r="J872" s="814"/>
      <c r="K872" s="814"/>
      <c r="L872" s="814"/>
      <c r="M872" s="814"/>
      <c r="N872" s="814"/>
      <c r="O872" s="814"/>
      <c r="P872" s="815" t="s">
        <v>250</v>
      </c>
      <c r="Q872" s="823"/>
      <c r="R872" s="824"/>
    </row>
    <row r="873" spans="1:32" ht="15.2" customHeight="1" x14ac:dyDescent="0.2">
      <c r="A873" s="818"/>
      <c r="B873" s="825"/>
      <c r="C873" s="410"/>
      <c r="D873" s="816" t="s">
        <v>251</v>
      </c>
      <c r="E873" s="816"/>
      <c r="F873" s="817" t="s">
        <v>252</v>
      </c>
      <c r="G873" s="817" t="s">
        <v>257</v>
      </c>
      <c r="H873" s="818" t="s">
        <v>253</v>
      </c>
      <c r="I873" s="819" t="s">
        <v>254</v>
      </c>
      <c r="J873" s="814" t="s">
        <v>255</v>
      </c>
      <c r="K873" s="814"/>
      <c r="L873" s="820" t="s">
        <v>256</v>
      </c>
      <c r="M873" s="820" t="s">
        <v>257</v>
      </c>
      <c r="N873" s="820" t="s">
        <v>258</v>
      </c>
      <c r="O873" s="820" t="s">
        <v>259</v>
      </c>
      <c r="P873" s="809"/>
      <c r="Q873" s="809" t="s">
        <v>260</v>
      </c>
      <c r="R873" s="811" t="s">
        <v>261</v>
      </c>
    </row>
    <row r="874" spans="1:32" ht="33.75" customHeight="1" x14ac:dyDescent="0.2">
      <c r="A874" s="818"/>
      <c r="B874" s="825"/>
      <c r="C874" s="432" t="s">
        <v>844</v>
      </c>
      <c r="D874" s="95" t="s">
        <v>262</v>
      </c>
      <c r="E874" s="95" t="s">
        <v>263</v>
      </c>
      <c r="F874" s="817"/>
      <c r="G874" s="817"/>
      <c r="H874" s="818"/>
      <c r="I874" s="819"/>
      <c r="J874" s="96" t="s">
        <v>231</v>
      </c>
      <c r="K874" s="96" t="s">
        <v>264</v>
      </c>
      <c r="L874" s="820"/>
      <c r="M874" s="820"/>
      <c r="N874" s="820"/>
      <c r="O874" s="820"/>
      <c r="P874" s="810"/>
      <c r="Q874" s="810"/>
      <c r="R874" s="812"/>
    </row>
    <row r="875" spans="1:32" s="99" customFormat="1" ht="12" customHeight="1" x14ac:dyDescent="0.25">
      <c r="A875" s="200">
        <v>1</v>
      </c>
      <c r="B875" s="200">
        <v>2</v>
      </c>
      <c r="C875" s="200"/>
      <c r="D875" s="200">
        <v>3</v>
      </c>
      <c r="E875" s="200">
        <v>4</v>
      </c>
      <c r="F875" s="200">
        <v>5</v>
      </c>
      <c r="G875" s="200">
        <v>6</v>
      </c>
      <c r="H875" s="200">
        <v>7</v>
      </c>
      <c r="I875" s="201">
        <v>8</v>
      </c>
      <c r="J875" s="201">
        <v>9</v>
      </c>
      <c r="K875" s="201">
        <v>10</v>
      </c>
      <c r="L875" s="201">
        <v>11</v>
      </c>
      <c r="M875" s="201">
        <v>12</v>
      </c>
      <c r="N875" s="201">
        <v>13</v>
      </c>
      <c r="O875" s="201">
        <v>14</v>
      </c>
      <c r="P875" s="201">
        <v>15</v>
      </c>
      <c r="Q875" s="201">
        <v>16</v>
      </c>
      <c r="R875" s="200">
        <v>17</v>
      </c>
    </row>
    <row r="876" spans="1:32" x14ac:dyDescent="0.2">
      <c r="A876" s="318">
        <v>1</v>
      </c>
      <c r="B876" s="371" t="s">
        <v>814</v>
      </c>
      <c r="C876" s="495" t="s">
        <v>846</v>
      </c>
      <c r="D876" s="370">
        <v>0</v>
      </c>
      <c r="E876" s="370">
        <v>0.31</v>
      </c>
      <c r="F876" s="370">
        <v>0.31</v>
      </c>
      <c r="G876" s="343">
        <v>1870</v>
      </c>
      <c r="H876" s="334" t="s">
        <v>4</v>
      </c>
      <c r="I876" s="334"/>
      <c r="J876" s="334"/>
      <c r="K876" s="334"/>
      <c r="L876" s="334"/>
      <c r="M876" s="334"/>
      <c r="N876" s="334"/>
      <c r="O876" s="334"/>
      <c r="P876" s="324"/>
      <c r="Q876" s="324"/>
      <c r="R876" s="331" t="s">
        <v>815</v>
      </c>
    </row>
    <row r="877" spans="1:32" x14ac:dyDescent="0.2">
      <c r="A877" s="349">
        <v>2</v>
      </c>
      <c r="B877" s="364" t="s">
        <v>1</v>
      </c>
      <c r="C877" s="411" t="s">
        <v>846</v>
      </c>
      <c r="D877" s="352">
        <v>0</v>
      </c>
      <c r="E877" s="352">
        <v>0.29500000000000004</v>
      </c>
      <c r="F877" s="370">
        <v>0.29500000000000004</v>
      </c>
      <c r="G877" s="343">
        <v>1040</v>
      </c>
      <c r="H877" s="315" t="s">
        <v>0</v>
      </c>
      <c r="I877" s="315"/>
      <c r="J877" s="315"/>
      <c r="K877" s="315"/>
      <c r="L877" s="315"/>
      <c r="M877" s="315"/>
      <c r="N877" s="315"/>
      <c r="O877" s="315"/>
      <c r="P877" s="342"/>
      <c r="Q877" s="324">
        <v>80680050280</v>
      </c>
      <c r="R877" s="324">
        <v>80680050280</v>
      </c>
    </row>
    <row r="878" spans="1:32" x14ac:dyDescent="0.2">
      <c r="A878" s="365">
        <v>3</v>
      </c>
      <c r="B878" s="360" t="s">
        <v>816</v>
      </c>
      <c r="C878" s="411" t="s">
        <v>846</v>
      </c>
      <c r="D878" s="352">
        <v>0</v>
      </c>
      <c r="E878" s="352">
        <v>0.16</v>
      </c>
      <c r="F878" s="370">
        <v>0.16</v>
      </c>
      <c r="G878" s="343">
        <v>800</v>
      </c>
      <c r="H878" s="315" t="s">
        <v>4</v>
      </c>
      <c r="I878" s="315"/>
      <c r="J878" s="315"/>
      <c r="K878" s="315"/>
      <c r="L878" s="315"/>
      <c r="M878" s="315"/>
      <c r="N878" s="315"/>
      <c r="O878" s="315"/>
      <c r="P878" s="342">
        <v>84</v>
      </c>
      <c r="Q878" s="324">
        <v>80680050278</v>
      </c>
      <c r="R878" s="324">
        <v>80680050278</v>
      </c>
    </row>
    <row r="879" spans="1:32" x14ac:dyDescent="0.2">
      <c r="A879" s="365">
        <v>4</v>
      </c>
      <c r="B879" s="313" t="s">
        <v>86</v>
      </c>
      <c r="C879" s="478" t="s">
        <v>846</v>
      </c>
      <c r="D879" s="370">
        <v>0</v>
      </c>
      <c r="E879" s="370">
        <v>0.155</v>
      </c>
      <c r="F879" s="370">
        <v>0.155</v>
      </c>
      <c r="G879" s="343">
        <v>930</v>
      </c>
      <c r="H879" s="334" t="s">
        <v>4</v>
      </c>
      <c r="I879" s="334"/>
      <c r="J879" s="334"/>
      <c r="K879" s="334"/>
      <c r="L879" s="334"/>
      <c r="M879" s="334"/>
      <c r="N879" s="334"/>
      <c r="O879" s="334"/>
      <c r="P879" s="324"/>
      <c r="Q879" s="324">
        <v>80680050277</v>
      </c>
      <c r="R879" s="324">
        <v>80680050277</v>
      </c>
    </row>
    <row r="880" spans="1:32" x14ac:dyDescent="0.2">
      <c r="A880" s="356"/>
      <c r="B880" s="314"/>
      <c r="C880" s="478" t="s">
        <v>846</v>
      </c>
      <c r="D880" s="370">
        <v>0.155</v>
      </c>
      <c r="E880" s="370">
        <v>0.19</v>
      </c>
      <c r="F880" s="370">
        <v>3.5000000000000003E-2</v>
      </c>
      <c r="G880" s="343">
        <v>175</v>
      </c>
      <c r="H880" s="334" t="s">
        <v>4</v>
      </c>
      <c r="I880" s="334"/>
      <c r="J880" s="334"/>
      <c r="K880" s="334"/>
      <c r="L880" s="334"/>
      <c r="M880" s="334"/>
      <c r="N880" s="334"/>
      <c r="O880" s="334"/>
      <c r="P880" s="324"/>
      <c r="Q880" s="324"/>
      <c r="R880" s="343">
        <v>80680050074004</v>
      </c>
    </row>
    <row r="881" spans="1:32" x14ac:dyDescent="0.2">
      <c r="A881" s="356">
        <v>5</v>
      </c>
      <c r="B881" s="359" t="s">
        <v>175</v>
      </c>
      <c r="C881" s="478" t="s">
        <v>846</v>
      </c>
      <c r="D881" s="352">
        <v>0</v>
      </c>
      <c r="E881" s="352">
        <v>0.22499999999999998</v>
      </c>
      <c r="F881" s="370">
        <v>0.22499999999999998</v>
      </c>
      <c r="G881" s="343">
        <v>835</v>
      </c>
      <c r="H881" s="315" t="s">
        <v>0</v>
      </c>
      <c r="I881" s="315"/>
      <c r="J881" s="315"/>
      <c r="K881" s="315"/>
      <c r="L881" s="315"/>
      <c r="M881" s="315"/>
      <c r="N881" s="315"/>
      <c r="O881" s="315"/>
      <c r="P881" s="342"/>
      <c r="Q881" s="324">
        <v>80680050286</v>
      </c>
      <c r="R881" s="324">
        <v>80680050286</v>
      </c>
    </row>
    <row r="882" spans="1:32" x14ac:dyDescent="0.2">
      <c r="A882" s="356">
        <v>6</v>
      </c>
      <c r="B882" s="359" t="s">
        <v>817</v>
      </c>
      <c r="C882" s="478" t="s">
        <v>846</v>
      </c>
      <c r="D882" s="352">
        <v>0</v>
      </c>
      <c r="E882" s="352">
        <v>0.25</v>
      </c>
      <c r="F882" s="370">
        <v>0.25</v>
      </c>
      <c r="G882" s="343">
        <v>1560</v>
      </c>
      <c r="H882" s="315" t="s">
        <v>4</v>
      </c>
      <c r="I882" s="315"/>
      <c r="J882" s="315"/>
      <c r="K882" s="315"/>
      <c r="L882" s="315"/>
      <c r="M882" s="315"/>
      <c r="N882" s="315"/>
      <c r="O882" s="315"/>
      <c r="P882" s="342"/>
      <c r="Q882" s="324">
        <v>80680050066</v>
      </c>
      <c r="R882" s="324">
        <v>80680050332</v>
      </c>
    </row>
    <row r="883" spans="1:32" x14ac:dyDescent="0.2">
      <c r="A883" s="375">
        <v>7</v>
      </c>
      <c r="B883" s="376" t="s">
        <v>820</v>
      </c>
      <c r="C883" s="478" t="s">
        <v>846</v>
      </c>
      <c r="D883" s="352">
        <v>0</v>
      </c>
      <c r="E883" s="352">
        <v>0.185</v>
      </c>
      <c r="F883" s="370">
        <v>0.185</v>
      </c>
      <c r="G883" s="343">
        <f>185*3</f>
        <v>555</v>
      </c>
      <c r="H883" s="315" t="s">
        <v>4</v>
      </c>
      <c r="I883" s="315"/>
      <c r="J883" s="315"/>
      <c r="K883" s="315"/>
      <c r="L883" s="315"/>
      <c r="M883" s="315"/>
      <c r="N883" s="315"/>
      <c r="O883" s="315"/>
      <c r="P883" s="342"/>
      <c r="Q883" s="379">
        <v>80680050371</v>
      </c>
      <c r="R883" s="379">
        <v>80680050371</v>
      </c>
    </row>
    <row r="884" spans="1:32" x14ac:dyDescent="0.2">
      <c r="A884" s="829">
        <v>8</v>
      </c>
      <c r="B884" s="835" t="s">
        <v>185</v>
      </c>
      <c r="C884" s="478" t="s">
        <v>846</v>
      </c>
      <c r="D884" s="352">
        <v>0</v>
      </c>
      <c r="E884" s="352">
        <v>0.05</v>
      </c>
      <c r="F884" s="370">
        <v>0.05</v>
      </c>
      <c r="G884" s="343">
        <v>215</v>
      </c>
      <c r="H884" s="315" t="s">
        <v>4</v>
      </c>
      <c r="I884" s="315"/>
      <c r="J884" s="315"/>
      <c r="K884" s="315"/>
      <c r="L884" s="315"/>
      <c r="M884" s="315"/>
      <c r="N884" s="315"/>
      <c r="O884" s="315"/>
      <c r="P884" s="342"/>
      <c r="Q884" s="324">
        <v>80680050074</v>
      </c>
      <c r="R884" s="343">
        <v>80680050074005</v>
      </c>
    </row>
    <row r="885" spans="1:32" x14ac:dyDescent="0.2">
      <c r="A885" s="831"/>
      <c r="B885" s="836"/>
      <c r="C885" s="478" t="s">
        <v>846</v>
      </c>
      <c r="D885" s="352">
        <v>0.05</v>
      </c>
      <c r="E885" s="352">
        <v>0.32500000000000001</v>
      </c>
      <c r="F885" s="370">
        <v>0.27500000000000002</v>
      </c>
      <c r="G885" s="343">
        <v>1183</v>
      </c>
      <c r="H885" s="315" t="s">
        <v>4</v>
      </c>
      <c r="I885" s="315"/>
      <c r="J885" s="315"/>
      <c r="K885" s="315"/>
      <c r="L885" s="315"/>
      <c r="M885" s="315"/>
      <c r="N885" s="315"/>
      <c r="O885" s="315"/>
      <c r="P885" s="342"/>
      <c r="Q885" s="324">
        <v>80680050282</v>
      </c>
      <c r="R885" s="324">
        <v>80680050282</v>
      </c>
    </row>
    <row r="886" spans="1:32" x14ac:dyDescent="0.2">
      <c r="A886" s="365">
        <v>9</v>
      </c>
      <c r="B886" s="372" t="s">
        <v>214</v>
      </c>
      <c r="C886" s="478" t="s">
        <v>846</v>
      </c>
      <c r="D886" s="352">
        <v>0</v>
      </c>
      <c r="E886" s="352">
        <v>0.495</v>
      </c>
      <c r="F886" s="370">
        <v>0.495</v>
      </c>
      <c r="G886" s="343">
        <v>2121</v>
      </c>
      <c r="H886" s="315" t="s">
        <v>4</v>
      </c>
      <c r="I886" s="315"/>
      <c r="J886" s="315"/>
      <c r="K886" s="315"/>
      <c r="L886" s="315"/>
      <c r="M886" s="315"/>
      <c r="N886" s="315"/>
      <c r="O886" s="315"/>
      <c r="P886" s="342"/>
      <c r="Q886" s="324">
        <v>80680050314</v>
      </c>
      <c r="R886" s="324">
        <v>80680050324</v>
      </c>
    </row>
    <row r="887" spans="1:32" x14ac:dyDescent="0.2">
      <c r="A887" s="378"/>
      <c r="B887" s="373"/>
      <c r="C887" s="478" t="s">
        <v>846</v>
      </c>
      <c r="D887" s="352">
        <v>0.495</v>
      </c>
      <c r="E887" s="352">
        <v>0.625</v>
      </c>
      <c r="F887" s="370">
        <v>0.13</v>
      </c>
      <c r="G887" s="343">
        <v>494</v>
      </c>
      <c r="H887" s="315" t="s">
        <v>4</v>
      </c>
      <c r="I887" s="315"/>
      <c r="J887" s="315"/>
      <c r="K887" s="315"/>
      <c r="L887" s="315"/>
      <c r="M887" s="315"/>
      <c r="N887" s="315"/>
      <c r="O887" s="315"/>
      <c r="P887" s="342"/>
      <c r="Q887" s="324">
        <v>80680050314</v>
      </c>
      <c r="R887" s="324">
        <v>80680050281</v>
      </c>
    </row>
    <row r="888" spans="1:32" x14ac:dyDescent="0.2">
      <c r="A888" s="377">
        <v>10</v>
      </c>
      <c r="B888" s="371" t="s">
        <v>526</v>
      </c>
      <c r="C888" s="478" t="s">
        <v>846</v>
      </c>
      <c r="D888" s="352">
        <v>0</v>
      </c>
      <c r="E888" s="352">
        <v>0.25</v>
      </c>
      <c r="F888" s="370">
        <v>0.25</v>
      </c>
      <c r="G888" s="343">
        <v>1000</v>
      </c>
      <c r="H888" s="315" t="s">
        <v>0</v>
      </c>
      <c r="I888" s="315"/>
      <c r="J888" s="315"/>
      <c r="K888" s="315"/>
      <c r="L888" s="315"/>
      <c r="M888" s="315"/>
      <c r="N888" s="315"/>
      <c r="O888" s="315"/>
      <c r="P888" s="342"/>
      <c r="Q888" s="324">
        <v>80680050283</v>
      </c>
      <c r="R888" s="324">
        <v>80680050283</v>
      </c>
    </row>
    <row r="889" spans="1:32" x14ac:dyDescent="0.2">
      <c r="A889" s="375">
        <v>11</v>
      </c>
      <c r="B889" s="360" t="s">
        <v>177</v>
      </c>
      <c r="C889" s="478" t="s">
        <v>846</v>
      </c>
      <c r="D889" s="352">
        <v>0</v>
      </c>
      <c r="E889" s="352">
        <v>0.55500000000000005</v>
      </c>
      <c r="F889" s="370">
        <v>0.55500000000000005</v>
      </c>
      <c r="G889" s="343">
        <v>1998</v>
      </c>
      <c r="H889" s="315" t="s">
        <v>0</v>
      </c>
      <c r="I889" s="315"/>
      <c r="J889" s="315"/>
      <c r="K889" s="315"/>
      <c r="L889" s="315"/>
      <c r="M889" s="315"/>
      <c r="N889" s="315"/>
      <c r="O889" s="315"/>
      <c r="P889" s="342">
        <v>43</v>
      </c>
      <c r="Q889" s="324">
        <v>80680050285</v>
      </c>
      <c r="R889" s="324">
        <v>80680050285</v>
      </c>
    </row>
    <row r="890" spans="1:32" x14ac:dyDescent="0.2">
      <c r="A890" s="829">
        <v>12</v>
      </c>
      <c r="B890" s="360" t="s">
        <v>818</v>
      </c>
      <c r="C890" s="478" t="s">
        <v>846</v>
      </c>
      <c r="D890" s="352">
        <v>0</v>
      </c>
      <c r="E890" s="352">
        <v>0.60499999999999998</v>
      </c>
      <c r="F890" s="370">
        <v>0.60499999999999998</v>
      </c>
      <c r="G890" s="343">
        <f>3025+200</f>
        <v>3225</v>
      </c>
      <c r="H890" s="315" t="s">
        <v>4</v>
      </c>
      <c r="I890" s="315"/>
      <c r="J890" s="315"/>
      <c r="K890" s="315"/>
      <c r="L890" s="315"/>
      <c r="M890" s="315"/>
      <c r="N890" s="315"/>
      <c r="O890" s="315"/>
      <c r="P890" s="342"/>
      <c r="Q890" s="324">
        <v>80680050279</v>
      </c>
      <c r="R890" s="324">
        <v>80680050279</v>
      </c>
    </row>
    <row r="891" spans="1:32" x14ac:dyDescent="0.2">
      <c r="A891" s="831"/>
      <c r="B891" s="359"/>
      <c r="C891" s="478" t="s">
        <v>846</v>
      </c>
      <c r="D891" s="352">
        <v>0.60499999999999998</v>
      </c>
      <c r="E891" s="352">
        <v>0.82</v>
      </c>
      <c r="F891" s="370">
        <v>0.215</v>
      </c>
      <c r="G891" s="343">
        <v>1290</v>
      </c>
      <c r="H891" s="315" t="s">
        <v>0</v>
      </c>
      <c r="I891" s="315"/>
      <c r="J891" s="315"/>
      <c r="K891" s="315"/>
      <c r="L891" s="315"/>
      <c r="M891" s="315"/>
      <c r="N891" s="315"/>
      <c r="O891" s="315"/>
      <c r="P891" s="342"/>
      <c r="Q891" s="324">
        <v>80680050279</v>
      </c>
      <c r="R891" s="324">
        <v>80680050279</v>
      </c>
    </row>
    <row r="892" spans="1:32" x14ac:dyDescent="0.2">
      <c r="A892" s="318">
        <v>13</v>
      </c>
      <c r="B892" s="371" t="s">
        <v>9</v>
      </c>
      <c r="C892" s="478" t="s">
        <v>846</v>
      </c>
      <c r="D892" s="370">
        <v>0</v>
      </c>
      <c r="E892" s="370">
        <v>0.02</v>
      </c>
      <c r="F892" s="370">
        <v>0.02</v>
      </c>
      <c r="G892" s="343">
        <v>60</v>
      </c>
      <c r="H892" s="334" t="s">
        <v>0</v>
      </c>
      <c r="I892" s="334"/>
      <c r="J892" s="334"/>
      <c r="K892" s="334"/>
      <c r="L892" s="334"/>
      <c r="M892" s="334"/>
      <c r="N892" s="334"/>
      <c r="O892" s="334"/>
      <c r="P892" s="324"/>
      <c r="Q892" s="324">
        <v>80680050398</v>
      </c>
      <c r="R892" s="324">
        <v>80680050398</v>
      </c>
    </row>
    <row r="893" spans="1:32" x14ac:dyDescent="0.2">
      <c r="A893" s="365">
        <v>14</v>
      </c>
      <c r="B893" s="360" t="s">
        <v>158</v>
      </c>
      <c r="C893" s="478" t="s">
        <v>846</v>
      </c>
      <c r="D893" s="352">
        <v>0</v>
      </c>
      <c r="E893" s="352">
        <v>0.28999999999999998</v>
      </c>
      <c r="F893" s="370">
        <v>0.28999999999999998</v>
      </c>
      <c r="G893" s="343">
        <v>1740</v>
      </c>
      <c r="H893" s="315" t="s">
        <v>4</v>
      </c>
      <c r="I893" s="315"/>
      <c r="J893" s="315"/>
      <c r="K893" s="315"/>
      <c r="L893" s="315"/>
      <c r="M893" s="315"/>
      <c r="N893" s="315"/>
      <c r="O893" s="315"/>
      <c r="P893" s="342"/>
      <c r="Q893" s="324">
        <v>80680050271</v>
      </c>
      <c r="R893" s="324">
        <v>80680050271</v>
      </c>
    </row>
    <row r="894" spans="1:32" ht="15" x14ac:dyDescent="0.25">
      <c r="A894" s="356"/>
      <c r="B894" s="359"/>
      <c r="C894" s="325" t="s">
        <v>846</v>
      </c>
      <c r="D894" s="352">
        <v>0.28999999999999998</v>
      </c>
      <c r="E894" s="352">
        <v>1.05</v>
      </c>
      <c r="F894" s="370">
        <v>0.76</v>
      </c>
      <c r="G894" s="343">
        <v>3648</v>
      </c>
      <c r="H894" s="315" t="s">
        <v>0</v>
      </c>
      <c r="I894" s="315"/>
      <c r="J894" s="315"/>
      <c r="K894" s="315"/>
      <c r="L894" s="315"/>
      <c r="M894" s="315"/>
      <c r="N894" s="315"/>
      <c r="O894" s="315"/>
      <c r="P894" s="342"/>
      <c r="Q894" s="324">
        <v>80680050271</v>
      </c>
      <c r="R894" s="324">
        <v>80680050271</v>
      </c>
      <c r="S894"/>
      <c r="T894"/>
      <c r="U894"/>
      <c r="V894"/>
      <c r="W894"/>
      <c r="X894"/>
      <c r="Y894"/>
      <c r="Z894"/>
      <c r="AA894" t="s">
        <v>1097</v>
      </c>
      <c r="AB894"/>
      <c r="AC894"/>
      <c r="AD894"/>
      <c r="AE894"/>
      <c r="AF894"/>
    </row>
    <row r="895" spans="1:32" ht="22.5" x14ac:dyDescent="0.2">
      <c r="C895" s="33"/>
      <c r="S895" s="102"/>
      <c r="T895" s="625" t="s">
        <v>1092</v>
      </c>
      <c r="U895" s="625" t="s">
        <v>1093</v>
      </c>
      <c r="V895" s="625" t="s">
        <v>1094</v>
      </c>
      <c r="W895" s="625" t="s">
        <v>1095</v>
      </c>
      <c r="X895" s="625" t="s">
        <v>1096</v>
      </c>
      <c r="Y895" s="627" t="s">
        <v>269</v>
      </c>
      <c r="Z895" s="102"/>
      <c r="AA895" s="625" t="s">
        <v>1092</v>
      </c>
      <c r="AB895" s="625" t="s">
        <v>1093</v>
      </c>
      <c r="AC895" s="625" t="s">
        <v>1094</v>
      </c>
      <c r="AD895" s="625" t="s">
        <v>1095</v>
      </c>
      <c r="AE895" s="625" t="s">
        <v>1096</v>
      </c>
      <c r="AF895" s="627" t="s">
        <v>269</v>
      </c>
    </row>
    <row r="896" spans="1:32" ht="12.75" customHeight="1" x14ac:dyDescent="0.2">
      <c r="A896" s="137" t="s">
        <v>819</v>
      </c>
      <c r="B896" s="138"/>
      <c r="C896" s="485"/>
      <c r="D896" s="139"/>
      <c r="E896" s="140"/>
      <c r="F896" s="141">
        <f>SUM(F876:F894)</f>
        <v>5.26</v>
      </c>
      <c r="G896" s="265">
        <f>SUM(G876:G894)</f>
        <v>24739</v>
      </c>
      <c r="H896" s="143"/>
      <c r="I896" s="94"/>
      <c r="J896" s="144"/>
      <c r="K896" s="145" t="s">
        <v>268</v>
      </c>
      <c r="L896" s="265">
        <f>SUM(L876:L894)</f>
        <v>0</v>
      </c>
      <c r="M896" s="265">
        <f>SUM(M876:M894)</f>
        <v>0</v>
      </c>
      <c r="N896" s="147"/>
      <c r="O896" s="145" t="s">
        <v>269</v>
      </c>
      <c r="P896" s="265">
        <f>SUM(P876:P894)</f>
        <v>127</v>
      </c>
      <c r="Q896" s="147"/>
      <c r="R896" s="147"/>
      <c r="S896" s="628" t="s">
        <v>844</v>
      </c>
      <c r="T896" s="625" t="s">
        <v>231</v>
      </c>
      <c r="U896" s="625" t="s">
        <v>231</v>
      </c>
      <c r="V896" s="625" t="s">
        <v>231</v>
      </c>
      <c r="W896" s="625" t="s">
        <v>231</v>
      </c>
      <c r="X896" s="625" t="s">
        <v>231</v>
      </c>
      <c r="Y896" s="626" t="s">
        <v>231</v>
      </c>
      <c r="Z896" s="628"/>
      <c r="AA896" s="625" t="s">
        <v>231</v>
      </c>
      <c r="AB896" s="625" t="s">
        <v>231</v>
      </c>
      <c r="AC896" s="625" t="s">
        <v>231</v>
      </c>
      <c r="AD896" s="625" t="s">
        <v>231</v>
      </c>
      <c r="AE896" s="625" t="s">
        <v>231</v>
      </c>
      <c r="AF896" s="626" t="s">
        <v>231</v>
      </c>
    </row>
    <row r="897" spans="1:32" ht="12.75" customHeight="1" x14ac:dyDescent="0.2">
      <c r="A897" s="148" t="s">
        <v>270</v>
      </c>
      <c r="B897" s="149"/>
      <c r="C897" s="486"/>
      <c r="D897" s="150"/>
      <c r="E897" s="151"/>
      <c r="F897" s="163">
        <f>SUMIFS(F876:F894,H876:H894,"melnais")</f>
        <v>2.94</v>
      </c>
      <c r="G897" s="266">
        <f>SUMIFS(G876:G894,H876:H894,"melnais")</f>
        <v>14868</v>
      </c>
      <c r="H897" s="154"/>
      <c r="I897" s="155"/>
      <c r="J897" s="147"/>
      <c r="K897" s="136"/>
      <c r="L897" s="156"/>
      <c r="M897" s="156"/>
      <c r="N897" s="147"/>
      <c r="O897" s="147"/>
      <c r="P897" s="147"/>
      <c r="Q897" s="147"/>
      <c r="R897" s="147"/>
      <c r="S897" s="616" t="s">
        <v>847</v>
      </c>
      <c r="T897" s="614">
        <f>SUMIFS(F875:F894,C875:C894,"A",H875:H894,"melnais")</f>
        <v>0</v>
      </c>
      <c r="U897" s="614">
        <f>SUMIFS(F875:F894,C875:C894,"A",H875:H894,"dubultā virsma")</f>
        <v>0</v>
      </c>
      <c r="V897" s="614">
        <f>SUMIFS(F875:F894,C875:C894,"A",H875:H894,"bruģis")</f>
        <v>0</v>
      </c>
      <c r="W897" s="614">
        <f>SUMIFS(F875:F894,C875:C894,"A",H875:H894,"grants")</f>
        <v>0</v>
      </c>
      <c r="X897" s="614">
        <f>SUMIFS(F875:F894,C875:C894,"A",H875:H894,"cits segums")</f>
        <v>0</v>
      </c>
      <c r="Y897" s="614">
        <f>SUM(T897:X897)</f>
        <v>0</v>
      </c>
      <c r="Z897" s="616" t="s">
        <v>847</v>
      </c>
      <c r="AA897" s="614">
        <f>SUMIFS(F875:F894,C875:C894,"A",H875:H894,"melnais", Q875:Q894,"Nepiederošs")</f>
        <v>0</v>
      </c>
      <c r="AB897" s="614">
        <f>SUMIFS(F875:F894,C875:C894,"A",H875:H894,"dubultā virsma", Q875:Q894,"Nepiederošs")</f>
        <v>0</v>
      </c>
      <c r="AC897" s="614">
        <f>SUMIFS(F875:F894,C875:C894,"A",H875:H894,"bruģis", Q875:Q894,"Nepiederošs")</f>
        <v>0</v>
      </c>
      <c r="AD897" s="614">
        <f>SUMIFS(F875:F894,C875:C894,"A",H875:H894,"grants", Q875:Q894,"Nepiederošs")</f>
        <v>0</v>
      </c>
      <c r="AE897" s="614">
        <f>SUMIFS(F875:F894,C875:C894,"A",H875:H894,"cits segums", Q875:Q894,"Nepiederošs")</f>
        <v>0</v>
      </c>
      <c r="AF897" s="614">
        <f>SUM(AA897:AE897)</f>
        <v>0</v>
      </c>
    </row>
    <row r="898" spans="1:32" ht="12.75" customHeight="1" x14ac:dyDescent="0.2">
      <c r="A898" s="148" t="s">
        <v>271</v>
      </c>
      <c r="B898" s="149"/>
      <c r="C898" s="486"/>
      <c r="D898" s="150"/>
      <c r="E898" s="151"/>
      <c r="F898" s="163">
        <f>SUMIFS(F876:F894,H876:H894,"bruģis")</f>
        <v>0</v>
      </c>
      <c r="G898" s="266">
        <f>SUMIFS(G876:G894,H876:H894,"bruģis")</f>
        <v>0</v>
      </c>
      <c r="H898" s="162"/>
      <c r="I898" s="94"/>
      <c r="J898" s="159"/>
      <c r="K898" s="160"/>
      <c r="L898" s="160"/>
      <c r="M898" s="160"/>
      <c r="N898" s="161"/>
      <c r="O898" s="147"/>
      <c r="P898" s="147"/>
      <c r="Q898" s="147"/>
      <c r="R898" s="147"/>
      <c r="S898" s="617" t="s">
        <v>848</v>
      </c>
      <c r="T898" s="614">
        <f>SUMIFS(F875:F894,C875:C894,"B",H875:H894,"melnais")</f>
        <v>0</v>
      </c>
      <c r="U898" s="614">
        <f>SUMIFS(F875:F894,C875:C894,"B",H875:H894,"dubultā virsma")</f>
        <v>0</v>
      </c>
      <c r="V898" s="614">
        <f>SUMIFS(F875:F894,C875:C894,"B",H875:H894,"bruģis")</f>
        <v>0</v>
      </c>
      <c r="W898" s="614">
        <f>SUMIFS(F875:F894,C875:C894,"B",H875:H894,"grants")</f>
        <v>0</v>
      </c>
      <c r="X898" s="614">
        <f>SUMIFS(F875:F894,C875:C894,"B",H875:H894,"cits segums")</f>
        <v>0</v>
      </c>
      <c r="Y898" s="614">
        <f t="shared" ref="Y898:Y900" si="211">SUM(T898:X898)</f>
        <v>0</v>
      </c>
      <c r="Z898" s="617" t="s">
        <v>848</v>
      </c>
      <c r="AA898" s="614">
        <f>SUMIFS(F875:F894,C875:C894,"B",H875:H894,"melnais", Q875:Q894,"Nepiederošs")</f>
        <v>0</v>
      </c>
      <c r="AB898" s="614">
        <f>SUMIFS(F875:F894,C875:C894,"B",H875:H894,"dubultā virsma", Q875:Q894,"Nepiederošs")</f>
        <v>0</v>
      </c>
      <c r="AC898" s="614">
        <f>SUMIFS(F875:F894,C875:C894,"B",H875:H894,"bruģis", Q875:Q894,"Nepiederošs")</f>
        <v>0</v>
      </c>
      <c r="AD898" s="614">
        <f>SUMIFS(F875:F894,C875:C894,"B",H875:H894,"grants", Q875:Q894,"Nepiederošs")</f>
        <v>0</v>
      </c>
      <c r="AE898" s="614">
        <f>SUMIFS(F875:F894,C875:C894,"B",H875:H894,"cits segums", Q875:Q894,"Nepiederošs")</f>
        <v>0</v>
      </c>
      <c r="AF898" s="614">
        <f t="shared" ref="AF898:AF900" si="212">SUM(AA898:AE898)</f>
        <v>0</v>
      </c>
    </row>
    <row r="899" spans="1:32" ht="12.75" customHeight="1" x14ac:dyDescent="0.2">
      <c r="A899" s="148" t="s">
        <v>272</v>
      </c>
      <c r="B899" s="149"/>
      <c r="C899" s="486"/>
      <c r="D899" s="150"/>
      <c r="E899" s="151"/>
      <c r="F899" s="163">
        <f>SUMIFS(F876:F894,H876:H894,"grants")</f>
        <v>2.3200000000000003</v>
      </c>
      <c r="G899" s="266">
        <f>SUMIFS(G876:G894,H876:H894,"grants")</f>
        <v>9871</v>
      </c>
      <c r="H899" s="162"/>
      <c r="I899" s="162"/>
      <c r="J899" s="159"/>
      <c r="K899" s="160"/>
      <c r="L899" s="160"/>
      <c r="M899" s="160"/>
      <c r="N899" s="161"/>
      <c r="O899" s="147"/>
      <c r="P899" s="147"/>
      <c r="Q899" s="147"/>
      <c r="R899" s="147"/>
      <c r="S899" s="615" t="s">
        <v>845</v>
      </c>
      <c r="T899" s="614">
        <f>SUMIFS(F875:F894,C875:C894,"C",H875:H894,"melnais")</f>
        <v>0</v>
      </c>
      <c r="U899" s="614">
        <f>SUMIFS(F875:F894,C875:C894,"C",H875:H894,"dubultā virsma")</f>
        <v>0</v>
      </c>
      <c r="V899" s="614">
        <f>SUMIFS(F875:F894,C875:C894,"C",H875:H894,"bruģis")</f>
        <v>0</v>
      </c>
      <c r="W899" s="614">
        <f>SUMIFS(F875:F894,C875:C894,"C",H875:H894,"grants")</f>
        <v>0</v>
      </c>
      <c r="X899" s="614">
        <f>SUMIFS(F875:F894,C875:C894,"C",H875:H894,"cits segums")</f>
        <v>0</v>
      </c>
      <c r="Y899" s="614">
        <f t="shared" si="211"/>
        <v>0</v>
      </c>
      <c r="Z899" s="615" t="s">
        <v>845</v>
      </c>
      <c r="AA899" s="614">
        <f>SUMIFS(F875:F894,C875:C894,"C",H875:H894,"melnais", Q875:Q894,"Nepiederošs")</f>
        <v>0</v>
      </c>
      <c r="AB899" s="614">
        <f>SUMIFS(F875:F894,C875:C894,"C",H875:H894,"dubultā virsma", Q875:Q894,"Nepiederošs")</f>
        <v>0</v>
      </c>
      <c r="AC899" s="614">
        <f>SUMIFS(F875:F894,C875:C894,"C",H875:H894,"bruģis", Q875:Q894,"Nepiederošs")</f>
        <v>0</v>
      </c>
      <c r="AD899" s="614">
        <f>SUMIFS(F875:F894,C875:C894,"C",H875:H894,"grants", Q875:Q894,"Nepiederošs")</f>
        <v>0</v>
      </c>
      <c r="AE899" s="614">
        <f>SUMIFS(F875:F894,C875:C894,"C",H875:H894,"cits segums", Q875:Q894,"Nepiederošs")</f>
        <v>0</v>
      </c>
      <c r="AF899" s="614">
        <f t="shared" si="212"/>
        <v>0</v>
      </c>
    </row>
    <row r="900" spans="1:32" ht="12.75" customHeight="1" x14ac:dyDescent="0.2">
      <c r="A900" s="148" t="s">
        <v>401</v>
      </c>
      <c r="B900" s="149"/>
      <c r="C900" s="486"/>
      <c r="D900" s="150"/>
      <c r="E900" s="151"/>
      <c r="F900" s="163">
        <f>SUMIFS(F876:F894,H876:H894,"cits segums")</f>
        <v>0</v>
      </c>
      <c r="G900" s="266">
        <f>SUMIFS(G876:G894,H876:H894,"cits segums")</f>
        <v>0</v>
      </c>
      <c r="H900" s="165"/>
      <c r="I900" s="162"/>
      <c r="J900" s="166"/>
      <c r="K900" s="160"/>
      <c r="L900" s="160"/>
      <c r="M900" s="160"/>
      <c r="N900" s="161"/>
      <c r="O900" s="147"/>
      <c r="P900" s="147"/>
      <c r="Q900" s="147"/>
      <c r="R900" s="147"/>
      <c r="S900" s="616" t="s">
        <v>846</v>
      </c>
      <c r="T900" s="614">
        <f>SUMIFS(F875:F894,C875:C894,"D",H875:H894,"melnais")</f>
        <v>2.94</v>
      </c>
      <c r="U900" s="614">
        <f>SUMIFS(F875:F894,C875:C894,"D",H875:H894,"dubultā virsma")</f>
        <v>0</v>
      </c>
      <c r="V900" s="614">
        <f>SUMIFS(F875:F894,C875:C894,"D",H875:H894,"bruģis")</f>
        <v>0</v>
      </c>
      <c r="W900" s="614">
        <f>SUMIFS(F875:F894,C875:C894,"D",H875:H894,"grants")</f>
        <v>2.3200000000000003</v>
      </c>
      <c r="X900" s="614">
        <f>SUMIFS(F875:F894,C875:C894,"D",H875:H894,"cits segums")</f>
        <v>0</v>
      </c>
      <c r="Y900" s="614">
        <f t="shared" si="211"/>
        <v>5.26</v>
      </c>
      <c r="Z900" s="616" t="s">
        <v>846</v>
      </c>
      <c r="AA900" s="614">
        <f>SUMIFS(F875:F894,C875:C894,"D",H875:H894,"melnais", Q875:Q894,"Nepiederošs")</f>
        <v>0</v>
      </c>
      <c r="AB900" s="614">
        <f>SUMIFS(F875:F894,C875:C894,"D",H875:H894,"dubultā virsma", Q875:Q894,"Nepiederošs")</f>
        <v>0</v>
      </c>
      <c r="AC900" s="614">
        <f>SUMIFS(F875:F894,C875:C894,"D",H875:H894,"bruģis", Q875:Q894,"Nepiederošs")</f>
        <v>0</v>
      </c>
      <c r="AD900" s="614">
        <f>SUMIFS(F875:F894,C875:C894,"D",H875:H894,"grants", Q875:Q894,"Nepiederošs")</f>
        <v>0</v>
      </c>
      <c r="AE900" s="614">
        <f>SUMIFS(F875:F894,C875:C894,"D",H875:H894,"cits segums", Q875:Q894,"Nepiederošs")</f>
        <v>0</v>
      </c>
      <c r="AF900" s="614">
        <f t="shared" si="212"/>
        <v>0</v>
      </c>
    </row>
    <row r="901" spans="1:32" ht="15" x14ac:dyDescent="0.25">
      <c r="C901" s="33"/>
      <c r="S901" s="637"/>
      <c r="T901" s="629">
        <f>SUM(T897:T900)</f>
        <v>2.94</v>
      </c>
      <c r="U901" s="629">
        <f t="shared" ref="U901:Y901" si="213">SUM(U897:U900)</f>
        <v>0</v>
      </c>
      <c r="V901" s="629">
        <f t="shared" si="213"/>
        <v>0</v>
      </c>
      <c r="W901" s="629">
        <f t="shared" si="213"/>
        <v>2.3200000000000003</v>
      </c>
      <c r="X901" s="629">
        <f t="shared" si="213"/>
        <v>0</v>
      </c>
      <c r="Y901" s="629">
        <f t="shared" si="213"/>
        <v>5.26</v>
      </c>
      <c r="Z901"/>
      <c r="AA901" s="629">
        <f>SUM(AA897:AA900)</f>
        <v>0</v>
      </c>
      <c r="AB901" s="629">
        <f t="shared" ref="AB901" si="214">SUM(AB897:AB900)</f>
        <v>0</v>
      </c>
      <c r="AC901" s="629">
        <f>SUM(AC897:AC900)</f>
        <v>0</v>
      </c>
      <c r="AD901" s="629">
        <f t="shared" ref="AD901:AF901" si="215">SUM(AD897:AD900)</f>
        <v>0</v>
      </c>
      <c r="AE901" s="629">
        <f t="shared" si="215"/>
        <v>0</v>
      </c>
      <c r="AF901" s="629">
        <f t="shared" si="215"/>
        <v>0</v>
      </c>
    </row>
    <row r="902" spans="1:32" s="38" customFormat="1" ht="15" customHeight="1" x14ac:dyDescent="0.25">
      <c r="A902" s="33"/>
      <c r="C902" s="487"/>
      <c r="D902" s="813" t="s">
        <v>1082</v>
      </c>
      <c r="E902" s="813"/>
      <c r="F902" s="813"/>
      <c r="G902" s="813"/>
      <c r="H902" s="813"/>
      <c r="I902" s="813"/>
      <c r="J902" s="813"/>
      <c r="K902" s="813"/>
      <c r="L902" s="813"/>
      <c r="M902" s="813"/>
      <c r="N902" s="813"/>
      <c r="O902" s="813"/>
      <c r="P902" s="813"/>
      <c r="Q902" s="30"/>
      <c r="R902" s="37"/>
    </row>
    <row r="903" spans="1:32" ht="12.75" customHeight="1" x14ac:dyDescent="0.2">
      <c r="A903" s="818" t="s">
        <v>244</v>
      </c>
      <c r="B903" s="825" t="s">
        <v>388</v>
      </c>
      <c r="C903" s="482"/>
      <c r="D903" s="826" t="s">
        <v>246</v>
      </c>
      <c r="E903" s="827"/>
      <c r="F903" s="827"/>
      <c r="G903" s="827"/>
      <c r="H903" s="827"/>
      <c r="I903" s="827"/>
      <c r="J903" s="827"/>
      <c r="K903" s="827"/>
      <c r="L903" s="827"/>
      <c r="M903" s="827"/>
      <c r="N903" s="827"/>
      <c r="O903" s="827"/>
      <c r="P903" s="828"/>
      <c r="Q903" s="821" t="s">
        <v>247</v>
      </c>
      <c r="R903" s="822"/>
    </row>
    <row r="904" spans="1:32" ht="12.75" customHeight="1" x14ac:dyDescent="0.2">
      <c r="A904" s="818"/>
      <c r="B904" s="825"/>
      <c r="C904" s="410"/>
      <c r="D904" s="816" t="s">
        <v>389</v>
      </c>
      <c r="E904" s="816"/>
      <c r="F904" s="816"/>
      <c r="G904" s="816"/>
      <c r="H904" s="816"/>
      <c r="I904" s="814" t="s">
        <v>249</v>
      </c>
      <c r="J904" s="814"/>
      <c r="K904" s="814"/>
      <c r="L904" s="814"/>
      <c r="M904" s="814"/>
      <c r="N904" s="814"/>
      <c r="O904" s="814"/>
      <c r="P904" s="815" t="s">
        <v>250</v>
      </c>
      <c r="Q904" s="823"/>
      <c r="R904" s="824"/>
    </row>
    <row r="905" spans="1:32" ht="15.2" customHeight="1" x14ac:dyDescent="0.2">
      <c r="A905" s="818"/>
      <c r="B905" s="825"/>
      <c r="C905" s="410"/>
      <c r="D905" s="816" t="s">
        <v>251</v>
      </c>
      <c r="E905" s="816"/>
      <c r="F905" s="817" t="s">
        <v>252</v>
      </c>
      <c r="G905" s="817" t="s">
        <v>257</v>
      </c>
      <c r="H905" s="818" t="s">
        <v>253</v>
      </c>
      <c r="I905" s="819" t="s">
        <v>254</v>
      </c>
      <c r="J905" s="814" t="s">
        <v>255</v>
      </c>
      <c r="K905" s="814"/>
      <c r="L905" s="820" t="s">
        <v>256</v>
      </c>
      <c r="M905" s="820" t="s">
        <v>257</v>
      </c>
      <c r="N905" s="820" t="s">
        <v>258</v>
      </c>
      <c r="O905" s="820" t="s">
        <v>259</v>
      </c>
      <c r="P905" s="809"/>
      <c r="Q905" s="809" t="s">
        <v>260</v>
      </c>
      <c r="R905" s="811" t="s">
        <v>261</v>
      </c>
    </row>
    <row r="906" spans="1:32" ht="33.75" customHeight="1" x14ac:dyDescent="0.2">
      <c r="A906" s="818"/>
      <c r="B906" s="825"/>
      <c r="C906" s="432" t="s">
        <v>844</v>
      </c>
      <c r="D906" s="95" t="s">
        <v>262</v>
      </c>
      <c r="E906" s="95" t="s">
        <v>263</v>
      </c>
      <c r="F906" s="817"/>
      <c r="G906" s="817"/>
      <c r="H906" s="818"/>
      <c r="I906" s="819"/>
      <c r="J906" s="96" t="s">
        <v>231</v>
      </c>
      <c r="K906" s="96" t="s">
        <v>264</v>
      </c>
      <c r="L906" s="820"/>
      <c r="M906" s="820"/>
      <c r="N906" s="820"/>
      <c r="O906" s="820"/>
      <c r="P906" s="810"/>
      <c r="Q906" s="810"/>
      <c r="R906" s="812"/>
    </row>
    <row r="907" spans="1:32" s="99" customFormat="1" ht="12" customHeight="1" x14ac:dyDescent="0.25">
      <c r="A907" s="200">
        <v>1</v>
      </c>
      <c r="B907" s="200">
        <v>2</v>
      </c>
      <c r="C907" s="200"/>
      <c r="D907" s="200">
        <v>3</v>
      </c>
      <c r="E907" s="200">
        <v>4</v>
      </c>
      <c r="F907" s="200">
        <v>5</v>
      </c>
      <c r="G907" s="200">
        <v>6</v>
      </c>
      <c r="H907" s="200">
        <v>7</v>
      </c>
      <c r="I907" s="201">
        <v>8</v>
      </c>
      <c r="J907" s="201">
        <v>9</v>
      </c>
      <c r="K907" s="201">
        <v>10</v>
      </c>
      <c r="L907" s="201">
        <v>11</v>
      </c>
      <c r="M907" s="201">
        <v>12</v>
      </c>
      <c r="N907" s="201">
        <v>13</v>
      </c>
      <c r="O907" s="201">
        <v>14</v>
      </c>
      <c r="P907" s="201">
        <v>15</v>
      </c>
      <c r="Q907" s="98">
        <v>16</v>
      </c>
      <c r="R907" s="97">
        <v>17</v>
      </c>
    </row>
    <row r="908" spans="1:32" x14ac:dyDescent="0.2">
      <c r="A908" s="342">
        <v>2</v>
      </c>
      <c r="B908" s="351" t="s">
        <v>212</v>
      </c>
      <c r="C908" s="325" t="s">
        <v>846</v>
      </c>
      <c r="D908" s="685">
        <v>0</v>
      </c>
      <c r="E908" s="370">
        <v>0.06</v>
      </c>
      <c r="F908" s="370">
        <v>0.06</v>
      </c>
      <c r="G908" s="343">
        <v>300</v>
      </c>
      <c r="H908" s="334" t="s">
        <v>4</v>
      </c>
      <c r="I908" s="254"/>
      <c r="J908" s="609"/>
      <c r="K908" s="609"/>
      <c r="L908" s="609"/>
      <c r="M908" s="609"/>
      <c r="N908" s="609"/>
      <c r="O908" s="609"/>
      <c r="P908" s="609"/>
      <c r="Q908" s="331"/>
      <c r="R908" s="331" t="s">
        <v>1215</v>
      </c>
    </row>
    <row r="909" spans="1:32" x14ac:dyDescent="0.2">
      <c r="A909" s="375"/>
      <c r="B909" s="360"/>
      <c r="C909" s="325" t="s">
        <v>846</v>
      </c>
      <c r="D909" s="685">
        <v>0.11</v>
      </c>
      <c r="E909" s="370">
        <v>0.2</v>
      </c>
      <c r="F909" s="370">
        <v>0.09</v>
      </c>
      <c r="G909" s="343">
        <v>450</v>
      </c>
      <c r="H909" s="334" t="s">
        <v>4</v>
      </c>
      <c r="I909" s="254"/>
      <c r="J909" s="609"/>
      <c r="K909" s="609"/>
      <c r="L909" s="609"/>
      <c r="M909" s="609"/>
      <c r="N909" s="609"/>
      <c r="O909" s="609"/>
      <c r="P909" s="609"/>
      <c r="Q909" s="331"/>
      <c r="R909" s="331" t="s">
        <v>1215</v>
      </c>
    </row>
    <row r="910" spans="1:32" x14ac:dyDescent="0.2">
      <c r="A910" s="333">
        <v>4</v>
      </c>
      <c r="B910" s="372" t="s">
        <v>821</v>
      </c>
      <c r="C910" s="478" t="s">
        <v>846</v>
      </c>
      <c r="D910" s="352">
        <v>0</v>
      </c>
      <c r="E910" s="352">
        <v>0.17199999999999999</v>
      </c>
      <c r="F910" s="370">
        <v>0.17199999999999999</v>
      </c>
      <c r="G910" s="343">
        <v>587</v>
      </c>
      <c r="H910" s="315" t="s">
        <v>4</v>
      </c>
      <c r="I910" s="254"/>
      <c r="J910" s="255"/>
      <c r="K910" s="255"/>
      <c r="L910" s="255"/>
      <c r="M910" s="255"/>
      <c r="N910" s="255"/>
      <c r="O910" s="255"/>
      <c r="P910" s="255"/>
      <c r="Q910" s="324">
        <v>80680100154</v>
      </c>
      <c r="R910" s="324">
        <v>80680100154</v>
      </c>
    </row>
    <row r="911" spans="1:32" x14ac:dyDescent="0.2">
      <c r="A911" s="336"/>
      <c r="B911" s="374"/>
      <c r="C911" s="478" t="s">
        <v>846</v>
      </c>
      <c r="D911" s="352">
        <v>0.17199999999999999</v>
      </c>
      <c r="E911" s="352">
        <v>0.23599999999999999</v>
      </c>
      <c r="F911" s="370">
        <v>6.4000000000000001E-2</v>
      </c>
      <c r="G911" s="343">
        <v>192</v>
      </c>
      <c r="H911" s="315" t="s">
        <v>325</v>
      </c>
      <c r="I911" s="254"/>
      <c r="J911" s="255"/>
      <c r="K911" s="255"/>
      <c r="L911" s="255"/>
      <c r="M911" s="255"/>
      <c r="N911" s="255"/>
      <c r="O911" s="255"/>
      <c r="P911" s="255"/>
      <c r="Q911" s="324">
        <v>80680100177</v>
      </c>
      <c r="R911" s="324">
        <v>80680100178</v>
      </c>
    </row>
    <row r="912" spans="1:32" x14ac:dyDescent="0.2">
      <c r="A912" s="324">
        <v>6</v>
      </c>
      <c r="B912" s="374" t="s">
        <v>1216</v>
      </c>
      <c r="C912" s="681" t="s">
        <v>846</v>
      </c>
      <c r="D912" s="370">
        <v>0</v>
      </c>
      <c r="E912" s="370">
        <v>0.155</v>
      </c>
      <c r="F912" s="370">
        <f>E912-D912</f>
        <v>0.155</v>
      </c>
      <c r="G912" s="343">
        <v>775</v>
      </c>
      <c r="H912" s="334" t="s">
        <v>4</v>
      </c>
      <c r="I912" s="254"/>
      <c r="J912" s="609"/>
      <c r="K912" s="609"/>
      <c r="L912" s="609"/>
      <c r="M912" s="609"/>
      <c r="N912" s="609"/>
      <c r="O912" s="609"/>
      <c r="P912" s="609"/>
      <c r="Q912" s="324"/>
      <c r="R912" s="324">
        <v>80680100220</v>
      </c>
    </row>
    <row r="913" spans="1:32" x14ac:dyDescent="0.2">
      <c r="A913" s="324">
        <v>7</v>
      </c>
      <c r="B913" s="374" t="s">
        <v>161</v>
      </c>
      <c r="C913" s="325" t="s">
        <v>846</v>
      </c>
      <c r="D913" s="370">
        <v>0</v>
      </c>
      <c r="E913" s="370">
        <v>0.25</v>
      </c>
      <c r="F913" s="370">
        <f>E913-D913</f>
        <v>0.25</v>
      </c>
      <c r="G913" s="343">
        <v>1240</v>
      </c>
      <c r="H913" s="334" t="s">
        <v>4</v>
      </c>
      <c r="I913" s="254"/>
      <c r="J913" s="609"/>
      <c r="K913" s="609"/>
      <c r="L913" s="609"/>
      <c r="M913" s="609"/>
      <c r="N913" s="609"/>
      <c r="O913" s="609"/>
      <c r="P913" s="609"/>
      <c r="Q913" s="324"/>
      <c r="R913" s="324">
        <v>80680100214</v>
      </c>
    </row>
    <row r="914" spans="1:32" x14ac:dyDescent="0.2">
      <c r="A914" s="324">
        <v>8</v>
      </c>
      <c r="B914" s="374" t="s">
        <v>186</v>
      </c>
      <c r="C914" s="681" t="s">
        <v>846</v>
      </c>
      <c r="D914" s="370">
        <v>0</v>
      </c>
      <c r="E914" s="370">
        <v>0.13</v>
      </c>
      <c r="F914" s="370">
        <f>E914-D914</f>
        <v>0.13</v>
      </c>
      <c r="G914" s="343">
        <v>650</v>
      </c>
      <c r="H914" s="334" t="s">
        <v>4</v>
      </c>
      <c r="I914" s="254"/>
      <c r="J914" s="609"/>
      <c r="K914" s="609"/>
      <c r="L914" s="609"/>
      <c r="M914" s="609"/>
      <c r="N914" s="609"/>
      <c r="O914" s="609"/>
      <c r="P914" s="609"/>
      <c r="Q914" s="324"/>
      <c r="R914" s="324">
        <v>80680100208</v>
      </c>
    </row>
    <row r="915" spans="1:32" ht="15" x14ac:dyDescent="0.25">
      <c r="A915" s="324">
        <v>9</v>
      </c>
      <c r="B915" s="374" t="s">
        <v>217</v>
      </c>
      <c r="C915" s="325" t="s">
        <v>846</v>
      </c>
      <c r="D915" s="370">
        <v>0</v>
      </c>
      <c r="E915" s="370">
        <v>0.115</v>
      </c>
      <c r="F915" s="370">
        <f>E915-D915</f>
        <v>0.115</v>
      </c>
      <c r="G915" s="343">
        <v>575</v>
      </c>
      <c r="H915" s="334" t="s">
        <v>4</v>
      </c>
      <c r="I915" s="254"/>
      <c r="J915" s="609"/>
      <c r="K915" s="609"/>
      <c r="L915" s="609"/>
      <c r="M915" s="609"/>
      <c r="N915" s="609"/>
      <c r="O915" s="609"/>
      <c r="P915" s="609"/>
      <c r="Q915" s="324"/>
      <c r="R915" s="324">
        <v>80680100204</v>
      </c>
      <c r="AA915" t="s">
        <v>1097</v>
      </c>
    </row>
    <row r="916" spans="1:32" ht="22.5" x14ac:dyDescent="0.2">
      <c r="C916" s="33"/>
      <c r="S916" s="102"/>
      <c r="T916" s="625" t="s">
        <v>1092</v>
      </c>
      <c r="U916" s="625" t="s">
        <v>1093</v>
      </c>
      <c r="V916" s="625" t="s">
        <v>1094</v>
      </c>
      <c r="W916" s="625" t="s">
        <v>1095</v>
      </c>
      <c r="X916" s="625" t="s">
        <v>1096</v>
      </c>
      <c r="Y916" s="627" t="s">
        <v>269</v>
      </c>
      <c r="Z916" s="102"/>
      <c r="AA916" s="625" t="s">
        <v>1092</v>
      </c>
      <c r="AB916" s="625" t="s">
        <v>1093</v>
      </c>
      <c r="AC916" s="625" t="s">
        <v>1094</v>
      </c>
      <c r="AD916" s="625" t="s">
        <v>1095</v>
      </c>
      <c r="AE916" s="625" t="s">
        <v>1096</v>
      </c>
      <c r="AF916" s="627" t="s">
        <v>269</v>
      </c>
    </row>
    <row r="917" spans="1:32" ht="12.75" customHeight="1" x14ac:dyDescent="0.2">
      <c r="A917" s="137" t="s">
        <v>822</v>
      </c>
      <c r="B917" s="138"/>
      <c r="C917" s="485"/>
      <c r="D917" s="139"/>
      <c r="E917" s="140"/>
      <c r="F917" s="141">
        <f>SUM(F908:F915)</f>
        <v>1.036</v>
      </c>
      <c r="G917" s="265">
        <f>SUM(G908:G915)</f>
        <v>4769</v>
      </c>
      <c r="H917" s="143"/>
      <c r="I917" s="94"/>
      <c r="J917" s="144"/>
      <c r="K917" s="145" t="s">
        <v>268</v>
      </c>
      <c r="L917" s="265">
        <f>SUM(L908:L915)</f>
        <v>0</v>
      </c>
      <c r="M917" s="265">
        <f>SUM(M908:M915)</f>
        <v>0</v>
      </c>
      <c r="N917" s="147"/>
      <c r="O917" s="145" t="s">
        <v>269</v>
      </c>
      <c r="P917" s="265">
        <f>SUM(P908:P915)</f>
        <v>0</v>
      </c>
      <c r="Q917" s="147"/>
      <c r="R917" s="147"/>
      <c r="S917" s="628" t="s">
        <v>844</v>
      </c>
      <c r="T917" s="625" t="s">
        <v>231</v>
      </c>
      <c r="U917" s="625" t="s">
        <v>231</v>
      </c>
      <c r="V917" s="625" t="s">
        <v>231</v>
      </c>
      <c r="W917" s="625" t="s">
        <v>231</v>
      </c>
      <c r="X917" s="625" t="s">
        <v>231</v>
      </c>
      <c r="Y917" s="626" t="s">
        <v>231</v>
      </c>
      <c r="Z917" s="628"/>
      <c r="AA917" s="625" t="s">
        <v>231</v>
      </c>
      <c r="AB917" s="625" t="s">
        <v>231</v>
      </c>
      <c r="AC917" s="625" t="s">
        <v>231</v>
      </c>
      <c r="AD917" s="625" t="s">
        <v>231</v>
      </c>
      <c r="AE917" s="625" t="s">
        <v>231</v>
      </c>
      <c r="AF917" s="626" t="s">
        <v>231</v>
      </c>
    </row>
    <row r="918" spans="1:32" ht="12.75" customHeight="1" x14ac:dyDescent="0.2">
      <c r="A918" s="148" t="s">
        <v>270</v>
      </c>
      <c r="B918" s="149"/>
      <c r="C918" s="486"/>
      <c r="D918" s="150"/>
      <c r="E918" s="151"/>
      <c r="F918" s="163">
        <f>SUMIFS(F908:F915,H908:H915,"melnais")</f>
        <v>0.97199999999999998</v>
      </c>
      <c r="G918" s="266">
        <f>SUMIFS(G908:G915,H908:H915,"melnais")</f>
        <v>4577</v>
      </c>
      <c r="H918" s="154"/>
      <c r="I918" s="155"/>
      <c r="J918" s="147"/>
      <c r="K918" s="136"/>
      <c r="L918" s="156"/>
      <c r="M918" s="156"/>
      <c r="N918" s="147"/>
      <c r="O918" s="147"/>
      <c r="P918" s="147"/>
      <c r="Q918" s="147"/>
      <c r="R918" s="147"/>
      <c r="S918" s="616" t="s">
        <v>847</v>
      </c>
      <c r="T918" s="614">
        <f>SUMIFS(F907:F915,C907:C915,"A",H907:H915,"melnais")</f>
        <v>0</v>
      </c>
      <c r="U918" s="614">
        <f>SUMIFS(F907:F915,C907:C915,"A",H907:H915,"dubultā virsma")</f>
        <v>0</v>
      </c>
      <c r="V918" s="614">
        <f>SUMIFS(F907:F915,C907:C915,"A",H907:H915,"bruģis")</f>
        <v>0</v>
      </c>
      <c r="W918" s="614">
        <f>SUMIFS(F907:F915,C907:C915,"A",H907:H915,"grants")</f>
        <v>0</v>
      </c>
      <c r="X918" s="614">
        <f>SUMIFS(F907:F915,C907:C915,"A",H907:H915,"cits segums")</f>
        <v>0</v>
      </c>
      <c r="Y918" s="614">
        <f>SUM(T918:X918)</f>
        <v>0</v>
      </c>
      <c r="Z918" s="616" t="s">
        <v>847</v>
      </c>
      <c r="AA918" s="614">
        <f>SUMIFS(F907:F915,C907:C915,"A",H907:H915,"melnais", Q907:Q915,"Nepiederošs")</f>
        <v>0</v>
      </c>
      <c r="AB918" s="614">
        <f>SUMIFS(F907:F915,C907:C915,"A",H907:H915,"dubultā virsma", Q907:Q915,"Nepiederošs")</f>
        <v>0</v>
      </c>
      <c r="AC918" s="614">
        <f>SUMIFS(F907:F915,C907:C915,"A",H907:H915,"bruģis", Q907:Q915,"Nepiederošs")</f>
        <v>0</v>
      </c>
      <c r="AD918" s="614">
        <f>SUMIFS(F907:F915,C907:C915,"A",H907:H915,"grants", Q907:Q915,"Nepiederošs")</f>
        <v>0</v>
      </c>
      <c r="AE918" s="614">
        <f>SUMIFS(F907:F915,C907:C915,"A",H907:H915,"cits segums", Q907:Q915,"Nepiederošs")</f>
        <v>0</v>
      </c>
      <c r="AF918" s="614">
        <f>SUM(AA918:AE918)</f>
        <v>0</v>
      </c>
    </row>
    <row r="919" spans="1:32" ht="12.75" customHeight="1" x14ac:dyDescent="0.2">
      <c r="A919" s="148" t="s">
        <v>271</v>
      </c>
      <c r="B919" s="149"/>
      <c r="C919" s="486"/>
      <c r="D919" s="150"/>
      <c r="E919" s="151"/>
      <c r="F919" s="163">
        <f>SUMIFS(F908:F915,H908:H915,"bruģis")</f>
        <v>0</v>
      </c>
      <c r="G919" s="266">
        <f>SUMIFS(G908:G915,H908:H915,"bruģis")</f>
        <v>0</v>
      </c>
      <c r="H919" s="162"/>
      <c r="I919" s="94"/>
      <c r="J919" s="159"/>
      <c r="K919" s="160"/>
      <c r="L919" s="160"/>
      <c r="M919" s="160"/>
      <c r="N919" s="161"/>
      <c r="O919" s="147"/>
      <c r="P919" s="147"/>
      <c r="Q919" s="147"/>
      <c r="R919" s="147"/>
      <c r="S919" s="617" t="s">
        <v>848</v>
      </c>
      <c r="T919" s="614">
        <f>SUMIFS(F907:F915,C907:C915,"B",H907:H915,"melnais")</f>
        <v>0</v>
      </c>
      <c r="U919" s="614">
        <f>SUMIFS(F907:F915,C907:C915,"B",H907:H915,"dubultā virsma")</f>
        <v>0</v>
      </c>
      <c r="V919" s="614">
        <f>SUMIFS(F907:F915,C907:C915,"B",H907:H915,"bruģis")</f>
        <v>0</v>
      </c>
      <c r="W919" s="614">
        <f>SUMIFS(F907:F915,C907:C915,"B",H907:H915,"grants")</f>
        <v>0</v>
      </c>
      <c r="X919" s="614">
        <f>SUMIFS(F907:F915,C907:C915,"B",H907:H915,"cits segums")</f>
        <v>0</v>
      </c>
      <c r="Y919" s="614">
        <f t="shared" ref="Y919:Y921" si="216">SUM(T919:X919)</f>
        <v>0</v>
      </c>
      <c r="Z919" s="617" t="s">
        <v>848</v>
      </c>
      <c r="AA919" s="614">
        <f>SUMIFS(F907:F915,C907:C915,"B",H907:H915,"melnais", Q907:Q915,"Nepiederošs")</f>
        <v>0</v>
      </c>
      <c r="AB919" s="614">
        <f>SUMIFS(F907:F915,C907:C915,"B",H907:H915,"dubultā virsma", Q907:Q915,"Nepiederošs")</f>
        <v>0</v>
      </c>
      <c r="AC919" s="614">
        <f>SUMIFS(F907:F915,C907:C915,"B",H907:H915,"bruģis", Q907:Q915,"Nepiederošs")</f>
        <v>0</v>
      </c>
      <c r="AD919" s="614">
        <f>SUMIFS(F907:F915,C907:C915,"B",H907:H915,"grants", Q907:Q915,"Nepiederošs")</f>
        <v>0</v>
      </c>
      <c r="AE919" s="614">
        <f>SUMIFS(F907:F915,C907:C915,"B",H907:H915,"cits segums", Q907:Q915,"Nepiederošs")</f>
        <v>0</v>
      </c>
      <c r="AF919" s="614">
        <f t="shared" ref="AF919:AF921" si="217">SUM(AA919:AE919)</f>
        <v>0</v>
      </c>
    </row>
    <row r="920" spans="1:32" ht="12.75" customHeight="1" x14ac:dyDescent="0.2">
      <c r="A920" s="148" t="s">
        <v>272</v>
      </c>
      <c r="B920" s="149"/>
      <c r="C920" s="486"/>
      <c r="D920" s="150"/>
      <c r="E920" s="151"/>
      <c r="F920" s="163">
        <f>SUMIFS(F908:F915,H908:H915,"grants")</f>
        <v>0</v>
      </c>
      <c r="G920" s="266">
        <f>SUMIFS(G908:G915,H908:H915,"grants")</f>
        <v>0</v>
      </c>
      <c r="H920" s="162"/>
      <c r="I920" s="162"/>
      <c r="J920" s="159"/>
      <c r="K920" s="160"/>
      <c r="L920" s="160"/>
      <c r="M920" s="160"/>
      <c r="N920" s="161"/>
      <c r="O920" s="147"/>
      <c r="P920" s="147"/>
      <c r="Q920" s="147"/>
      <c r="R920" s="147"/>
      <c r="S920" s="615" t="s">
        <v>845</v>
      </c>
      <c r="T920" s="614">
        <f>SUMIFS(F907:F915,C907:C915,"C",H907:H915,"melnais")</f>
        <v>0</v>
      </c>
      <c r="U920" s="614">
        <f>SUMIFS(F907:F915,C907:C915,"C",H907:H915,"dubultā virsma")</f>
        <v>0</v>
      </c>
      <c r="V920" s="614">
        <f>SUMIFS(F907:F915,C907:C915,"C",H907:H915,"bruģis")</f>
        <v>0</v>
      </c>
      <c r="W920" s="614">
        <f>SUMIFS(F907:F915,C907:C915,"C",H907:H915,"grants")</f>
        <v>0</v>
      </c>
      <c r="X920" s="614">
        <f>SUMIFS(F907:F915,C907:C915,"C",H907:H915,"cits segums")</f>
        <v>0</v>
      </c>
      <c r="Y920" s="614">
        <f t="shared" si="216"/>
        <v>0</v>
      </c>
      <c r="Z920" s="615" t="s">
        <v>845</v>
      </c>
      <c r="AA920" s="614">
        <f>SUMIFS(F907:F915,C907:C915,"C",H907:H915,"melnais", Q907:Q915,"Nepiederošs")</f>
        <v>0</v>
      </c>
      <c r="AB920" s="614">
        <f>SUMIFS(F907:F915,C907:C915,"C",H907:H915,"dubultā virsma", Q907:Q915,"Nepiederošs")</f>
        <v>0</v>
      </c>
      <c r="AC920" s="614">
        <f>SUMIFS(F907:F915,C907:C915,"C",H907:H915,"bruģis", Q907:Q915,"Nepiederošs")</f>
        <v>0</v>
      </c>
      <c r="AD920" s="614">
        <f>SUMIFS(F907:F915,C907:C915,"C",H907:H915,"grants", Q907:Q915,"Nepiederošs")</f>
        <v>0</v>
      </c>
      <c r="AE920" s="614">
        <f>SUMIFS(F907:F915,C907:C915,"C",H907:H915,"cits segums", Q907:Q915,"Nepiederošs")</f>
        <v>0</v>
      </c>
      <c r="AF920" s="614">
        <f t="shared" si="217"/>
        <v>0</v>
      </c>
    </row>
    <row r="921" spans="1:32" ht="12.75" customHeight="1" x14ac:dyDescent="0.2">
      <c r="A921" s="148" t="s">
        <v>401</v>
      </c>
      <c r="B921" s="149"/>
      <c r="C921" s="486"/>
      <c r="D921" s="150"/>
      <c r="E921" s="151"/>
      <c r="F921" s="163">
        <f>SUMIFS(F908:F915,H908:H915,"cits segums")</f>
        <v>6.4000000000000001E-2</v>
      </c>
      <c r="G921" s="266">
        <f>SUMIFS(G908:G915,H908:H915,"cits segums")</f>
        <v>192</v>
      </c>
      <c r="H921" s="165"/>
      <c r="I921" s="162"/>
      <c r="J921" s="166"/>
      <c r="K921" s="160"/>
      <c r="L921" s="160"/>
      <c r="M921" s="160"/>
      <c r="N921" s="161"/>
      <c r="O921" s="147"/>
      <c r="P921" s="147"/>
      <c r="Q921" s="147"/>
      <c r="R921" s="147"/>
      <c r="S921" s="616" t="s">
        <v>846</v>
      </c>
      <c r="T921" s="614">
        <f>SUMIFS(F907:F915,C907:C915,"D",H907:H915,"melnais")</f>
        <v>0.97199999999999998</v>
      </c>
      <c r="U921" s="614">
        <f>SUMIFS(F907:F915,C907:C915,"D",H907:H915,"dubultā virsma")</f>
        <v>0</v>
      </c>
      <c r="V921" s="614">
        <f>SUMIFS(F907:F915,C907:C915,"D",H907:H915,"bruģis")</f>
        <v>0</v>
      </c>
      <c r="W921" s="614">
        <f>SUMIFS(F907:F915,C907:C915,"D",H907:H915,"grants")</f>
        <v>0</v>
      </c>
      <c r="X921" s="614">
        <f>SUMIFS(F907:F915,C907:C915,"D",H907:H915,"cits segums")</f>
        <v>6.4000000000000001E-2</v>
      </c>
      <c r="Y921" s="614">
        <f t="shared" si="216"/>
        <v>1.036</v>
      </c>
      <c r="Z921" s="616" t="s">
        <v>846</v>
      </c>
      <c r="AA921" s="614">
        <f>SUMIFS(F907:F915,C907:C915,"D",H907:H915,"melnais", Q907:Q915,"Nepiederošs")</f>
        <v>0</v>
      </c>
      <c r="AB921" s="614">
        <f>SUMIFS(F907:F915,C907:C915,"D",H907:H915,"dubultā virsma", Q907:Q915,"Nepiederošs")</f>
        <v>0</v>
      </c>
      <c r="AC921" s="614">
        <f>SUMIFS(F907:F915,C907:C915,"D",H907:H915,"bruģis", Q907:Q915,"Nepiederošs")</f>
        <v>0</v>
      </c>
      <c r="AD921" s="614">
        <f>SUMIFS(F907:F915,C907:C915,"D",H907:H915,"grants", Q907:Q915,"Nepiederošs")</f>
        <v>0</v>
      </c>
      <c r="AE921" s="614">
        <f>SUMIFS(F907:F915,C907:C915,"D",H907:H915,"cits segums", Q907:Q915,"Nepiederošs")</f>
        <v>0</v>
      </c>
      <c r="AF921" s="614">
        <f t="shared" si="217"/>
        <v>0</v>
      </c>
    </row>
    <row r="922" spans="1:32" ht="15" x14ac:dyDescent="0.25">
      <c r="C922" s="33"/>
      <c r="S922" s="637"/>
      <c r="T922" s="629">
        <f>SUM(T918:T921)</f>
        <v>0.97199999999999998</v>
      </c>
      <c r="U922" s="629">
        <f t="shared" ref="U922:Y922" si="218">SUM(U918:U921)</f>
        <v>0</v>
      </c>
      <c r="V922" s="629">
        <f t="shared" si="218"/>
        <v>0</v>
      </c>
      <c r="W922" s="629">
        <f t="shared" si="218"/>
        <v>0</v>
      </c>
      <c r="X922" s="629">
        <f t="shared" si="218"/>
        <v>6.4000000000000001E-2</v>
      </c>
      <c r="Y922" s="629">
        <f t="shared" si="218"/>
        <v>1.036</v>
      </c>
      <c r="Z922"/>
      <c r="AA922" s="629">
        <f>SUM(AA918:AA921)</f>
        <v>0</v>
      </c>
      <c r="AB922" s="629">
        <f t="shared" ref="AB922" si="219">SUM(AB918:AB921)</f>
        <v>0</v>
      </c>
      <c r="AC922" s="629">
        <f>SUM(AC918:AC921)</f>
        <v>0</v>
      </c>
      <c r="AD922" s="629">
        <f t="shared" ref="AD922:AF922" si="220">SUM(AD918:AD921)</f>
        <v>0</v>
      </c>
      <c r="AE922" s="629">
        <f t="shared" si="220"/>
        <v>0</v>
      </c>
      <c r="AF922" s="629">
        <f t="shared" si="220"/>
        <v>0</v>
      </c>
    </row>
    <row r="923" spans="1:32" s="38" customFormat="1" ht="15" customHeight="1" x14ac:dyDescent="0.25">
      <c r="A923" s="33"/>
      <c r="C923" s="487"/>
      <c r="D923" s="813" t="s">
        <v>1083</v>
      </c>
      <c r="E923" s="813"/>
      <c r="F923" s="813"/>
      <c r="G923" s="813"/>
      <c r="H923" s="813"/>
      <c r="I923" s="813"/>
      <c r="J923" s="813"/>
      <c r="K923" s="813"/>
      <c r="L923" s="813"/>
      <c r="M923" s="813"/>
      <c r="N923" s="813"/>
      <c r="O923" s="813"/>
      <c r="P923" s="813"/>
      <c r="Q923" s="30"/>
      <c r="R923" s="37"/>
    </row>
    <row r="924" spans="1:32" ht="12.75" customHeight="1" x14ac:dyDescent="0.2">
      <c r="A924" s="818" t="s">
        <v>244</v>
      </c>
      <c r="B924" s="825" t="s">
        <v>388</v>
      </c>
      <c r="C924" s="482"/>
      <c r="D924" s="826" t="s">
        <v>246</v>
      </c>
      <c r="E924" s="827"/>
      <c r="F924" s="827"/>
      <c r="G924" s="827"/>
      <c r="H924" s="827"/>
      <c r="I924" s="827"/>
      <c r="J924" s="827"/>
      <c r="K924" s="827"/>
      <c r="L924" s="827"/>
      <c r="M924" s="827"/>
      <c r="N924" s="827"/>
      <c r="O924" s="827"/>
      <c r="P924" s="828"/>
      <c r="Q924" s="821" t="s">
        <v>247</v>
      </c>
      <c r="R924" s="822"/>
    </row>
    <row r="925" spans="1:32" ht="12.75" customHeight="1" x14ac:dyDescent="0.2">
      <c r="A925" s="818"/>
      <c r="B925" s="825"/>
      <c r="C925" s="410"/>
      <c r="D925" s="816" t="s">
        <v>389</v>
      </c>
      <c r="E925" s="816"/>
      <c r="F925" s="816"/>
      <c r="G925" s="816"/>
      <c r="H925" s="816"/>
      <c r="I925" s="814" t="s">
        <v>249</v>
      </c>
      <c r="J925" s="814"/>
      <c r="K925" s="814"/>
      <c r="L925" s="814"/>
      <c r="M925" s="814"/>
      <c r="N925" s="814"/>
      <c r="O925" s="814"/>
      <c r="P925" s="815" t="s">
        <v>250</v>
      </c>
      <c r="Q925" s="823"/>
      <c r="R925" s="824"/>
    </row>
    <row r="926" spans="1:32" ht="15.2" customHeight="1" x14ac:dyDescent="0.2">
      <c r="A926" s="818"/>
      <c r="B926" s="825"/>
      <c r="C926" s="410"/>
      <c r="D926" s="816" t="s">
        <v>251</v>
      </c>
      <c r="E926" s="816"/>
      <c r="F926" s="817" t="s">
        <v>252</v>
      </c>
      <c r="G926" s="817" t="s">
        <v>257</v>
      </c>
      <c r="H926" s="818" t="s">
        <v>253</v>
      </c>
      <c r="I926" s="819" t="s">
        <v>254</v>
      </c>
      <c r="J926" s="814" t="s">
        <v>255</v>
      </c>
      <c r="K926" s="814"/>
      <c r="L926" s="820" t="s">
        <v>256</v>
      </c>
      <c r="M926" s="820" t="s">
        <v>257</v>
      </c>
      <c r="N926" s="820" t="s">
        <v>258</v>
      </c>
      <c r="O926" s="820" t="s">
        <v>259</v>
      </c>
      <c r="P926" s="809"/>
      <c r="Q926" s="809" t="s">
        <v>260</v>
      </c>
      <c r="R926" s="811" t="s">
        <v>261</v>
      </c>
    </row>
    <row r="927" spans="1:32" ht="33.75" customHeight="1" x14ac:dyDescent="0.2">
      <c r="A927" s="818"/>
      <c r="B927" s="825"/>
      <c r="C927" s="432" t="s">
        <v>844</v>
      </c>
      <c r="D927" s="95" t="s">
        <v>262</v>
      </c>
      <c r="E927" s="95" t="s">
        <v>263</v>
      </c>
      <c r="F927" s="817"/>
      <c r="G927" s="817"/>
      <c r="H927" s="818"/>
      <c r="I927" s="819"/>
      <c r="J927" s="96" t="s">
        <v>231</v>
      </c>
      <c r="K927" s="96" t="s">
        <v>264</v>
      </c>
      <c r="L927" s="820"/>
      <c r="M927" s="820"/>
      <c r="N927" s="820"/>
      <c r="O927" s="820"/>
      <c r="P927" s="810"/>
      <c r="Q927" s="810"/>
      <c r="R927" s="812"/>
    </row>
    <row r="928" spans="1:32" s="99" customFormat="1" ht="12" customHeight="1" x14ac:dyDescent="0.25">
      <c r="A928" s="200">
        <v>1</v>
      </c>
      <c r="B928" s="200">
        <v>2</v>
      </c>
      <c r="C928" s="200"/>
      <c r="D928" s="200">
        <v>3</v>
      </c>
      <c r="E928" s="200">
        <v>4</v>
      </c>
      <c r="F928" s="200">
        <v>5</v>
      </c>
      <c r="G928" s="200">
        <v>6</v>
      </c>
      <c r="H928" s="200">
        <v>7</v>
      </c>
      <c r="I928" s="201">
        <v>8</v>
      </c>
      <c r="J928" s="201">
        <v>9</v>
      </c>
      <c r="K928" s="201">
        <v>10</v>
      </c>
      <c r="L928" s="201">
        <v>11</v>
      </c>
      <c r="M928" s="201">
        <v>12</v>
      </c>
      <c r="N928" s="201">
        <v>13</v>
      </c>
      <c r="O928" s="201">
        <v>14</v>
      </c>
      <c r="P928" s="201">
        <v>15</v>
      </c>
      <c r="Q928" s="201">
        <v>16</v>
      </c>
      <c r="R928" s="200">
        <v>17</v>
      </c>
    </row>
    <row r="929" spans="1:32" x14ac:dyDescent="0.2">
      <c r="A929" s="333">
        <v>1</v>
      </c>
      <c r="B929" s="372" t="s">
        <v>823</v>
      </c>
      <c r="C929" s="494" t="s">
        <v>846</v>
      </c>
      <c r="D929" s="352">
        <v>0</v>
      </c>
      <c r="E929" s="352">
        <v>0.15</v>
      </c>
      <c r="F929" s="370">
        <v>0.15</v>
      </c>
      <c r="G929" s="343">
        <v>450</v>
      </c>
      <c r="H929" s="315" t="s">
        <v>0</v>
      </c>
      <c r="I929" s="254"/>
      <c r="J929" s="255"/>
      <c r="K929" s="255"/>
      <c r="L929" s="255"/>
      <c r="M929" s="255"/>
      <c r="N929" s="255"/>
      <c r="O929" s="255"/>
      <c r="P929" s="255"/>
      <c r="Q929" s="324">
        <v>80680090412</v>
      </c>
      <c r="R929" s="324">
        <v>80680090412</v>
      </c>
    </row>
    <row r="930" spans="1:32" x14ac:dyDescent="0.2">
      <c r="A930" s="336"/>
      <c r="B930" s="374"/>
      <c r="C930" s="494" t="s">
        <v>846</v>
      </c>
      <c r="D930" s="352">
        <v>0.15</v>
      </c>
      <c r="E930" s="352">
        <v>0.32499999999999996</v>
      </c>
      <c r="F930" s="370">
        <v>0.17499999999999999</v>
      </c>
      <c r="G930" s="343">
        <v>525</v>
      </c>
      <c r="H930" s="315" t="s">
        <v>325</v>
      </c>
      <c r="I930" s="254"/>
      <c r="J930" s="255"/>
      <c r="K930" s="255"/>
      <c r="L930" s="255"/>
      <c r="M930" s="255"/>
      <c r="N930" s="255"/>
      <c r="O930" s="255"/>
      <c r="P930" s="255"/>
      <c r="Q930" s="324">
        <v>80680090412</v>
      </c>
      <c r="R930" s="324">
        <v>80680090412</v>
      </c>
    </row>
    <row r="931" spans="1:32" x14ac:dyDescent="0.2">
      <c r="A931" s="333">
        <v>2</v>
      </c>
      <c r="B931" s="372" t="s">
        <v>184</v>
      </c>
      <c r="C931" s="494" t="s">
        <v>846</v>
      </c>
      <c r="D931" s="370">
        <v>0</v>
      </c>
      <c r="E931" s="370">
        <v>0.13500000000000001</v>
      </c>
      <c r="F931" s="370">
        <v>0.13500000000000001</v>
      </c>
      <c r="G931" s="343">
        <v>473</v>
      </c>
      <c r="H931" s="334" t="s">
        <v>0</v>
      </c>
      <c r="I931" s="254"/>
      <c r="J931" s="255"/>
      <c r="K931" s="255"/>
      <c r="L931" s="255"/>
      <c r="M931" s="255"/>
      <c r="N931" s="255"/>
      <c r="O931" s="255"/>
      <c r="P931" s="255"/>
      <c r="Q931" s="324">
        <v>80680090368</v>
      </c>
      <c r="R931" s="324">
        <v>80680090366</v>
      </c>
    </row>
    <row r="932" spans="1:32" x14ac:dyDescent="0.2">
      <c r="A932" s="366"/>
      <c r="B932" s="373"/>
      <c r="C932" s="494" t="s">
        <v>846</v>
      </c>
      <c r="D932" s="370">
        <v>0.13500000000000001</v>
      </c>
      <c r="E932" s="370">
        <v>0.20499999999999999</v>
      </c>
      <c r="F932" s="370">
        <v>7.0000000000000007E-2</v>
      </c>
      <c r="G932" s="343">
        <v>245</v>
      </c>
      <c r="H932" s="334" t="s">
        <v>0</v>
      </c>
      <c r="I932" s="254"/>
      <c r="J932" s="255"/>
      <c r="K932" s="255"/>
      <c r="L932" s="255"/>
      <c r="M932" s="255"/>
      <c r="N932" s="255"/>
      <c r="O932" s="255"/>
      <c r="P932" s="255"/>
      <c r="Q932" s="324"/>
      <c r="R932" s="343">
        <v>80680090066005</v>
      </c>
    </row>
    <row r="933" spans="1:32" x14ac:dyDescent="0.2">
      <c r="A933" s="336"/>
      <c r="B933" s="374"/>
      <c r="C933" s="494" t="s">
        <v>846</v>
      </c>
      <c r="D933" s="370">
        <v>0.20500000000000002</v>
      </c>
      <c r="E933" s="370">
        <v>0.47000000000000003</v>
      </c>
      <c r="F933" s="370">
        <v>0.26500000000000001</v>
      </c>
      <c r="G933" s="343">
        <v>1060</v>
      </c>
      <c r="H933" s="334" t="s">
        <v>0</v>
      </c>
      <c r="I933" s="254"/>
      <c r="J933" s="255"/>
      <c r="K933" s="255"/>
      <c r="L933" s="255"/>
      <c r="M933" s="255"/>
      <c r="N933" s="255"/>
      <c r="O933" s="255"/>
      <c r="P933" s="255"/>
      <c r="Q933" s="324">
        <v>80680090368</v>
      </c>
      <c r="R933" s="343">
        <v>80680090368</v>
      </c>
    </row>
    <row r="934" spans="1:32" x14ac:dyDescent="0.2">
      <c r="A934" s="837">
        <v>3</v>
      </c>
      <c r="B934" s="835" t="s">
        <v>160</v>
      </c>
      <c r="C934" s="494" t="s">
        <v>846</v>
      </c>
      <c r="D934" s="370">
        <v>0</v>
      </c>
      <c r="E934" s="370">
        <v>0.12</v>
      </c>
      <c r="F934" s="370">
        <v>0.12</v>
      </c>
      <c r="G934" s="343">
        <v>1305</v>
      </c>
      <c r="H934" s="334" t="s">
        <v>4</v>
      </c>
      <c r="I934" s="254"/>
      <c r="J934" s="255"/>
      <c r="K934" s="255"/>
      <c r="L934" s="255"/>
      <c r="M934" s="255"/>
      <c r="N934" s="255"/>
      <c r="O934" s="255"/>
      <c r="P934" s="255"/>
      <c r="Q934" s="324"/>
      <c r="R934" s="343">
        <v>8068009006006</v>
      </c>
    </row>
    <row r="935" spans="1:32" x14ac:dyDescent="0.2">
      <c r="A935" s="838"/>
      <c r="B935" s="840"/>
      <c r="C935" s="494" t="s">
        <v>846</v>
      </c>
      <c r="D935" s="352">
        <v>0.12</v>
      </c>
      <c r="E935" s="352">
        <v>0.35499999999999998</v>
      </c>
      <c r="F935" s="370">
        <v>0.23499999999999999</v>
      </c>
      <c r="G935" s="343">
        <v>705</v>
      </c>
      <c r="H935" s="315" t="s">
        <v>325</v>
      </c>
      <c r="I935" s="254"/>
      <c r="J935" s="255"/>
      <c r="K935" s="255"/>
      <c r="L935" s="255"/>
      <c r="M935" s="255"/>
      <c r="N935" s="255"/>
      <c r="O935" s="255"/>
      <c r="P935" s="255"/>
      <c r="Q935" s="324">
        <v>80680090366</v>
      </c>
      <c r="R935" s="343">
        <v>80680090367</v>
      </c>
    </row>
    <row r="936" spans="1:32" x14ac:dyDescent="0.2">
      <c r="A936" s="839"/>
      <c r="B936" s="836"/>
      <c r="C936" s="494" t="s">
        <v>846</v>
      </c>
      <c r="D936" s="352">
        <v>0.35499999999999998</v>
      </c>
      <c r="E936" s="352">
        <v>0.435</v>
      </c>
      <c r="F936" s="370">
        <v>0.08</v>
      </c>
      <c r="G936" s="343">
        <v>240</v>
      </c>
      <c r="H936" s="315" t="s">
        <v>325</v>
      </c>
      <c r="I936" s="254"/>
      <c r="J936" s="255"/>
      <c r="K936" s="255"/>
      <c r="L936" s="255"/>
      <c r="M936" s="255"/>
      <c r="N936" s="255"/>
      <c r="O936" s="255"/>
      <c r="P936" s="255"/>
      <c r="Q936" s="324"/>
      <c r="R936" s="343">
        <v>80680090241001</v>
      </c>
    </row>
    <row r="937" spans="1:32" x14ac:dyDescent="0.2">
      <c r="A937" s="333">
        <v>4</v>
      </c>
      <c r="B937" s="372" t="s">
        <v>40</v>
      </c>
      <c r="C937" s="494" t="s">
        <v>846</v>
      </c>
      <c r="D937" s="352">
        <v>0</v>
      </c>
      <c r="E937" s="352">
        <v>0.16999999999999998</v>
      </c>
      <c r="F937" s="370">
        <v>0.16999999999999998</v>
      </c>
      <c r="G937" s="343">
        <v>913</v>
      </c>
      <c r="H937" s="315" t="s">
        <v>4</v>
      </c>
      <c r="I937" s="254"/>
      <c r="J937" s="255"/>
      <c r="K937" s="255"/>
      <c r="L937" s="255"/>
      <c r="M937" s="255"/>
      <c r="N937" s="255"/>
      <c r="O937" s="255"/>
      <c r="P937" s="255"/>
      <c r="Q937" s="324">
        <v>80680090365</v>
      </c>
      <c r="R937" s="324">
        <v>80680090365</v>
      </c>
    </row>
    <row r="938" spans="1:32" x14ac:dyDescent="0.2">
      <c r="A938" s="336"/>
      <c r="B938" s="374"/>
      <c r="C938" s="494" t="s">
        <v>846</v>
      </c>
      <c r="D938" s="352">
        <v>0.16999999999999998</v>
      </c>
      <c r="E938" s="352">
        <v>1.1099999999999999</v>
      </c>
      <c r="F938" s="370">
        <v>0.94</v>
      </c>
      <c r="G938" s="343">
        <v>3485</v>
      </c>
      <c r="H938" s="315" t="s">
        <v>0</v>
      </c>
      <c r="I938" s="254"/>
      <c r="J938" s="255"/>
      <c r="K938" s="255"/>
      <c r="L938" s="255"/>
      <c r="M938" s="255"/>
      <c r="N938" s="255"/>
      <c r="O938" s="255"/>
      <c r="P938" s="255"/>
      <c r="Q938" s="324">
        <v>80680090365</v>
      </c>
      <c r="R938" s="324">
        <v>80680090365</v>
      </c>
    </row>
    <row r="939" spans="1:32" ht="15" x14ac:dyDescent="0.25">
      <c r="A939" s="336">
        <v>5</v>
      </c>
      <c r="B939" s="361" t="s">
        <v>824</v>
      </c>
      <c r="C939" s="496" t="s">
        <v>846</v>
      </c>
      <c r="D939" s="370">
        <v>0</v>
      </c>
      <c r="E939" s="370">
        <v>0.20399999999999999</v>
      </c>
      <c r="F939" s="370">
        <v>0.20399999999999999</v>
      </c>
      <c r="G939" s="343">
        <v>714</v>
      </c>
      <c r="H939" s="334" t="s">
        <v>0</v>
      </c>
      <c r="I939" s="254"/>
      <c r="J939" s="255"/>
      <c r="K939" s="255"/>
      <c r="L939" s="255"/>
      <c r="M939" s="255"/>
      <c r="N939" s="255"/>
      <c r="O939" s="255"/>
      <c r="P939" s="255"/>
      <c r="Q939" s="324"/>
      <c r="R939" s="331" t="s">
        <v>825</v>
      </c>
      <c r="S939"/>
      <c r="T939"/>
      <c r="U939"/>
      <c r="V939"/>
      <c r="W939"/>
      <c r="X939"/>
      <c r="Y939"/>
      <c r="Z939"/>
      <c r="AA939" t="s">
        <v>1097</v>
      </c>
      <c r="AB939"/>
      <c r="AC939"/>
      <c r="AD939"/>
      <c r="AE939"/>
      <c r="AF939"/>
    </row>
    <row r="940" spans="1:32" ht="22.5" x14ac:dyDescent="0.2">
      <c r="C940" s="33"/>
      <c r="S940" s="102"/>
      <c r="T940" s="625" t="s">
        <v>1092</v>
      </c>
      <c r="U940" s="625" t="s">
        <v>1093</v>
      </c>
      <c r="V940" s="625" t="s">
        <v>1094</v>
      </c>
      <c r="W940" s="625" t="s">
        <v>1095</v>
      </c>
      <c r="X940" s="625" t="s">
        <v>1096</v>
      </c>
      <c r="Y940" s="627" t="s">
        <v>269</v>
      </c>
      <c r="Z940" s="102"/>
      <c r="AA940" s="625" t="s">
        <v>1092</v>
      </c>
      <c r="AB940" s="625" t="s">
        <v>1093</v>
      </c>
      <c r="AC940" s="625" t="s">
        <v>1094</v>
      </c>
      <c r="AD940" s="625" t="s">
        <v>1095</v>
      </c>
      <c r="AE940" s="625" t="s">
        <v>1096</v>
      </c>
      <c r="AF940" s="627" t="s">
        <v>269</v>
      </c>
    </row>
    <row r="941" spans="1:32" ht="12.75" customHeight="1" x14ac:dyDescent="0.2">
      <c r="A941" s="137" t="s">
        <v>826</v>
      </c>
      <c r="B941" s="138"/>
      <c r="C941" s="485"/>
      <c r="D941" s="139"/>
      <c r="E941" s="140"/>
      <c r="F941" s="141">
        <f>SUM(F929:F939)</f>
        <v>2.544</v>
      </c>
      <c r="G941" s="265">
        <f>SUM(G929:G939)</f>
        <v>10115</v>
      </c>
      <c r="H941" s="143"/>
      <c r="I941" s="94"/>
      <c r="J941" s="144"/>
      <c r="K941" s="145" t="s">
        <v>268</v>
      </c>
      <c r="L941" s="265">
        <f>SUM(L929:L939)</f>
        <v>0</v>
      </c>
      <c r="M941" s="265">
        <f>SUM(M929:M939)</f>
        <v>0</v>
      </c>
      <c r="N941" s="147"/>
      <c r="O941" s="145" t="s">
        <v>269</v>
      </c>
      <c r="P941" s="265">
        <f>SUM(P929:P939)</f>
        <v>0</v>
      </c>
      <c r="Q941" s="147"/>
      <c r="R941" s="147"/>
      <c r="S941" s="628" t="s">
        <v>844</v>
      </c>
      <c r="T941" s="625" t="s">
        <v>231</v>
      </c>
      <c r="U941" s="625" t="s">
        <v>231</v>
      </c>
      <c r="V941" s="625" t="s">
        <v>231</v>
      </c>
      <c r="W941" s="625" t="s">
        <v>231</v>
      </c>
      <c r="X941" s="625" t="s">
        <v>231</v>
      </c>
      <c r="Y941" s="626" t="s">
        <v>231</v>
      </c>
      <c r="Z941" s="628"/>
      <c r="AA941" s="625" t="s">
        <v>231</v>
      </c>
      <c r="AB941" s="625" t="s">
        <v>231</v>
      </c>
      <c r="AC941" s="625" t="s">
        <v>231</v>
      </c>
      <c r="AD941" s="625" t="s">
        <v>231</v>
      </c>
      <c r="AE941" s="625" t="s">
        <v>231</v>
      </c>
      <c r="AF941" s="626" t="s">
        <v>231</v>
      </c>
    </row>
    <row r="942" spans="1:32" ht="12.75" customHeight="1" x14ac:dyDescent="0.2">
      <c r="A942" s="148" t="s">
        <v>270</v>
      </c>
      <c r="B942" s="149"/>
      <c r="C942" s="486"/>
      <c r="D942" s="150"/>
      <c r="E942" s="151"/>
      <c r="F942" s="163">
        <f>SUMIFS(F929:F939,H929:H939,"melnais")</f>
        <v>0.28999999999999998</v>
      </c>
      <c r="G942" s="266">
        <f>SUMIFS(G929:G939,H929:H939,"melnais")</f>
        <v>2218</v>
      </c>
      <c r="H942" s="154"/>
      <c r="I942" s="155"/>
      <c r="J942" s="147"/>
      <c r="K942" s="136"/>
      <c r="L942" s="156"/>
      <c r="M942" s="156"/>
      <c r="N942" s="147"/>
      <c r="O942" s="147"/>
      <c r="P942" s="147"/>
      <c r="Q942" s="147"/>
      <c r="R942" s="147"/>
      <c r="S942" s="616" t="s">
        <v>847</v>
      </c>
      <c r="T942" s="614">
        <f>SUMIFS(F920:F939,C920:C939,"A",H920:H939,"melnais")</f>
        <v>0</v>
      </c>
      <c r="U942" s="614">
        <f>SUMIFS(F920:F939,C920:C939,"A",H920:H939,"dubultā virsma")</f>
        <v>0</v>
      </c>
      <c r="V942" s="614">
        <f>SUMIFS(F920:F939,C920:C939,"A",H920:H939,"bruģis")</f>
        <v>0</v>
      </c>
      <c r="W942" s="614">
        <f>SUMIFS(F920:F939,C920:C939,"A",H920:H939,"grants")</f>
        <v>0</v>
      </c>
      <c r="X942" s="614">
        <f>SUMIFS(F920:F939,C920:C939,"A",H920:H939,"cits segums")</f>
        <v>0</v>
      </c>
      <c r="Y942" s="614">
        <f>SUM(T942:X942)</f>
        <v>0</v>
      </c>
      <c r="Z942" s="616" t="s">
        <v>847</v>
      </c>
      <c r="AA942" s="614">
        <f>SUMIFS(F920:F939,C920:C939,"A",H920:H939,"melnais", Q920:Q939,"Nepiederošs")</f>
        <v>0</v>
      </c>
      <c r="AB942" s="614">
        <f>SUMIFS(F920:F939,C920:C939,"A",H920:H939,"dubultā virsma", Q920:Q939,"Nepiederošs")</f>
        <v>0</v>
      </c>
      <c r="AC942" s="614">
        <f>SUMIFS(F920:F939,C920:C939,"A",H920:H939,"bruģis", Q920:Q939,"Nepiederošs")</f>
        <v>0</v>
      </c>
      <c r="AD942" s="614">
        <f>SUMIFS(F920:F939,C920:C939,"A",H920:H939,"grants", Q920:Q939,"Nepiederošs")</f>
        <v>0</v>
      </c>
      <c r="AE942" s="614">
        <f>SUMIFS(F920:F939,C920:C939,"A",H920:H939,"cits segums", Q920:Q939,"Nepiederošs")</f>
        <v>0</v>
      </c>
      <c r="AF942" s="614">
        <f>SUM(AA942:AE942)</f>
        <v>0</v>
      </c>
    </row>
    <row r="943" spans="1:32" ht="12.75" customHeight="1" x14ac:dyDescent="0.2">
      <c r="A943" s="148" t="s">
        <v>271</v>
      </c>
      <c r="B943" s="149"/>
      <c r="C943" s="486"/>
      <c r="D943" s="150"/>
      <c r="E943" s="151"/>
      <c r="F943" s="163">
        <f>SUMIFS(F929:F939,H929:H939,"bruģis")</f>
        <v>0</v>
      </c>
      <c r="G943" s="266">
        <f>SUMIFS(G929:G939,H929:H939,"bruģis")</f>
        <v>0</v>
      </c>
      <c r="H943" s="162"/>
      <c r="I943" s="94"/>
      <c r="J943" s="159"/>
      <c r="K943" s="160"/>
      <c r="L943" s="160"/>
      <c r="M943" s="160"/>
      <c r="N943" s="161"/>
      <c r="O943" s="147"/>
      <c r="P943" s="147"/>
      <c r="Q943" s="147"/>
      <c r="R943" s="147"/>
      <c r="S943" s="617" t="s">
        <v>848</v>
      </c>
      <c r="T943" s="614">
        <f>SUMIFS(F920:F939,C920:C939,"B",H920:H939,"melnais")</f>
        <v>0</v>
      </c>
      <c r="U943" s="614">
        <f>SUMIFS(F920:F939,C920:C939,"B",H920:H939,"dubultā virsma")</f>
        <v>0</v>
      </c>
      <c r="V943" s="614">
        <f>SUMIFS(F920:F939,C920:C939,"B",H920:H939,"bruģis")</f>
        <v>0</v>
      </c>
      <c r="W943" s="614">
        <f>SUMIFS(F920:F939,C920:C939,"B",H920:H939,"grants")</f>
        <v>0</v>
      </c>
      <c r="X943" s="614">
        <f>SUMIFS(F920:F939,C920:C939,"B",H920:H939,"cits segums")</f>
        <v>0</v>
      </c>
      <c r="Y943" s="614">
        <f t="shared" ref="Y943:Y945" si="221">SUM(T943:X943)</f>
        <v>0</v>
      </c>
      <c r="Z943" s="617" t="s">
        <v>848</v>
      </c>
      <c r="AA943" s="614">
        <f>SUMIFS(F920:F939,C920:C939,"B",H920:H939,"melnais", Q920:Q939,"Nepiederošs")</f>
        <v>0</v>
      </c>
      <c r="AB943" s="614">
        <f>SUMIFS(F920:F939,C920:C939,"B",H920:H939,"dubultā virsma", Q920:Q939,"Nepiederošs")</f>
        <v>0</v>
      </c>
      <c r="AC943" s="614">
        <f>SUMIFS(F920:F939,C920:C939,"B",H920:H939,"bruģis", Q920:Q939,"Nepiederošs")</f>
        <v>0</v>
      </c>
      <c r="AD943" s="614">
        <f>SUMIFS(F920:F939,C920:C939,"B",H920:H939,"grants", Q920:Q939,"Nepiederošs")</f>
        <v>0</v>
      </c>
      <c r="AE943" s="614">
        <f>SUMIFS(F920:F939,C920:C939,"B",H920:H939,"cits segums", Q920:Q939,"Nepiederošs")</f>
        <v>0</v>
      </c>
      <c r="AF943" s="614">
        <f t="shared" ref="AF943:AF945" si="222">SUM(AA943:AE943)</f>
        <v>0</v>
      </c>
    </row>
    <row r="944" spans="1:32" ht="12.75" customHeight="1" x14ac:dyDescent="0.2">
      <c r="A944" s="148" t="s">
        <v>272</v>
      </c>
      <c r="B944" s="149"/>
      <c r="C944" s="486"/>
      <c r="D944" s="150"/>
      <c r="E944" s="151"/>
      <c r="F944" s="163">
        <f>SUMIFS(F929:F939,H929:H939,"grants")</f>
        <v>1.764</v>
      </c>
      <c r="G944" s="266">
        <f>SUMIFS(G929:G939,H929:H939,"grants")</f>
        <v>6427</v>
      </c>
      <c r="H944" s="162"/>
      <c r="I944" s="162"/>
      <c r="J944" s="159"/>
      <c r="K944" s="160"/>
      <c r="L944" s="160"/>
      <c r="M944" s="160"/>
      <c r="N944" s="161"/>
      <c r="O944" s="147"/>
      <c r="P944" s="147"/>
      <c r="Q944" s="147"/>
      <c r="R944" s="147"/>
      <c r="S944" s="615" t="s">
        <v>845</v>
      </c>
      <c r="T944" s="614">
        <f>SUMIFS(F920:F939,C920:C939,"C",H920:H939,"melnais")</f>
        <v>0</v>
      </c>
      <c r="U944" s="614">
        <f>SUMIFS(F920:F939,C920:C939,"C",H920:H939,"dubultā virsma")</f>
        <v>0</v>
      </c>
      <c r="V944" s="614">
        <f>SUMIFS(F920:F939,C920:C939,"C",H920:H939,"bruģis")</f>
        <v>0</v>
      </c>
      <c r="W944" s="614">
        <f>SUMIFS(F920:F939,C920:C939,"C",H920:H939,"grants")</f>
        <v>0</v>
      </c>
      <c r="X944" s="614">
        <f>SUMIFS(F920:F939,C920:C939,"C",H920:H939,"cits segums")</f>
        <v>0</v>
      </c>
      <c r="Y944" s="614">
        <f t="shared" si="221"/>
        <v>0</v>
      </c>
      <c r="Z944" s="615" t="s">
        <v>845</v>
      </c>
      <c r="AA944" s="614">
        <f>SUMIFS(F920:F939,C920:C939,"C",H920:H939,"melnais", Q920:Q939,"Nepiederošs")</f>
        <v>0</v>
      </c>
      <c r="AB944" s="614">
        <f>SUMIFS(F920:F939,C920:C939,"C",H920:H939,"dubultā virsma", Q920:Q939,"Nepiederošs")</f>
        <v>0</v>
      </c>
      <c r="AC944" s="614">
        <f>SUMIFS(F920:F939,C920:C939,"C",H920:H939,"bruģis", Q920:Q939,"Nepiederošs")</f>
        <v>0</v>
      </c>
      <c r="AD944" s="614">
        <f>SUMIFS(F920:F939,C920:C939,"C",H920:H939,"grants", Q920:Q939,"Nepiederošs")</f>
        <v>0</v>
      </c>
      <c r="AE944" s="614">
        <f>SUMIFS(F920:F939,C920:C939,"C",H920:H939,"cits segums", Q920:Q939,"Nepiederošs")</f>
        <v>0</v>
      </c>
      <c r="AF944" s="614">
        <f t="shared" si="222"/>
        <v>0</v>
      </c>
    </row>
    <row r="945" spans="1:32" ht="12.75" customHeight="1" x14ac:dyDescent="0.2">
      <c r="A945" s="148" t="s">
        <v>401</v>
      </c>
      <c r="B945" s="149"/>
      <c r="C945" s="486"/>
      <c r="D945" s="150"/>
      <c r="E945" s="151"/>
      <c r="F945" s="163">
        <f>SUMIFS(F929:F939,H929:H939,"cits segums")</f>
        <v>0.49</v>
      </c>
      <c r="G945" s="266">
        <f>SUMIFS(G929:G939,H929:H939,"cits segums")</f>
        <v>1470</v>
      </c>
      <c r="H945" s="165"/>
      <c r="I945" s="162"/>
      <c r="J945" s="166"/>
      <c r="K945" s="160"/>
      <c r="L945" s="160"/>
      <c r="M945" s="160"/>
      <c r="N945" s="161"/>
      <c r="O945" s="147"/>
      <c r="P945" s="147"/>
      <c r="Q945" s="147"/>
      <c r="R945" s="147"/>
      <c r="S945" s="616" t="s">
        <v>846</v>
      </c>
      <c r="T945" s="614">
        <f>SUMIFS(F920:F939,C920:C939,"D",H920:H939,"melnais")</f>
        <v>0.28999999999999998</v>
      </c>
      <c r="U945" s="614">
        <f>SUMIFS(F920:F939,C920:C939,"D",H920:H939,"dubultā virsma")</f>
        <v>0</v>
      </c>
      <c r="V945" s="614">
        <f>SUMIFS(F920:F939,C920:C939,"D",H920:H939,"bruģis")</f>
        <v>0</v>
      </c>
      <c r="W945" s="614">
        <f>SUMIFS(F920:F939,C920:C939,"D",H920:H939,"grants")</f>
        <v>1.764</v>
      </c>
      <c r="X945" s="614">
        <f>SUMIFS(F920:F939,C920:C939,"D",H920:H939,"cits segums")</f>
        <v>0.49</v>
      </c>
      <c r="Y945" s="614">
        <f t="shared" si="221"/>
        <v>2.5439999999999996</v>
      </c>
      <c r="Z945" s="616" t="s">
        <v>846</v>
      </c>
      <c r="AA945" s="614">
        <f>SUMIFS(F920:F939,C920:C939,"D",H920:H939,"melnais", Q920:Q939,"Nepiederošs")</f>
        <v>0</v>
      </c>
      <c r="AB945" s="614">
        <f>SUMIFS(F920:F939,C920:C939,"D",H920:H939,"dubultā virsma", Q920:Q939,"Nepiederošs")</f>
        <v>0</v>
      </c>
      <c r="AC945" s="614">
        <f>SUMIFS(F920:F939,C920:C939,"D",H920:H939,"bruģis", Q920:Q939,"Nepiederošs")</f>
        <v>0</v>
      </c>
      <c r="AD945" s="614">
        <f>SUMIFS(F920:F939,C920:C939,"D",H920:H939,"grants", Q920:Q939,"Nepiederošs")</f>
        <v>0</v>
      </c>
      <c r="AE945" s="614">
        <f>SUMIFS(F920:F939,C920:C939,"D",H920:H939,"cits segums", Q920:Q939,"Nepiederošs")</f>
        <v>0</v>
      </c>
      <c r="AF945" s="614">
        <f t="shared" si="222"/>
        <v>0</v>
      </c>
    </row>
    <row r="946" spans="1:32" ht="15" x14ac:dyDescent="0.25">
      <c r="C946" s="33"/>
      <c r="S946" s="637"/>
      <c r="T946" s="629">
        <f>SUM(T942:T945)</f>
        <v>0.28999999999999998</v>
      </c>
      <c r="U946" s="629">
        <f t="shared" ref="U946" si="223">SUM(U942:U945)</f>
        <v>0</v>
      </c>
      <c r="V946" s="629">
        <f t="shared" ref="V946" si="224">SUM(V942:V945)</f>
        <v>0</v>
      </c>
      <c r="W946" s="629">
        <f t="shared" ref="W946" si="225">SUM(W942:W945)</f>
        <v>1.764</v>
      </c>
      <c r="X946" s="629">
        <f t="shared" ref="X946" si="226">SUM(X942:X945)</f>
        <v>0.49</v>
      </c>
      <c r="Y946" s="629">
        <f t="shared" ref="Y946" si="227">SUM(Y942:Y945)</f>
        <v>2.5439999999999996</v>
      </c>
      <c r="Z946"/>
      <c r="AA946" s="629">
        <f>SUM(AA942:AA945)</f>
        <v>0</v>
      </c>
      <c r="AB946" s="629">
        <f t="shared" ref="AB946" si="228">SUM(AB942:AB945)</f>
        <v>0</v>
      </c>
      <c r="AC946" s="629">
        <f>SUM(AC942:AC945)</f>
        <v>0</v>
      </c>
      <c r="AD946" s="629">
        <f t="shared" ref="AD946" si="229">SUM(AD942:AD945)</f>
        <v>0</v>
      </c>
      <c r="AE946" s="629">
        <f t="shared" ref="AE946" si="230">SUM(AE942:AE945)</f>
        <v>0</v>
      </c>
      <c r="AF946" s="629">
        <f t="shared" ref="AF946" si="231">SUM(AF942:AF945)</f>
        <v>0</v>
      </c>
    </row>
    <row r="947" spans="1:32" s="38" customFormat="1" ht="15" customHeight="1" x14ac:dyDescent="0.25">
      <c r="A947" s="33"/>
      <c r="C947" s="487"/>
      <c r="D947" s="813" t="s">
        <v>1084</v>
      </c>
      <c r="E947" s="813"/>
      <c r="F947" s="813"/>
      <c r="G947" s="813"/>
      <c r="H947" s="813"/>
      <c r="I947" s="813"/>
      <c r="J947" s="813"/>
      <c r="K947" s="813"/>
      <c r="L947" s="813"/>
      <c r="M947" s="813"/>
      <c r="N947" s="813"/>
      <c r="O947" s="813"/>
      <c r="P947" s="813"/>
      <c r="Q947" s="30"/>
      <c r="R947" s="37"/>
    </row>
    <row r="948" spans="1:32" ht="12.75" customHeight="1" x14ac:dyDescent="0.2">
      <c r="A948" s="818" t="s">
        <v>244</v>
      </c>
      <c r="B948" s="825" t="s">
        <v>388</v>
      </c>
      <c r="C948" s="482"/>
      <c r="D948" s="826" t="s">
        <v>246</v>
      </c>
      <c r="E948" s="827"/>
      <c r="F948" s="827"/>
      <c r="G948" s="827"/>
      <c r="H948" s="827"/>
      <c r="I948" s="827"/>
      <c r="J948" s="827"/>
      <c r="K948" s="827"/>
      <c r="L948" s="827"/>
      <c r="M948" s="827"/>
      <c r="N948" s="827"/>
      <c r="O948" s="827"/>
      <c r="P948" s="828"/>
      <c r="Q948" s="821" t="s">
        <v>247</v>
      </c>
      <c r="R948" s="822"/>
    </row>
    <row r="949" spans="1:32" ht="12.75" customHeight="1" x14ac:dyDescent="0.2">
      <c r="A949" s="818"/>
      <c r="B949" s="825"/>
      <c r="C949" s="410"/>
      <c r="D949" s="816" t="s">
        <v>389</v>
      </c>
      <c r="E949" s="816"/>
      <c r="F949" s="816"/>
      <c r="G949" s="816"/>
      <c r="H949" s="816"/>
      <c r="I949" s="814" t="s">
        <v>249</v>
      </c>
      <c r="J949" s="814"/>
      <c r="K949" s="814"/>
      <c r="L949" s="814"/>
      <c r="M949" s="814"/>
      <c r="N949" s="814"/>
      <c r="O949" s="814"/>
      <c r="P949" s="815" t="s">
        <v>250</v>
      </c>
      <c r="Q949" s="823"/>
      <c r="R949" s="824"/>
    </row>
    <row r="950" spans="1:32" ht="15.2" customHeight="1" x14ac:dyDescent="0.2">
      <c r="A950" s="818"/>
      <c r="B950" s="825"/>
      <c r="C950" s="410"/>
      <c r="D950" s="816" t="s">
        <v>251</v>
      </c>
      <c r="E950" s="816"/>
      <c r="F950" s="817" t="s">
        <v>252</v>
      </c>
      <c r="G950" s="817" t="s">
        <v>257</v>
      </c>
      <c r="H950" s="818" t="s">
        <v>253</v>
      </c>
      <c r="I950" s="819" t="s">
        <v>254</v>
      </c>
      <c r="J950" s="814" t="s">
        <v>255</v>
      </c>
      <c r="K950" s="814"/>
      <c r="L950" s="820" t="s">
        <v>256</v>
      </c>
      <c r="M950" s="820" t="s">
        <v>257</v>
      </c>
      <c r="N950" s="820" t="s">
        <v>258</v>
      </c>
      <c r="O950" s="820" t="s">
        <v>259</v>
      </c>
      <c r="P950" s="809"/>
      <c r="Q950" s="809" t="s">
        <v>260</v>
      </c>
      <c r="R950" s="811" t="s">
        <v>261</v>
      </c>
    </row>
    <row r="951" spans="1:32" ht="33.75" customHeight="1" x14ac:dyDescent="0.2">
      <c r="A951" s="818"/>
      <c r="B951" s="825"/>
      <c r="C951" s="432" t="s">
        <v>844</v>
      </c>
      <c r="D951" s="95" t="s">
        <v>262</v>
      </c>
      <c r="E951" s="95" t="s">
        <v>263</v>
      </c>
      <c r="F951" s="817"/>
      <c r="G951" s="817"/>
      <c r="H951" s="818"/>
      <c r="I951" s="819"/>
      <c r="J951" s="96" t="s">
        <v>231</v>
      </c>
      <c r="K951" s="96" t="s">
        <v>264</v>
      </c>
      <c r="L951" s="820"/>
      <c r="M951" s="820"/>
      <c r="N951" s="820"/>
      <c r="O951" s="820"/>
      <c r="P951" s="810"/>
      <c r="Q951" s="810"/>
      <c r="R951" s="812"/>
    </row>
    <row r="952" spans="1:32" s="99" customFormat="1" ht="12" customHeight="1" x14ac:dyDescent="0.25">
      <c r="A952" s="200">
        <v>1</v>
      </c>
      <c r="B952" s="200">
        <v>2</v>
      </c>
      <c r="C952" s="200"/>
      <c r="D952" s="200">
        <v>3</v>
      </c>
      <c r="E952" s="200">
        <v>4</v>
      </c>
      <c r="F952" s="200">
        <v>5</v>
      </c>
      <c r="G952" s="200">
        <v>6</v>
      </c>
      <c r="H952" s="200">
        <v>7</v>
      </c>
      <c r="I952" s="201">
        <v>8</v>
      </c>
      <c r="J952" s="201">
        <v>9</v>
      </c>
      <c r="K952" s="201">
        <v>10</v>
      </c>
      <c r="L952" s="201">
        <v>11</v>
      </c>
      <c r="M952" s="201">
        <v>12</v>
      </c>
      <c r="N952" s="201">
        <v>13</v>
      </c>
      <c r="O952" s="201">
        <v>14</v>
      </c>
      <c r="P952" s="201">
        <v>15</v>
      </c>
      <c r="Q952" s="201">
        <v>16</v>
      </c>
      <c r="R952" s="200">
        <v>17</v>
      </c>
    </row>
    <row r="953" spans="1:32" x14ac:dyDescent="0.2">
      <c r="A953" s="349">
        <v>1</v>
      </c>
      <c r="B953" s="364" t="s">
        <v>827</v>
      </c>
      <c r="C953" s="411" t="s">
        <v>846</v>
      </c>
      <c r="D953" s="352">
        <v>0</v>
      </c>
      <c r="E953" s="352">
        <v>0.40400000000000003</v>
      </c>
      <c r="F953" s="370">
        <v>0.40400000000000003</v>
      </c>
      <c r="G953" s="343">
        <v>1939</v>
      </c>
      <c r="H953" s="315" t="s">
        <v>4</v>
      </c>
      <c r="I953" s="254"/>
      <c r="J953" s="255"/>
      <c r="K953" s="255"/>
      <c r="L953" s="255"/>
      <c r="M953" s="255"/>
      <c r="N953" s="255"/>
      <c r="O953" s="255"/>
      <c r="P953" s="255"/>
      <c r="Q953" s="349">
        <v>66560020706</v>
      </c>
      <c r="R953" s="349">
        <v>66560020706</v>
      </c>
    </row>
    <row r="954" spans="1:32" x14ac:dyDescent="0.2">
      <c r="A954" s="349">
        <v>2</v>
      </c>
      <c r="B954" s="371" t="s">
        <v>204</v>
      </c>
      <c r="C954" s="494" t="s">
        <v>846</v>
      </c>
      <c r="D954" s="352">
        <v>0</v>
      </c>
      <c r="E954" s="352">
        <v>0.41799999999999998</v>
      </c>
      <c r="F954" s="370">
        <v>0.41799999999999998</v>
      </c>
      <c r="G954" s="343">
        <v>2299</v>
      </c>
      <c r="H954" s="315" t="s">
        <v>4</v>
      </c>
      <c r="I954" s="254"/>
      <c r="J954" s="255"/>
      <c r="K954" s="255"/>
      <c r="L954" s="255"/>
      <c r="M954" s="255"/>
      <c r="N954" s="255"/>
      <c r="O954" s="255"/>
      <c r="P954" s="255"/>
      <c r="Q954" s="349">
        <v>66560020563</v>
      </c>
      <c r="R954" s="349">
        <v>66560020563</v>
      </c>
    </row>
    <row r="955" spans="1:32" x14ac:dyDescent="0.2">
      <c r="A955" s="333">
        <v>3</v>
      </c>
      <c r="B955" s="372" t="s">
        <v>828</v>
      </c>
      <c r="C955" s="494" t="s">
        <v>846</v>
      </c>
      <c r="D955" s="352">
        <v>0</v>
      </c>
      <c r="E955" s="352">
        <v>0.2</v>
      </c>
      <c r="F955" s="370">
        <v>0.2</v>
      </c>
      <c r="G955" s="343">
        <v>700</v>
      </c>
      <c r="H955" s="315" t="s">
        <v>0</v>
      </c>
      <c r="I955" s="254"/>
      <c r="J955" s="255"/>
      <c r="K955" s="255"/>
      <c r="L955" s="255"/>
      <c r="M955" s="255"/>
      <c r="N955" s="255"/>
      <c r="O955" s="255"/>
      <c r="P955" s="255"/>
      <c r="Q955" s="349">
        <v>66560020615</v>
      </c>
      <c r="R955" s="349">
        <v>66560020615</v>
      </c>
    </row>
    <row r="956" spans="1:32" x14ac:dyDescent="0.2">
      <c r="A956" s="336"/>
      <c r="B956" s="374"/>
      <c r="C956" s="494" t="s">
        <v>846</v>
      </c>
      <c r="D956" s="352">
        <v>0.2</v>
      </c>
      <c r="E956" s="352">
        <v>0.23</v>
      </c>
      <c r="F956" s="370">
        <v>0.03</v>
      </c>
      <c r="G956" s="343">
        <v>90</v>
      </c>
      <c r="H956" s="315" t="s">
        <v>325</v>
      </c>
      <c r="I956" s="254"/>
      <c r="J956" s="255"/>
      <c r="K956" s="255"/>
      <c r="L956" s="255"/>
      <c r="M956" s="255"/>
      <c r="N956" s="255"/>
      <c r="O956" s="255"/>
      <c r="P956" s="255"/>
      <c r="Q956" s="350">
        <v>66560020615</v>
      </c>
      <c r="R956" s="350">
        <v>66560020615</v>
      </c>
    </row>
    <row r="957" spans="1:32" x14ac:dyDescent="0.2">
      <c r="A957" s="333">
        <v>4</v>
      </c>
      <c r="B957" s="372" t="s">
        <v>86</v>
      </c>
      <c r="C957" s="494" t="s">
        <v>846</v>
      </c>
      <c r="D957" s="352">
        <v>0</v>
      </c>
      <c r="E957" s="352">
        <v>0.18</v>
      </c>
      <c r="F957" s="370">
        <v>0.18</v>
      </c>
      <c r="G957" s="343">
        <v>540</v>
      </c>
      <c r="H957" s="315" t="s">
        <v>0</v>
      </c>
      <c r="I957" s="254"/>
      <c r="J957" s="255"/>
      <c r="K957" s="255"/>
      <c r="L957" s="255"/>
      <c r="M957" s="255"/>
      <c r="N957" s="255"/>
      <c r="O957" s="255"/>
      <c r="P957" s="255"/>
      <c r="Q957" s="349">
        <v>66560020616</v>
      </c>
      <c r="R957" s="349">
        <v>66560020616</v>
      </c>
    </row>
    <row r="958" spans="1:32" x14ac:dyDescent="0.2">
      <c r="A958" s="336"/>
      <c r="B958" s="374"/>
      <c r="C958" s="494" t="s">
        <v>846</v>
      </c>
      <c r="D958" s="352">
        <v>0.18</v>
      </c>
      <c r="E958" s="352">
        <v>0.39</v>
      </c>
      <c r="F958" s="370">
        <v>0.21</v>
      </c>
      <c r="G958" s="343">
        <v>630</v>
      </c>
      <c r="H958" s="315" t="s">
        <v>325</v>
      </c>
      <c r="I958" s="254"/>
      <c r="J958" s="255"/>
      <c r="K958" s="255"/>
      <c r="L958" s="255"/>
      <c r="M958" s="255"/>
      <c r="N958" s="255"/>
      <c r="O958" s="255"/>
      <c r="P958" s="255"/>
      <c r="Q958" s="350">
        <v>66560020616</v>
      </c>
      <c r="R958" s="350">
        <v>66560020616</v>
      </c>
    </row>
    <row r="959" spans="1:32" x14ac:dyDescent="0.2">
      <c r="A959" s="333">
        <v>5</v>
      </c>
      <c r="B959" s="372" t="s">
        <v>82</v>
      </c>
      <c r="C959" s="494" t="s">
        <v>846</v>
      </c>
      <c r="D959" s="352">
        <v>0</v>
      </c>
      <c r="E959" s="352">
        <v>0.25</v>
      </c>
      <c r="F959" s="370">
        <v>0.25</v>
      </c>
      <c r="G959" s="343">
        <v>1146</v>
      </c>
      <c r="H959" s="315" t="s">
        <v>4</v>
      </c>
      <c r="I959" s="254"/>
      <c r="J959" s="255"/>
      <c r="K959" s="255"/>
      <c r="L959" s="255"/>
      <c r="M959" s="255"/>
      <c r="N959" s="255"/>
      <c r="O959" s="255"/>
      <c r="P959" s="255"/>
      <c r="Q959" s="349">
        <v>66560020704</v>
      </c>
      <c r="R959" s="349">
        <v>66560020704</v>
      </c>
    </row>
    <row r="960" spans="1:32" x14ac:dyDescent="0.2">
      <c r="A960" s="336"/>
      <c r="B960" s="374"/>
      <c r="C960" s="494" t="s">
        <v>846</v>
      </c>
      <c r="D960" s="352">
        <v>0.25</v>
      </c>
      <c r="E960" s="352">
        <v>0.28999999999999998</v>
      </c>
      <c r="F960" s="370">
        <v>0.04</v>
      </c>
      <c r="G960" s="343">
        <v>120</v>
      </c>
      <c r="H960" s="315" t="s">
        <v>325</v>
      </c>
      <c r="I960" s="254"/>
      <c r="J960" s="255"/>
      <c r="K960" s="255"/>
      <c r="L960" s="255"/>
      <c r="M960" s="255"/>
      <c r="N960" s="255"/>
      <c r="O960" s="255"/>
      <c r="P960" s="255"/>
      <c r="Q960" s="350">
        <v>66560020704</v>
      </c>
      <c r="R960" s="350">
        <v>66560020704</v>
      </c>
    </row>
    <row r="961" spans="1:32" x14ac:dyDescent="0.2">
      <c r="A961" s="350">
        <v>6</v>
      </c>
      <c r="B961" s="380" t="s">
        <v>829</v>
      </c>
      <c r="C961" s="494" t="s">
        <v>846</v>
      </c>
      <c r="D961" s="370">
        <v>0</v>
      </c>
      <c r="E961" s="370">
        <v>0.18</v>
      </c>
      <c r="F961" s="370">
        <v>0.18</v>
      </c>
      <c r="G961" s="343">
        <v>540</v>
      </c>
      <c r="H961" s="334" t="s">
        <v>4</v>
      </c>
      <c r="I961" s="254"/>
      <c r="J961" s="255"/>
      <c r="K961" s="255"/>
      <c r="L961" s="255"/>
      <c r="M961" s="255"/>
      <c r="N961" s="255"/>
      <c r="O961" s="255"/>
      <c r="P961" s="255"/>
      <c r="Q961" s="320">
        <v>66560020563</v>
      </c>
      <c r="R961" s="320">
        <v>66560020563</v>
      </c>
    </row>
    <row r="962" spans="1:32" x14ac:dyDescent="0.2">
      <c r="A962" s="365">
        <v>7</v>
      </c>
      <c r="B962" s="360" t="s">
        <v>526</v>
      </c>
      <c r="C962" s="494" t="s">
        <v>846</v>
      </c>
      <c r="D962" s="352">
        <v>0</v>
      </c>
      <c r="E962" s="352">
        <v>0.13500000000000001</v>
      </c>
      <c r="F962" s="370">
        <v>0.13500000000000001</v>
      </c>
      <c r="G962" s="343">
        <v>405</v>
      </c>
      <c r="H962" s="315" t="s">
        <v>0</v>
      </c>
      <c r="I962" s="254"/>
      <c r="J962" s="255"/>
      <c r="K962" s="255"/>
      <c r="L962" s="255"/>
      <c r="M962" s="255"/>
      <c r="N962" s="255"/>
      <c r="O962" s="255"/>
      <c r="P962" s="255"/>
      <c r="Q962" s="349">
        <v>66560020564</v>
      </c>
      <c r="R962" s="349">
        <v>66560020564</v>
      </c>
    </row>
    <row r="963" spans="1:32" x14ac:dyDescent="0.2">
      <c r="A963" s="375"/>
      <c r="B963" s="376"/>
      <c r="C963" s="494" t="s">
        <v>846</v>
      </c>
      <c r="D963" s="352">
        <v>0.13500000000000001</v>
      </c>
      <c r="E963" s="352">
        <v>0.32500000000000001</v>
      </c>
      <c r="F963" s="370">
        <v>0.19</v>
      </c>
      <c r="G963" s="343">
        <f>665+217</f>
        <v>882</v>
      </c>
      <c r="H963" s="315" t="s">
        <v>4</v>
      </c>
      <c r="I963" s="254"/>
      <c r="J963" s="255"/>
      <c r="K963" s="255"/>
      <c r="L963" s="255"/>
      <c r="M963" s="255"/>
      <c r="N963" s="255"/>
      <c r="O963" s="255"/>
      <c r="P963" s="255"/>
      <c r="Q963" s="357">
        <v>66560020564</v>
      </c>
      <c r="R963" s="357">
        <v>66560020564</v>
      </c>
    </row>
    <row r="964" spans="1:32" x14ac:dyDescent="0.2">
      <c r="A964" s="375"/>
      <c r="B964" s="376"/>
      <c r="C964" s="494" t="s">
        <v>846</v>
      </c>
      <c r="D964" s="352">
        <v>0.32500000000000001</v>
      </c>
      <c r="E964" s="352">
        <v>0.375</v>
      </c>
      <c r="F964" s="370">
        <v>0.05</v>
      </c>
      <c r="G964" s="343">
        <v>200</v>
      </c>
      <c r="H964" s="315" t="s">
        <v>0</v>
      </c>
      <c r="I964" s="254"/>
      <c r="J964" s="255"/>
      <c r="K964" s="255"/>
      <c r="L964" s="255"/>
      <c r="M964" s="255"/>
      <c r="N964" s="255"/>
      <c r="O964" s="255"/>
      <c r="P964" s="255"/>
      <c r="Q964" s="357">
        <v>66560020564</v>
      </c>
      <c r="R964" s="322">
        <v>66560020564</v>
      </c>
    </row>
    <row r="965" spans="1:32" x14ac:dyDescent="0.2">
      <c r="A965" s="356"/>
      <c r="B965" s="359"/>
      <c r="C965" s="494" t="s">
        <v>846</v>
      </c>
      <c r="D965" s="352">
        <v>0.375</v>
      </c>
      <c r="E965" s="352">
        <v>0.43</v>
      </c>
      <c r="F965" s="370">
        <v>5.5E-2</v>
      </c>
      <c r="G965" s="343">
        <v>220</v>
      </c>
      <c r="H965" s="315" t="s">
        <v>0</v>
      </c>
      <c r="I965" s="254"/>
      <c r="J965" s="255"/>
      <c r="K965" s="255"/>
      <c r="L965" s="255"/>
      <c r="M965" s="255"/>
      <c r="N965" s="255"/>
      <c r="O965" s="255"/>
      <c r="P965" s="255"/>
      <c r="Q965" s="350"/>
      <c r="R965" s="337" t="s">
        <v>831</v>
      </c>
    </row>
    <row r="966" spans="1:32" x14ac:dyDescent="0.2">
      <c r="A966" s="350">
        <v>8</v>
      </c>
      <c r="B966" s="380" t="s">
        <v>48</v>
      </c>
      <c r="C966" s="494" t="s">
        <v>846</v>
      </c>
      <c r="D966" s="370">
        <v>0</v>
      </c>
      <c r="E966" s="370">
        <v>0.15</v>
      </c>
      <c r="F966" s="370">
        <v>0.15</v>
      </c>
      <c r="G966" s="343">
        <v>600</v>
      </c>
      <c r="H966" s="334" t="s">
        <v>0</v>
      </c>
      <c r="I966" s="254"/>
      <c r="J966" s="255"/>
      <c r="K966" s="255"/>
      <c r="L966" s="255"/>
      <c r="M966" s="255"/>
      <c r="N966" s="255"/>
      <c r="O966" s="255"/>
      <c r="P966" s="255"/>
      <c r="Q966" s="320">
        <v>66560020546</v>
      </c>
      <c r="R966" s="320">
        <v>66560020546</v>
      </c>
    </row>
    <row r="967" spans="1:32" x14ac:dyDescent="0.2">
      <c r="A967" s="375">
        <v>9</v>
      </c>
      <c r="B967" s="376" t="s">
        <v>518</v>
      </c>
      <c r="C967" s="494" t="s">
        <v>846</v>
      </c>
      <c r="D967" s="352">
        <v>0</v>
      </c>
      <c r="E967" s="352">
        <v>0.23</v>
      </c>
      <c r="F967" s="370">
        <v>0.23</v>
      </c>
      <c r="G967" s="343">
        <v>1449</v>
      </c>
      <c r="H967" s="315" t="s">
        <v>4</v>
      </c>
      <c r="I967" s="254"/>
      <c r="J967" s="255"/>
      <c r="K967" s="255"/>
      <c r="L967" s="255"/>
      <c r="M967" s="255"/>
      <c r="N967" s="255"/>
      <c r="O967" s="255"/>
      <c r="P967" s="255"/>
      <c r="Q967" s="328">
        <v>66560020553</v>
      </c>
      <c r="R967" s="328">
        <v>66560020553</v>
      </c>
    </row>
    <row r="968" spans="1:32" x14ac:dyDescent="0.2">
      <c r="A968" s="375"/>
      <c r="B968" s="376"/>
      <c r="C968" s="494" t="s">
        <v>846</v>
      </c>
      <c r="D968" s="352">
        <v>0.23</v>
      </c>
      <c r="E968" s="352">
        <v>0.64</v>
      </c>
      <c r="F968" s="370">
        <v>0.41</v>
      </c>
      <c r="G968" s="343">
        <v>2255</v>
      </c>
      <c r="H968" s="315" t="s">
        <v>0</v>
      </c>
      <c r="I968" s="254"/>
      <c r="J968" s="255"/>
      <c r="K968" s="255"/>
      <c r="L968" s="255"/>
      <c r="M968" s="255"/>
      <c r="N968" s="255"/>
      <c r="O968" s="255"/>
      <c r="P968" s="255"/>
      <c r="Q968" s="328">
        <v>66560020553</v>
      </c>
      <c r="R968" s="328">
        <v>66560020553</v>
      </c>
    </row>
    <row r="969" spans="1:32" x14ac:dyDescent="0.2">
      <c r="A969" s="333">
        <v>10</v>
      </c>
      <c r="B969" s="372" t="s">
        <v>227</v>
      </c>
      <c r="C969" s="494" t="s">
        <v>846</v>
      </c>
      <c r="D969" s="352">
        <v>0</v>
      </c>
      <c r="E969" s="352">
        <v>0.06</v>
      </c>
      <c r="F969" s="370">
        <v>0.06</v>
      </c>
      <c r="G969" s="343">
        <v>330</v>
      </c>
      <c r="H969" s="315" t="s">
        <v>4</v>
      </c>
      <c r="I969" s="254"/>
      <c r="J969" s="255"/>
      <c r="K969" s="255"/>
      <c r="L969" s="255"/>
      <c r="M969" s="255"/>
      <c r="N969" s="255"/>
      <c r="O969" s="255"/>
      <c r="P969" s="255"/>
      <c r="Q969" s="349">
        <v>66560020724</v>
      </c>
      <c r="R969" s="349">
        <v>66560020724</v>
      </c>
    </row>
    <row r="970" spans="1:32" x14ac:dyDescent="0.2">
      <c r="A970" s="336"/>
      <c r="B970" s="374"/>
      <c r="C970" s="494" t="s">
        <v>846</v>
      </c>
      <c r="D970" s="352">
        <v>0.06</v>
      </c>
      <c r="E970" s="352">
        <v>0.24</v>
      </c>
      <c r="F970" s="370">
        <v>0.18</v>
      </c>
      <c r="G970" s="343">
        <v>630</v>
      </c>
      <c r="H970" s="315" t="s">
        <v>0</v>
      </c>
      <c r="I970" s="254"/>
      <c r="J970" s="255"/>
      <c r="K970" s="255"/>
      <c r="L970" s="255"/>
      <c r="M970" s="255"/>
      <c r="N970" s="255"/>
      <c r="O970" s="255"/>
      <c r="P970" s="255"/>
      <c r="Q970" s="350">
        <v>66560020724</v>
      </c>
      <c r="R970" s="350">
        <v>66560020724</v>
      </c>
    </row>
    <row r="971" spans="1:32" x14ac:dyDescent="0.2">
      <c r="A971" s="342">
        <v>11</v>
      </c>
      <c r="B971" s="351" t="s">
        <v>190</v>
      </c>
      <c r="C971" s="494" t="s">
        <v>846</v>
      </c>
      <c r="D971" s="352">
        <v>0</v>
      </c>
      <c r="E971" s="352">
        <v>0.19500000000000001</v>
      </c>
      <c r="F971" s="370">
        <v>0.19500000000000001</v>
      </c>
      <c r="G971" s="343">
        <v>585</v>
      </c>
      <c r="H971" s="315" t="s">
        <v>0</v>
      </c>
      <c r="I971" s="254"/>
      <c r="J971" s="255"/>
      <c r="K971" s="255"/>
      <c r="L971" s="255"/>
      <c r="M971" s="255"/>
      <c r="N971" s="255"/>
      <c r="O971" s="255"/>
      <c r="P971" s="255"/>
      <c r="Q971" s="342">
        <v>66560020839</v>
      </c>
      <c r="R971" s="324">
        <v>66560020839</v>
      </c>
    </row>
    <row r="972" spans="1:32" x14ac:dyDescent="0.2">
      <c r="A972" s="333">
        <v>12</v>
      </c>
      <c r="B972" s="372" t="s">
        <v>830</v>
      </c>
      <c r="C972" s="494" t="s">
        <v>846</v>
      </c>
      <c r="D972" s="352">
        <v>0</v>
      </c>
      <c r="E972" s="352">
        <v>0.17699999999999999</v>
      </c>
      <c r="F972" s="370">
        <v>0.17699999999999999</v>
      </c>
      <c r="G972" s="343">
        <v>620</v>
      </c>
      <c r="H972" s="315" t="s">
        <v>0</v>
      </c>
      <c r="I972" s="254"/>
      <c r="J972" s="255"/>
      <c r="K972" s="255"/>
      <c r="L972" s="255"/>
      <c r="M972" s="255"/>
      <c r="N972" s="255"/>
      <c r="O972" s="255"/>
      <c r="P972" s="255"/>
      <c r="Q972" s="349">
        <v>66560020703</v>
      </c>
      <c r="R972" s="349">
        <v>66560020703</v>
      </c>
    </row>
    <row r="973" spans="1:32" ht="15" x14ac:dyDescent="0.25">
      <c r="A973" s="336"/>
      <c r="B973" s="374"/>
      <c r="C973" s="494" t="s">
        <v>846</v>
      </c>
      <c r="D973" s="352">
        <v>0.17699999999999999</v>
      </c>
      <c r="E973" s="352">
        <v>0.23</v>
      </c>
      <c r="F973" s="370">
        <v>5.2999999999999999E-2</v>
      </c>
      <c r="G973" s="343">
        <v>186</v>
      </c>
      <c r="H973" s="315" t="s">
        <v>0</v>
      </c>
      <c r="I973" s="254"/>
      <c r="J973" s="255"/>
      <c r="K973" s="255"/>
      <c r="L973" s="255"/>
      <c r="M973" s="255"/>
      <c r="N973" s="255"/>
      <c r="O973" s="255"/>
      <c r="P973" s="255"/>
      <c r="Q973" s="350"/>
      <c r="R973" s="337" t="s">
        <v>832</v>
      </c>
      <c r="S973"/>
      <c r="T973"/>
      <c r="U973"/>
      <c r="V973"/>
      <c r="W973"/>
      <c r="X973"/>
      <c r="Y973"/>
      <c r="Z973"/>
      <c r="AA973" t="s">
        <v>1097</v>
      </c>
      <c r="AB973"/>
      <c r="AC973"/>
      <c r="AD973"/>
      <c r="AE973"/>
      <c r="AF973"/>
    </row>
    <row r="974" spans="1:32" ht="22.5" x14ac:dyDescent="0.2">
      <c r="C974" s="33"/>
      <c r="S974" s="102"/>
      <c r="T974" s="625" t="s">
        <v>1092</v>
      </c>
      <c r="U974" s="625" t="s">
        <v>1093</v>
      </c>
      <c r="V974" s="625" t="s">
        <v>1094</v>
      </c>
      <c r="W974" s="625" t="s">
        <v>1095</v>
      </c>
      <c r="X974" s="625" t="s">
        <v>1096</v>
      </c>
      <c r="Y974" s="627" t="s">
        <v>269</v>
      </c>
      <c r="Z974" s="102"/>
      <c r="AA974" s="625" t="s">
        <v>1092</v>
      </c>
      <c r="AB974" s="625" t="s">
        <v>1093</v>
      </c>
      <c r="AC974" s="625" t="s">
        <v>1094</v>
      </c>
      <c r="AD974" s="625" t="s">
        <v>1095</v>
      </c>
      <c r="AE974" s="625" t="s">
        <v>1096</v>
      </c>
      <c r="AF974" s="627" t="s">
        <v>269</v>
      </c>
    </row>
    <row r="975" spans="1:32" ht="12.75" customHeight="1" x14ac:dyDescent="0.2">
      <c r="A975" s="137" t="s">
        <v>833</v>
      </c>
      <c r="B975" s="138"/>
      <c r="C975" s="485"/>
      <c r="D975" s="139"/>
      <c r="E975" s="140"/>
      <c r="F975" s="141">
        <f>SUM(F953:F973)</f>
        <v>3.7969999999999997</v>
      </c>
      <c r="G975" s="265">
        <f>SUM(G953:G973)</f>
        <v>16366</v>
      </c>
      <c r="H975" s="143"/>
      <c r="I975" s="94"/>
      <c r="J975" s="144"/>
      <c r="K975" s="145" t="s">
        <v>268</v>
      </c>
      <c r="L975" s="265">
        <f>SUM(L953:L973)</f>
        <v>0</v>
      </c>
      <c r="M975" s="265">
        <f>SUM(M953:M973)</f>
        <v>0</v>
      </c>
      <c r="N975" s="147"/>
      <c r="O975" s="145" t="s">
        <v>269</v>
      </c>
      <c r="P975" s="265">
        <f>SUM(P953:P973)</f>
        <v>0</v>
      </c>
      <c r="Q975" s="147"/>
      <c r="R975" s="147"/>
      <c r="S975" s="628" t="s">
        <v>844</v>
      </c>
      <c r="T975" s="625" t="s">
        <v>231</v>
      </c>
      <c r="U975" s="625" t="s">
        <v>231</v>
      </c>
      <c r="V975" s="625" t="s">
        <v>231</v>
      </c>
      <c r="W975" s="625" t="s">
        <v>231</v>
      </c>
      <c r="X975" s="625" t="s">
        <v>231</v>
      </c>
      <c r="Y975" s="626" t="s">
        <v>231</v>
      </c>
      <c r="Z975" s="628"/>
      <c r="AA975" s="625" t="s">
        <v>231</v>
      </c>
      <c r="AB975" s="625" t="s">
        <v>231</v>
      </c>
      <c r="AC975" s="625" t="s">
        <v>231</v>
      </c>
      <c r="AD975" s="625" t="s">
        <v>231</v>
      </c>
      <c r="AE975" s="625" t="s">
        <v>231</v>
      </c>
      <c r="AF975" s="626" t="s">
        <v>231</v>
      </c>
    </row>
    <row r="976" spans="1:32" ht="12.75" customHeight="1" x14ac:dyDescent="0.2">
      <c r="A976" s="148" t="s">
        <v>270</v>
      </c>
      <c r="B976" s="149"/>
      <c r="C976" s="486"/>
      <c r="D976" s="150"/>
      <c r="E976" s="151"/>
      <c r="F976" s="163">
        <f>SUMIFS(F953:F973,H953:H973,"melnais")</f>
        <v>1.732</v>
      </c>
      <c r="G976" s="266">
        <f>SUMIFS(G953:G973,H953:H973,"melnais")</f>
        <v>8585</v>
      </c>
      <c r="H976" s="154"/>
      <c r="I976" s="155"/>
      <c r="J976" s="147"/>
      <c r="K976" s="136"/>
      <c r="L976" s="156"/>
      <c r="M976" s="156"/>
      <c r="N976" s="147"/>
      <c r="O976" s="147"/>
      <c r="P976" s="147"/>
      <c r="Q976" s="147"/>
      <c r="R976" s="147"/>
      <c r="S976" s="616" t="s">
        <v>847</v>
      </c>
      <c r="T976" s="614">
        <f>SUMIFS(F953:F973,C953:C973,"A",H953:H973,"melnais")</f>
        <v>0</v>
      </c>
      <c r="U976" s="614">
        <f>SUMIFS(F953:F973,C953:C973,"A",H953:H973,"dubultā virsma")</f>
        <v>0</v>
      </c>
      <c r="V976" s="614">
        <f>SUMIFS(F953:F973,C953:C973,"A",H953:H973,"bruģis")</f>
        <v>0</v>
      </c>
      <c r="W976" s="614">
        <f>SUMIFS(F953:F973,C953:C973,"A",H953:H973,"grants")</f>
        <v>0</v>
      </c>
      <c r="X976" s="614">
        <f>SUMIFS(F953:F973,C953:C973,"A",H953:H973,"cits segums")</f>
        <v>0</v>
      </c>
      <c r="Y976" s="614">
        <f>SUM(T976:X976)</f>
        <v>0</v>
      </c>
      <c r="Z976" s="616" t="s">
        <v>847</v>
      </c>
      <c r="AA976" s="614">
        <f>SUMIFS(F953:F973,C953:C973,"A",H953:H973,"melnais", Q953:Q973,"Nepiederošs")</f>
        <v>0</v>
      </c>
      <c r="AB976" s="614">
        <f>SUMIFS(F953:F973,C953:C973,"A",H953:H973,"dubultā virsma", Q953:Q973,"Nepiederošs")</f>
        <v>0</v>
      </c>
      <c r="AC976" s="614">
        <f>SUMIFS(F953:F973,C953:C973,"A",H953:H973,"bruģis", Q953:Q973,"Nepiederošs")</f>
        <v>0</v>
      </c>
      <c r="AD976" s="614">
        <f>SUMIFS(F953:F973,C953:C973,"A",H953:H973,"grants", Q953:Q973,"Nepiederošs")</f>
        <v>0</v>
      </c>
      <c r="AE976" s="614">
        <f>SUMIFS(F953:F973,C953:C973,"A",H953:H973,"cits segums", Q953:Q973,"Nepiederošs")</f>
        <v>0</v>
      </c>
      <c r="AF976" s="614">
        <f>SUM(AA976:AE976)</f>
        <v>0</v>
      </c>
    </row>
    <row r="977" spans="1:32" ht="12.75" customHeight="1" x14ac:dyDescent="0.2">
      <c r="A977" s="148" t="s">
        <v>271</v>
      </c>
      <c r="B977" s="149"/>
      <c r="C977" s="486"/>
      <c r="D977" s="150"/>
      <c r="E977" s="151"/>
      <c r="F977" s="163">
        <f>SUMIFS(F953:F973,H953:H973,"bruģis")</f>
        <v>0</v>
      </c>
      <c r="G977" s="266">
        <f>SUMIFS(G953:G973,H953:H973,"bruģis")</f>
        <v>0</v>
      </c>
      <c r="H977" s="162"/>
      <c r="I977" s="94"/>
      <c r="J977" s="159"/>
      <c r="K977" s="160"/>
      <c r="L977" s="160"/>
      <c r="M977" s="160"/>
      <c r="N977" s="161"/>
      <c r="O977" s="147"/>
      <c r="P977" s="147"/>
      <c r="Q977" s="147"/>
      <c r="R977" s="147"/>
      <c r="S977" s="617" t="s">
        <v>848</v>
      </c>
      <c r="T977" s="614">
        <f>SUMIFS(F953:F973,C953:C973,"B",H953:H973,"melnais")</f>
        <v>0</v>
      </c>
      <c r="U977" s="614">
        <f>SUMIFS(F953:F973,C953:C973,"B",H953:H973,"dubultā virsma")</f>
        <v>0</v>
      </c>
      <c r="V977" s="614">
        <f>SUMIFS(F953:F973,C953:C973,"B",H953:H973,"bruģis")</f>
        <v>0</v>
      </c>
      <c r="W977" s="614">
        <f>SUMIFS(F953:F973,C953:C973,"B",H953:H973,"grants")</f>
        <v>0</v>
      </c>
      <c r="X977" s="614">
        <f>SUMIFS(F953:F973,C953:C973,"B",H953:H973,"cits segums")</f>
        <v>0</v>
      </c>
      <c r="Y977" s="614">
        <f t="shared" ref="Y977:Y979" si="232">SUM(T977:X977)</f>
        <v>0</v>
      </c>
      <c r="Z977" s="617" t="s">
        <v>848</v>
      </c>
      <c r="AA977" s="614">
        <f>SUMIFS(F953:F973,C953:C973,"B",H953:H973,"melnais", Q953:Q973,"Nepiederošs")</f>
        <v>0</v>
      </c>
      <c r="AB977" s="614">
        <f>SUMIFS(F953:F973,C953:C973,"B",H953:H973,"dubultā virsma", Q953:Q973,"Nepiederošs")</f>
        <v>0</v>
      </c>
      <c r="AC977" s="614">
        <f>SUMIFS(F953:F973,C953:C973,"B",H953:H973,"bruģis", Q953:Q973,"Nepiederošs")</f>
        <v>0</v>
      </c>
      <c r="AD977" s="614">
        <f>SUMIFS(F953:F973,C953:C973,"B",H953:H973,"grants", Q953:Q973,"Nepiederošs")</f>
        <v>0</v>
      </c>
      <c r="AE977" s="614">
        <f>SUMIFS(F953:F973,C953:C973,"B",H953:H973,"cits segums", Q953:Q973,"Nepiederošs")</f>
        <v>0</v>
      </c>
      <c r="AF977" s="614">
        <f t="shared" ref="AF977:AF979" si="233">SUM(AA977:AE977)</f>
        <v>0</v>
      </c>
    </row>
    <row r="978" spans="1:32" ht="12.75" customHeight="1" x14ac:dyDescent="0.2">
      <c r="A978" s="148" t="s">
        <v>272</v>
      </c>
      <c r="B978" s="149"/>
      <c r="C978" s="486"/>
      <c r="D978" s="150"/>
      <c r="E978" s="151"/>
      <c r="F978" s="163">
        <f>SUMIFS(F953:F973,H953:H973,"grants")</f>
        <v>1.7850000000000001</v>
      </c>
      <c r="G978" s="266">
        <f>SUMIFS(G953:G973,H953:H973,"grants")</f>
        <v>6941</v>
      </c>
      <c r="H978" s="162"/>
      <c r="I978" s="162"/>
      <c r="J978" s="159"/>
      <c r="K978" s="160"/>
      <c r="L978" s="160"/>
      <c r="M978" s="160"/>
      <c r="N978" s="161"/>
      <c r="O978" s="147"/>
      <c r="P978" s="147"/>
      <c r="Q978" s="147"/>
      <c r="R978" s="147"/>
      <c r="S978" s="615" t="s">
        <v>845</v>
      </c>
      <c r="T978" s="614">
        <f>SUMIFS(F953:F973,C953:C973,"C",H953:H973,"melnais")</f>
        <v>0</v>
      </c>
      <c r="U978" s="614">
        <f>SUMIFS(F953:F973,C953:C973,"C",H953:H973,"dubultā virsma")</f>
        <v>0</v>
      </c>
      <c r="V978" s="614">
        <f>SUMIFS(F953:F973,C953:C973,"C",H953:H973,"bruģis")</f>
        <v>0</v>
      </c>
      <c r="W978" s="614">
        <f>SUMIFS(F953:F973,C953:C973,"C",H953:H973,"grants")</f>
        <v>0</v>
      </c>
      <c r="X978" s="614">
        <f>SUMIFS(F953:F973,C953:C973,"C",H953:H973,"cits segums")</f>
        <v>0</v>
      </c>
      <c r="Y978" s="614">
        <f t="shared" si="232"/>
        <v>0</v>
      </c>
      <c r="Z978" s="615" t="s">
        <v>845</v>
      </c>
      <c r="AA978" s="614">
        <f>SUMIFS(F953:F973,C953:C973,"C",H953:H973,"melnais", Q953:Q973,"Nepiederošs")</f>
        <v>0</v>
      </c>
      <c r="AB978" s="614">
        <f>SUMIFS(F953:F973,C953:C973,"C",H953:H973,"dubultā virsma", Q953:Q973,"Nepiederošs")</f>
        <v>0</v>
      </c>
      <c r="AC978" s="614">
        <f>SUMIFS(F953:F973,C953:C973,"C",H953:H973,"bruģis", Q953:Q973,"Nepiederošs")</f>
        <v>0</v>
      </c>
      <c r="AD978" s="614">
        <f>SUMIFS(F953:F973,C953:C973,"C",H953:H973,"grants", Q953:Q973,"Nepiederošs")</f>
        <v>0</v>
      </c>
      <c r="AE978" s="614">
        <f>SUMIFS(F953:F973,C953:C973,"C",H953:H973,"cits segums", Q953:Q973,"Nepiederošs")</f>
        <v>0</v>
      </c>
      <c r="AF978" s="614">
        <f t="shared" si="233"/>
        <v>0</v>
      </c>
    </row>
    <row r="979" spans="1:32" ht="12.75" customHeight="1" x14ac:dyDescent="0.2">
      <c r="A979" s="148" t="s">
        <v>401</v>
      </c>
      <c r="B979" s="149"/>
      <c r="C979" s="486"/>
      <c r="D979" s="150"/>
      <c r="E979" s="151"/>
      <c r="F979" s="163">
        <f>SUMIFS(F953:F973,H953:H973,"cits segums")</f>
        <v>0.27999999999999997</v>
      </c>
      <c r="G979" s="266">
        <f>SUMIFS(G953:G973,H953:H973,"cits segums")</f>
        <v>840</v>
      </c>
      <c r="H979" s="165"/>
      <c r="I979" s="162"/>
      <c r="J979" s="166"/>
      <c r="K979" s="160"/>
      <c r="L979" s="160"/>
      <c r="M979" s="160"/>
      <c r="N979" s="161"/>
      <c r="O979" s="147"/>
      <c r="P979" s="147"/>
      <c r="Q979" s="147"/>
      <c r="R979" s="147"/>
      <c r="S979" s="616" t="s">
        <v>846</v>
      </c>
      <c r="T979" s="614">
        <f>SUMIFS(F953:F973,C953:C973,"D",H953:H973,"melnais")</f>
        <v>1.732</v>
      </c>
      <c r="U979" s="614">
        <f>SUMIFS(F953:F973,C953:C973,"D",H953:H973,"dubultā virsma")</f>
        <v>0</v>
      </c>
      <c r="V979" s="614">
        <f>SUMIFS(F953:F973,C953:C973,"D",H953:H973,"bruģis")</f>
        <v>0</v>
      </c>
      <c r="W979" s="614">
        <f>SUMIFS(F953:F973,C953:C973,"D",H953:H973,"grants")</f>
        <v>1.7850000000000001</v>
      </c>
      <c r="X979" s="614">
        <f>SUMIFS(F953:F973,C953:C973,"D",H953:H973,"cits segums")</f>
        <v>0.27999999999999997</v>
      </c>
      <c r="Y979" s="614">
        <f t="shared" si="232"/>
        <v>3.7970000000000002</v>
      </c>
      <c r="Z979" s="616" t="s">
        <v>846</v>
      </c>
      <c r="AA979" s="614">
        <f>SUMIFS(F953:F973,C953:C973,"D",H953:H973,"melnais", Q953:Q973,"Nepiederošs")</f>
        <v>0</v>
      </c>
      <c r="AB979" s="614">
        <f>SUMIFS(F953:F973,C953:C973,"D",H953:H973,"dubultā virsma", Q953:Q973,"Nepiederošs")</f>
        <v>0</v>
      </c>
      <c r="AC979" s="614">
        <f>SUMIFS(F953:F973,C953:C973,"D",H953:H973,"bruģis", Q953:Q973,"Nepiederošs")</f>
        <v>0</v>
      </c>
      <c r="AD979" s="614">
        <f>SUMIFS(F953:F973,C953:C973,"D",H953:H973,"grants", Q953:Q973,"Nepiederošs")</f>
        <v>0</v>
      </c>
      <c r="AE979" s="614">
        <f>SUMIFS(F953:F973,C953:C973,"D",H953:H973,"cits segums", Q953:Q973,"Nepiederošs")</f>
        <v>0</v>
      </c>
      <c r="AF979" s="614">
        <f t="shared" si="233"/>
        <v>0</v>
      </c>
    </row>
    <row r="980" spans="1:32" ht="15" x14ac:dyDescent="0.25">
      <c r="C980" s="33"/>
      <c r="S980" s="637"/>
      <c r="T980" s="629">
        <f>SUM(T976:T979)</f>
        <v>1.732</v>
      </c>
      <c r="U980" s="629">
        <f t="shared" ref="U980:Y980" si="234">SUM(U976:U979)</f>
        <v>0</v>
      </c>
      <c r="V980" s="629">
        <f t="shared" si="234"/>
        <v>0</v>
      </c>
      <c r="W980" s="629">
        <f t="shared" si="234"/>
        <v>1.7850000000000001</v>
      </c>
      <c r="X980" s="629">
        <f t="shared" si="234"/>
        <v>0.27999999999999997</v>
      </c>
      <c r="Y980" s="629">
        <f t="shared" si="234"/>
        <v>3.7970000000000002</v>
      </c>
      <c r="Z980"/>
      <c r="AA980" s="629">
        <f>SUM(AA976:AA979)</f>
        <v>0</v>
      </c>
      <c r="AB980" s="629">
        <f t="shared" ref="AB980" si="235">SUM(AB976:AB979)</f>
        <v>0</v>
      </c>
      <c r="AC980" s="629">
        <f>SUM(AC976:AC979)</f>
        <v>0</v>
      </c>
      <c r="AD980" s="629">
        <f t="shared" ref="AD980:AF980" si="236">SUM(AD976:AD979)</f>
        <v>0</v>
      </c>
      <c r="AE980" s="629">
        <f t="shared" si="236"/>
        <v>0</v>
      </c>
      <c r="AF980" s="629">
        <f t="shared" si="236"/>
        <v>0</v>
      </c>
    </row>
    <row r="981" spans="1:32" s="38" customFormat="1" ht="15" customHeight="1" x14ac:dyDescent="0.25">
      <c r="A981" s="33"/>
      <c r="C981" s="487"/>
      <c r="D981" s="813" t="s">
        <v>1085</v>
      </c>
      <c r="E981" s="813"/>
      <c r="F981" s="813"/>
      <c r="G981" s="813"/>
      <c r="H981" s="813"/>
      <c r="I981" s="813"/>
      <c r="J981" s="813"/>
      <c r="K981" s="813"/>
      <c r="L981" s="813"/>
      <c r="M981" s="813"/>
      <c r="N981" s="813"/>
      <c r="O981" s="813"/>
      <c r="P981" s="813"/>
      <c r="Q981" s="30"/>
      <c r="R981" s="37"/>
    </row>
    <row r="982" spans="1:32" ht="12.75" customHeight="1" x14ac:dyDescent="0.2">
      <c r="A982" s="818" t="s">
        <v>244</v>
      </c>
      <c r="B982" s="825" t="s">
        <v>388</v>
      </c>
      <c r="C982" s="482"/>
      <c r="D982" s="826" t="s">
        <v>246</v>
      </c>
      <c r="E982" s="827"/>
      <c r="F982" s="827"/>
      <c r="G982" s="827"/>
      <c r="H982" s="827"/>
      <c r="I982" s="827"/>
      <c r="J982" s="827"/>
      <c r="K982" s="827"/>
      <c r="L982" s="827"/>
      <c r="M982" s="827"/>
      <c r="N982" s="827"/>
      <c r="O982" s="827"/>
      <c r="P982" s="828"/>
      <c r="Q982" s="821" t="s">
        <v>247</v>
      </c>
      <c r="R982" s="822"/>
    </row>
    <row r="983" spans="1:32" ht="12.75" customHeight="1" x14ac:dyDescent="0.2">
      <c r="A983" s="818"/>
      <c r="B983" s="825"/>
      <c r="C983" s="410"/>
      <c r="D983" s="816" t="s">
        <v>389</v>
      </c>
      <c r="E983" s="816"/>
      <c r="F983" s="816"/>
      <c r="G983" s="816"/>
      <c r="H983" s="816"/>
      <c r="I983" s="814" t="s">
        <v>249</v>
      </c>
      <c r="J983" s="814"/>
      <c r="K983" s="814"/>
      <c r="L983" s="814"/>
      <c r="M983" s="814"/>
      <c r="N983" s="814"/>
      <c r="O983" s="814"/>
      <c r="P983" s="815" t="s">
        <v>250</v>
      </c>
      <c r="Q983" s="823"/>
      <c r="R983" s="824"/>
    </row>
    <row r="984" spans="1:32" ht="15.2" customHeight="1" x14ac:dyDescent="0.2">
      <c r="A984" s="818"/>
      <c r="B984" s="825"/>
      <c r="C984" s="410"/>
      <c r="D984" s="816" t="s">
        <v>251</v>
      </c>
      <c r="E984" s="816"/>
      <c r="F984" s="817" t="s">
        <v>252</v>
      </c>
      <c r="G984" s="817" t="s">
        <v>257</v>
      </c>
      <c r="H984" s="818" t="s">
        <v>253</v>
      </c>
      <c r="I984" s="819" t="s">
        <v>254</v>
      </c>
      <c r="J984" s="814" t="s">
        <v>255</v>
      </c>
      <c r="K984" s="814"/>
      <c r="L984" s="820" t="s">
        <v>256</v>
      </c>
      <c r="M984" s="820" t="s">
        <v>257</v>
      </c>
      <c r="N984" s="820" t="s">
        <v>258</v>
      </c>
      <c r="O984" s="820" t="s">
        <v>259</v>
      </c>
      <c r="P984" s="809"/>
      <c r="Q984" s="809" t="s">
        <v>260</v>
      </c>
      <c r="R984" s="811" t="s">
        <v>261</v>
      </c>
    </row>
    <row r="985" spans="1:32" ht="33.75" customHeight="1" x14ac:dyDescent="0.2">
      <c r="A985" s="818"/>
      <c r="B985" s="825"/>
      <c r="C985" s="432" t="s">
        <v>844</v>
      </c>
      <c r="D985" s="95" t="s">
        <v>262</v>
      </c>
      <c r="E985" s="95" t="s">
        <v>263</v>
      </c>
      <c r="F985" s="817"/>
      <c r="G985" s="817"/>
      <c r="H985" s="818"/>
      <c r="I985" s="819"/>
      <c r="J985" s="96" t="s">
        <v>231</v>
      </c>
      <c r="K985" s="96" t="s">
        <v>264</v>
      </c>
      <c r="L985" s="820"/>
      <c r="M985" s="820"/>
      <c r="N985" s="820"/>
      <c r="O985" s="820"/>
      <c r="P985" s="810"/>
      <c r="Q985" s="810"/>
      <c r="R985" s="812"/>
    </row>
    <row r="986" spans="1:32" s="99" customFormat="1" ht="12" customHeight="1" x14ac:dyDescent="0.25">
      <c r="A986" s="200">
        <v>1</v>
      </c>
      <c r="B986" s="200">
        <v>2</v>
      </c>
      <c r="C986" s="200"/>
      <c r="D986" s="200">
        <v>3</v>
      </c>
      <c r="E986" s="200">
        <v>4</v>
      </c>
      <c r="F986" s="200">
        <v>5</v>
      </c>
      <c r="G986" s="200">
        <v>6</v>
      </c>
      <c r="H986" s="200">
        <v>7</v>
      </c>
      <c r="I986" s="201">
        <v>8</v>
      </c>
      <c r="J986" s="201">
        <v>9</v>
      </c>
      <c r="K986" s="201">
        <v>10</v>
      </c>
      <c r="L986" s="201">
        <v>11</v>
      </c>
      <c r="M986" s="201">
        <v>12</v>
      </c>
      <c r="N986" s="201">
        <v>13</v>
      </c>
      <c r="O986" s="201">
        <v>14</v>
      </c>
      <c r="P986" s="201">
        <v>15</v>
      </c>
      <c r="Q986" s="201">
        <v>16</v>
      </c>
      <c r="R986" s="200">
        <v>17</v>
      </c>
    </row>
    <row r="987" spans="1:32" x14ac:dyDescent="0.2">
      <c r="A987" s="349">
        <v>1</v>
      </c>
      <c r="B987" s="364" t="s">
        <v>528</v>
      </c>
      <c r="C987" s="411" t="s">
        <v>846</v>
      </c>
      <c r="D987" s="352">
        <v>0</v>
      </c>
      <c r="E987" s="352">
        <v>0.2</v>
      </c>
      <c r="F987" s="370">
        <v>0.2</v>
      </c>
      <c r="G987" s="343">
        <v>600</v>
      </c>
      <c r="H987" s="315" t="s">
        <v>0</v>
      </c>
      <c r="I987" s="254"/>
      <c r="J987" s="255"/>
      <c r="K987" s="255"/>
      <c r="L987" s="255"/>
      <c r="M987" s="255"/>
      <c r="N987" s="255"/>
      <c r="O987" s="255"/>
      <c r="P987" s="255"/>
      <c r="Q987" s="342">
        <v>66560060187</v>
      </c>
      <c r="R987" s="342">
        <v>66560060187</v>
      </c>
    </row>
    <row r="988" spans="1:32" ht="15" x14ac:dyDescent="0.25">
      <c r="A988" s="324">
        <v>2</v>
      </c>
      <c r="B988" s="369" t="s">
        <v>217</v>
      </c>
      <c r="C988" s="494" t="s">
        <v>846</v>
      </c>
      <c r="D988" s="352">
        <v>0</v>
      </c>
      <c r="E988" s="352">
        <v>0.24</v>
      </c>
      <c r="F988" s="370">
        <v>0.24</v>
      </c>
      <c r="G988" s="343">
        <v>720</v>
      </c>
      <c r="H988" s="315" t="s">
        <v>325</v>
      </c>
      <c r="I988" s="254"/>
      <c r="J988" s="255"/>
      <c r="K988" s="255"/>
      <c r="L988" s="255"/>
      <c r="M988" s="255"/>
      <c r="N988" s="255"/>
      <c r="O988" s="255"/>
      <c r="P988" s="255"/>
      <c r="Q988" s="342">
        <v>66560060216</v>
      </c>
      <c r="R988" s="342">
        <v>66560060216</v>
      </c>
      <c r="S988"/>
      <c r="T988"/>
      <c r="U988"/>
      <c r="V988"/>
      <c r="W988"/>
      <c r="X988"/>
      <c r="Y988"/>
      <c r="Z988"/>
      <c r="AA988" t="s">
        <v>1097</v>
      </c>
      <c r="AB988"/>
      <c r="AC988"/>
      <c r="AD988"/>
      <c r="AE988"/>
      <c r="AF988"/>
    </row>
    <row r="989" spans="1:32" ht="22.5" x14ac:dyDescent="0.2">
      <c r="S989" s="102"/>
      <c r="T989" s="625" t="s">
        <v>1092</v>
      </c>
      <c r="U989" s="625" t="s">
        <v>1093</v>
      </c>
      <c r="V989" s="625" t="s">
        <v>1094</v>
      </c>
      <c r="W989" s="625" t="s">
        <v>1095</v>
      </c>
      <c r="X989" s="625" t="s">
        <v>1096</v>
      </c>
      <c r="Y989" s="627" t="s">
        <v>269</v>
      </c>
      <c r="Z989" s="102"/>
      <c r="AA989" s="625" t="s">
        <v>1092</v>
      </c>
      <c r="AB989" s="625" t="s">
        <v>1093</v>
      </c>
      <c r="AC989" s="625" t="s">
        <v>1094</v>
      </c>
      <c r="AD989" s="625" t="s">
        <v>1095</v>
      </c>
      <c r="AE989" s="625" t="s">
        <v>1096</v>
      </c>
      <c r="AF989" s="627" t="s">
        <v>269</v>
      </c>
    </row>
    <row r="990" spans="1:32" ht="12.75" customHeight="1" x14ac:dyDescent="0.2">
      <c r="A990" s="137" t="s">
        <v>834</v>
      </c>
      <c r="B990" s="138"/>
      <c r="C990" s="138"/>
      <c r="D990" s="139"/>
      <c r="E990" s="140"/>
      <c r="F990" s="141">
        <f>SUM(F987:F988)</f>
        <v>0.44</v>
      </c>
      <c r="G990" s="204">
        <f>SUM(G987:G988)</f>
        <v>1320</v>
      </c>
      <c r="H990" s="143"/>
      <c r="I990" s="94"/>
      <c r="J990" s="144"/>
      <c r="K990" s="145" t="s">
        <v>268</v>
      </c>
      <c r="L990" s="265">
        <f>SUM(L987:L988)</f>
        <v>0</v>
      </c>
      <c r="M990" s="265">
        <f>SUM(M987:M988)</f>
        <v>0</v>
      </c>
      <c r="N990" s="147"/>
      <c r="O990" s="145" t="s">
        <v>269</v>
      </c>
      <c r="P990" s="265">
        <f>SUM(P987:P988)</f>
        <v>0</v>
      </c>
      <c r="Q990" s="147"/>
      <c r="R990" s="147"/>
      <c r="S990" s="628" t="s">
        <v>844</v>
      </c>
      <c r="T990" s="625" t="s">
        <v>231</v>
      </c>
      <c r="U990" s="625" t="s">
        <v>231</v>
      </c>
      <c r="V990" s="625" t="s">
        <v>231</v>
      </c>
      <c r="W990" s="625" t="s">
        <v>231</v>
      </c>
      <c r="X990" s="625" t="s">
        <v>231</v>
      </c>
      <c r="Y990" s="626" t="s">
        <v>231</v>
      </c>
      <c r="Z990" s="628"/>
      <c r="AA990" s="625" t="s">
        <v>231</v>
      </c>
      <c r="AB990" s="625" t="s">
        <v>231</v>
      </c>
      <c r="AC990" s="625" t="s">
        <v>231</v>
      </c>
      <c r="AD990" s="625" t="s">
        <v>231</v>
      </c>
      <c r="AE990" s="625" t="s">
        <v>231</v>
      </c>
      <c r="AF990" s="626" t="s">
        <v>231</v>
      </c>
    </row>
    <row r="991" spans="1:32" ht="12.75" customHeight="1" x14ac:dyDescent="0.2">
      <c r="A991" s="148" t="s">
        <v>270</v>
      </c>
      <c r="B991" s="149"/>
      <c r="C991" s="149"/>
      <c r="D991" s="150"/>
      <c r="E991" s="151"/>
      <c r="F991" s="163">
        <f>SUMIFS(F987:F988,H987:H988,"melnais")</f>
        <v>0</v>
      </c>
      <c r="G991" s="266">
        <f>SUMIFS(G987:G988,H987:H988,"melnais")</f>
        <v>0</v>
      </c>
      <c r="H991" s="154"/>
      <c r="I991" s="155"/>
      <c r="J991" s="147"/>
      <c r="K991" s="136"/>
      <c r="L991" s="156"/>
      <c r="M991" s="156"/>
      <c r="N991" s="147"/>
      <c r="O991" s="147"/>
      <c r="P991" s="147"/>
      <c r="Q991" s="147"/>
      <c r="R991" s="147"/>
      <c r="S991" s="616" t="s">
        <v>847</v>
      </c>
      <c r="T991" s="614">
        <f>SUMIFS(F982:F988,C982:C988,"A",H982:H988,"melnais")</f>
        <v>0</v>
      </c>
      <c r="U991" s="614">
        <f>SUMIFS(F982:F988,C982:C988,"A",H982:H988,"dubultā virsma")</f>
        <v>0</v>
      </c>
      <c r="V991" s="614">
        <f>SUMIFS(F982:F988,C982:C988,"A",H982:H988,"bruģis")</f>
        <v>0</v>
      </c>
      <c r="W991" s="614">
        <f>SUMIFS(F982:F988,C982:C988,"A",H982:H988,"grants")</f>
        <v>0</v>
      </c>
      <c r="X991" s="614">
        <f>SUMIFS(F982:F988,C982:C988,"A",H982:H988,"cits segums")</f>
        <v>0</v>
      </c>
      <c r="Y991" s="614">
        <f>SUM(T991:X991)</f>
        <v>0</v>
      </c>
      <c r="Z991" s="616" t="s">
        <v>847</v>
      </c>
      <c r="AA991" s="614">
        <f>SUMIFS(F982:F988,C982:C988,"A",H982:H988,"melnais", Q982:Q988,"Nepiederošs")</f>
        <v>0</v>
      </c>
      <c r="AB991" s="614">
        <f>SUMIFS(F982:F988,C982:C988,"A",H982:H988,"dubultā virsma", Q982:Q988,"Nepiederošs")</f>
        <v>0</v>
      </c>
      <c r="AC991" s="614">
        <f>SUMIFS(F982:F988,C982:C988,"A",H982:H988,"bruģis", Q982:Q988,"Nepiederošs")</f>
        <v>0</v>
      </c>
      <c r="AD991" s="614">
        <f>SUMIFS(F982:F988,C982:C988,"A",H982:H988,"grants", Q982:Q988,"Nepiederošs")</f>
        <v>0</v>
      </c>
      <c r="AE991" s="614">
        <f>SUMIFS(F982:F988,C982:C988,"A",H982:H988,"cits segums", Q982:Q988,"Nepiederošs")</f>
        <v>0</v>
      </c>
      <c r="AF991" s="614">
        <f>SUM(AA991:AE991)</f>
        <v>0</v>
      </c>
    </row>
    <row r="992" spans="1:32" ht="12.75" customHeight="1" x14ac:dyDescent="0.2">
      <c r="A992" s="148" t="s">
        <v>271</v>
      </c>
      <c r="B992" s="149"/>
      <c r="C992" s="149"/>
      <c r="D992" s="150"/>
      <c r="E992" s="151"/>
      <c r="F992" s="163">
        <f>SUMIFS(F987:F988,H987:H988,"bruģis")</f>
        <v>0</v>
      </c>
      <c r="G992" s="266">
        <f>SUMIFS(G987:G988,H987:H988,"bruģis")</f>
        <v>0</v>
      </c>
      <c r="H992" s="162"/>
      <c r="I992" s="94"/>
      <c r="J992" s="159"/>
      <c r="K992" s="160"/>
      <c r="L992" s="160"/>
      <c r="M992" s="160"/>
      <c r="N992" s="161"/>
      <c r="O992" s="147"/>
      <c r="P992" s="147"/>
      <c r="Q992" s="147"/>
      <c r="R992" s="147"/>
      <c r="S992" s="617" t="s">
        <v>848</v>
      </c>
      <c r="T992" s="614">
        <f>SUMIFS(F982:F988,C982:C988,"B",H982:H988,"melnais")</f>
        <v>0</v>
      </c>
      <c r="U992" s="614">
        <f>SUMIFS(F982:F988,C982:C988,"B",H982:H988,"dubultā virsma")</f>
        <v>0</v>
      </c>
      <c r="V992" s="614">
        <f>SUMIFS(F982:F988,C982:C988,"B",H982:H988,"bruģis")</f>
        <v>0</v>
      </c>
      <c r="W992" s="614">
        <f>SUMIFS(F982:F988,C982:C988,"B",H982:H988,"grants")</f>
        <v>0</v>
      </c>
      <c r="X992" s="614">
        <f>SUMIFS(F982:F988,C982:C988,"B",H982:H988,"cits segums")</f>
        <v>0</v>
      </c>
      <c r="Y992" s="614">
        <f t="shared" ref="Y992:Y994" si="237">SUM(T992:X992)</f>
        <v>0</v>
      </c>
      <c r="Z992" s="617" t="s">
        <v>848</v>
      </c>
      <c r="AA992" s="614">
        <f>SUMIFS(F982:F988,C982:C988,"B",H982:H988,"melnais", Q982:Q988,"Nepiederošs")</f>
        <v>0</v>
      </c>
      <c r="AB992" s="614">
        <f>SUMIFS(F982:F988,C982:C988,"B",H982:H988,"dubultā virsma", Q982:Q988,"Nepiederošs")</f>
        <v>0</v>
      </c>
      <c r="AC992" s="614">
        <f>SUMIFS(F982:F988,C982:C988,"B",H982:H988,"bruģis", Q982:Q988,"Nepiederošs")</f>
        <v>0</v>
      </c>
      <c r="AD992" s="614">
        <f>SUMIFS(F982:F988,C982:C988,"B",H982:H988,"grants", Q982:Q988,"Nepiederošs")</f>
        <v>0</v>
      </c>
      <c r="AE992" s="614">
        <f>SUMIFS(F982:F988,C982:C988,"B",H982:H988,"cits segums", Q982:Q988,"Nepiederošs")</f>
        <v>0</v>
      </c>
      <c r="AF992" s="614">
        <f t="shared" ref="AF992:AF994" si="238">SUM(AA992:AE992)</f>
        <v>0</v>
      </c>
    </row>
    <row r="993" spans="1:32" ht="12.75" customHeight="1" x14ac:dyDescent="0.2">
      <c r="A993" s="148" t="s">
        <v>272</v>
      </c>
      <c r="B993" s="149"/>
      <c r="C993" s="149"/>
      <c r="D993" s="150"/>
      <c r="E993" s="151"/>
      <c r="F993" s="163">
        <f>SUMIFS(F987:F988,H987:H988,"grants")</f>
        <v>0.2</v>
      </c>
      <c r="G993" s="266">
        <f>SUMIFS(G987:G988,H987:H988,"grants")</f>
        <v>600</v>
      </c>
      <c r="H993" s="162"/>
      <c r="I993" s="162"/>
      <c r="J993" s="159"/>
      <c r="K993" s="160"/>
      <c r="L993" s="160"/>
      <c r="M993" s="160"/>
      <c r="N993" s="161"/>
      <c r="O993" s="147"/>
      <c r="P993" s="147"/>
      <c r="Q993" s="147"/>
      <c r="R993" s="147"/>
      <c r="S993" s="615" t="s">
        <v>845</v>
      </c>
      <c r="T993" s="614">
        <f>SUMIFS(F982:F988,C982:C988,"C",H982:H988,"melnais")</f>
        <v>0</v>
      </c>
      <c r="U993" s="614">
        <f>SUMIFS(F982:F988,C982:C988,"C",H982:H988,"dubultā virsma")</f>
        <v>0</v>
      </c>
      <c r="V993" s="614">
        <f>SUMIFS(F982:F988,C982:C988,"C",H982:H988,"bruģis")</f>
        <v>0</v>
      </c>
      <c r="W993" s="614">
        <f>SUMIFS(F982:F988,C982:C988,"C",H982:H988,"grants")</f>
        <v>0</v>
      </c>
      <c r="X993" s="614">
        <f>SUMIFS(F982:F988,C982:C988,"C",H982:H988,"cits segums")</f>
        <v>0</v>
      </c>
      <c r="Y993" s="614">
        <f t="shared" si="237"/>
        <v>0</v>
      </c>
      <c r="Z993" s="615" t="s">
        <v>845</v>
      </c>
      <c r="AA993" s="614">
        <f>SUMIFS(F982:F988,C982:C988,"C",H982:H988,"melnais", Q982:Q988,"Nepiederošs")</f>
        <v>0</v>
      </c>
      <c r="AB993" s="614">
        <f>SUMIFS(F982:F988,C982:C988,"C",H982:H988,"dubultā virsma", Q982:Q988,"Nepiederošs")</f>
        <v>0</v>
      </c>
      <c r="AC993" s="614">
        <f>SUMIFS(F982:F988,C982:C988,"C",H982:H988,"bruģis", Q982:Q988,"Nepiederošs")</f>
        <v>0</v>
      </c>
      <c r="AD993" s="614">
        <f>SUMIFS(F982:F988,C982:C988,"C",H982:H988,"grants", Q982:Q988,"Nepiederošs")</f>
        <v>0</v>
      </c>
      <c r="AE993" s="614">
        <f>SUMIFS(F982:F988,C982:C988,"C",H982:H988,"cits segums", Q982:Q988,"Nepiederošs")</f>
        <v>0</v>
      </c>
      <c r="AF993" s="614">
        <f t="shared" si="238"/>
        <v>0</v>
      </c>
    </row>
    <row r="994" spans="1:32" ht="12.75" customHeight="1" x14ac:dyDescent="0.2">
      <c r="A994" s="148" t="s">
        <v>401</v>
      </c>
      <c r="B994" s="149"/>
      <c r="C994" s="149"/>
      <c r="D994" s="150"/>
      <c r="E994" s="151"/>
      <c r="F994" s="163">
        <f>SUMIFS(F987:F988,H987:H988,"cits segums")</f>
        <v>0.24</v>
      </c>
      <c r="G994" s="266">
        <f>SUMIFS(G987:G988,H987:H988,"cits segums")</f>
        <v>720</v>
      </c>
      <c r="H994" s="165"/>
      <c r="I994" s="162"/>
      <c r="J994" s="166"/>
      <c r="K994" s="160"/>
      <c r="L994" s="160"/>
      <c r="M994" s="160"/>
      <c r="N994" s="161"/>
      <c r="O994" s="147"/>
      <c r="P994" s="147"/>
      <c r="Q994" s="147"/>
      <c r="R994" s="147"/>
      <c r="S994" s="616" t="s">
        <v>846</v>
      </c>
      <c r="T994" s="614">
        <f>SUMIFS(F982:F988,C982:C988,"D",H982:H988,"melnais")</f>
        <v>0</v>
      </c>
      <c r="U994" s="614">
        <f>SUMIFS(F982:F988,C982:C988,"D",H982:H988,"dubultā virsma")</f>
        <v>0</v>
      </c>
      <c r="V994" s="614">
        <f>SUMIFS(F982:F988,C982:C988,"D",H982:H988,"bruģis")</f>
        <v>0</v>
      </c>
      <c r="W994" s="614">
        <f>SUMIFS(F982:F988,C982:C988,"D",H982:H988,"grants")</f>
        <v>0.2</v>
      </c>
      <c r="X994" s="614">
        <f>SUMIFS(F982:F988,C982:C988,"D",H982:H988,"cits segums")</f>
        <v>0.24</v>
      </c>
      <c r="Y994" s="614">
        <f t="shared" si="237"/>
        <v>0.44</v>
      </c>
      <c r="Z994" s="616" t="s">
        <v>846</v>
      </c>
      <c r="AA994" s="614">
        <f>SUMIFS(F982:F988,C982:C988,"D",H982:H988,"melnais", Q982:Q988,"Nepiederošs")</f>
        <v>0</v>
      </c>
      <c r="AB994" s="614">
        <f>SUMIFS(F982:F988,C982:C988,"D",H982:H988,"dubultā virsma", Q982:Q988,"Nepiederošs")</f>
        <v>0</v>
      </c>
      <c r="AC994" s="614">
        <f>SUMIFS(F982:F988,C982:C988,"D",H982:H988,"bruģis", Q982:Q988,"Nepiederošs")</f>
        <v>0</v>
      </c>
      <c r="AD994" s="614">
        <f>SUMIFS(F982:F988,C982:C988,"D",H982:H988,"grants", Q982:Q988,"Nepiederošs")</f>
        <v>0</v>
      </c>
      <c r="AE994" s="614">
        <f>SUMIFS(F982:F988,C982:C988,"D",H982:H988,"cits segums", Q982:Q988,"Nepiederošs")</f>
        <v>0</v>
      </c>
      <c r="AF994" s="614">
        <f t="shared" si="238"/>
        <v>0</v>
      </c>
    </row>
    <row r="995" spans="1:32" ht="15" x14ac:dyDescent="0.25">
      <c r="S995" s="637"/>
      <c r="T995" s="629">
        <f>SUM(T991:T994)</f>
        <v>0</v>
      </c>
      <c r="U995" s="629">
        <f t="shared" ref="U995:Y995" si="239">SUM(U991:U994)</f>
        <v>0</v>
      </c>
      <c r="V995" s="629">
        <f t="shared" si="239"/>
        <v>0</v>
      </c>
      <c r="W995" s="629">
        <f t="shared" si="239"/>
        <v>0.2</v>
      </c>
      <c r="X995" s="629">
        <f t="shared" si="239"/>
        <v>0.24</v>
      </c>
      <c r="Y995" s="629">
        <f t="shared" si="239"/>
        <v>0.44</v>
      </c>
      <c r="Z995"/>
      <c r="AA995" s="629">
        <f>SUM(AA991:AA994)</f>
        <v>0</v>
      </c>
      <c r="AB995" s="629">
        <f t="shared" ref="AB995" si="240">SUM(AB991:AB994)</f>
        <v>0</v>
      </c>
      <c r="AC995" s="629">
        <f>SUM(AC991:AC994)</f>
        <v>0</v>
      </c>
      <c r="AD995" s="629">
        <f t="shared" ref="AD995:AF995" si="241">SUM(AD991:AD994)</f>
        <v>0</v>
      </c>
      <c r="AE995" s="629">
        <f t="shared" si="241"/>
        <v>0</v>
      </c>
      <c r="AF995" s="629">
        <f t="shared" si="241"/>
        <v>0</v>
      </c>
    </row>
    <row r="996" spans="1:32" ht="12.75" customHeight="1" x14ac:dyDescent="0.2">
      <c r="A996" s="137" t="s">
        <v>843</v>
      </c>
      <c r="B996" s="138"/>
      <c r="C996" s="138"/>
      <c r="D996" s="139"/>
      <c r="E996" s="140"/>
      <c r="F996" s="141">
        <f t="shared" ref="F996:G1000" si="242">F990+F975+F941+F917+F896+F864+F821+F786+F760+F696+F677+F603+F579+F565+F496+F454+F422+F406+F392+F373+F357</f>
        <v>210.01399999999995</v>
      </c>
      <c r="G996" s="204">
        <f t="shared" si="242"/>
        <v>1024586</v>
      </c>
      <c r="H996" s="143"/>
      <c r="I996" s="94"/>
      <c r="J996" s="144"/>
      <c r="K996" s="145" t="s">
        <v>268</v>
      </c>
      <c r="L996" s="265">
        <f>L990+L975+L941+L917+L896+L864+L821+L786+L760+L696+L677+L603+L579+L565+L496+L454+L422+L406+L392+L373+L357</f>
        <v>18.25</v>
      </c>
      <c r="M996" s="265">
        <f>M990+M975+M941+M917+M896+M864+M821+M786+M760+M696+M677+M603+M579+M565+M496+M454+M422+M406+M392+M373+M357</f>
        <v>99</v>
      </c>
      <c r="N996" s="147"/>
      <c r="O996" s="145" t="s">
        <v>269</v>
      </c>
      <c r="P996" s="265">
        <f>P990+P975+P941+P917+P896+P864+P821+P786+P760+P696+P677+P603+P579+P565+P496+P454+P422+P406+P392+P373+P357</f>
        <v>66114.19</v>
      </c>
      <c r="Q996" s="147"/>
      <c r="R996" s="147"/>
    </row>
    <row r="997" spans="1:32" ht="12.75" customHeight="1" x14ac:dyDescent="0.2">
      <c r="A997" s="148" t="s">
        <v>270</v>
      </c>
      <c r="B997" s="149"/>
      <c r="C997" s="149"/>
      <c r="D997" s="150"/>
      <c r="E997" s="151"/>
      <c r="F997" s="157">
        <f t="shared" si="242"/>
        <v>92.718999999999994</v>
      </c>
      <c r="G997" s="407">
        <f t="shared" si="242"/>
        <v>526958</v>
      </c>
      <c r="H997" s="154"/>
      <c r="I997" s="155"/>
      <c r="J997" s="147"/>
      <c r="K997" s="136"/>
      <c r="L997" s="156"/>
      <c r="M997" s="156"/>
      <c r="N997" s="147"/>
      <c r="O997" s="147"/>
      <c r="P997" s="147"/>
      <c r="Q997" s="147"/>
      <c r="R997" s="147"/>
    </row>
    <row r="998" spans="1:32" ht="12.75" customHeight="1" x14ac:dyDescent="0.2">
      <c r="A998" s="148" t="s">
        <v>271</v>
      </c>
      <c r="B998" s="149"/>
      <c r="C998" s="149"/>
      <c r="D998" s="150"/>
      <c r="E998" s="151"/>
      <c r="F998" s="157">
        <f t="shared" si="242"/>
        <v>3.6080000000000001</v>
      </c>
      <c r="G998" s="407">
        <f t="shared" si="242"/>
        <v>19546</v>
      </c>
      <c r="H998" s="162"/>
      <c r="I998" s="94"/>
      <c r="J998" s="159"/>
      <c r="K998" s="160"/>
      <c r="L998" s="160"/>
      <c r="M998" s="160"/>
      <c r="N998" s="161"/>
      <c r="O998" s="147"/>
      <c r="P998" s="147"/>
      <c r="Q998" s="147"/>
      <c r="R998" s="147"/>
    </row>
    <row r="999" spans="1:32" ht="12.75" customHeight="1" x14ac:dyDescent="0.2">
      <c r="A999" s="148" t="s">
        <v>272</v>
      </c>
      <c r="B999" s="149"/>
      <c r="C999" s="149"/>
      <c r="D999" s="150"/>
      <c r="E999" s="151"/>
      <c r="F999" s="157">
        <f t="shared" si="242"/>
        <v>95.965000000000018</v>
      </c>
      <c r="G999" s="407">
        <f t="shared" si="242"/>
        <v>402490</v>
      </c>
      <c r="H999" s="162"/>
      <c r="I999" s="162"/>
      <c r="J999" s="159"/>
      <c r="K999" s="160"/>
      <c r="L999" s="160"/>
      <c r="M999" s="160"/>
      <c r="N999" s="161"/>
      <c r="O999" s="147"/>
      <c r="P999" s="147"/>
      <c r="Q999" s="147"/>
      <c r="R999" s="147"/>
    </row>
    <row r="1000" spans="1:32" ht="12.75" customHeight="1" x14ac:dyDescent="0.2">
      <c r="A1000" s="148" t="s">
        <v>401</v>
      </c>
      <c r="B1000" s="149"/>
      <c r="C1000" s="149"/>
      <c r="D1000" s="150"/>
      <c r="E1000" s="151"/>
      <c r="F1000" s="157">
        <f t="shared" si="242"/>
        <v>5.226</v>
      </c>
      <c r="G1000" s="407">
        <f t="shared" si="242"/>
        <v>20097</v>
      </c>
      <c r="H1000" s="165"/>
      <c r="I1000" s="162"/>
      <c r="J1000" s="166"/>
      <c r="K1000" s="160"/>
      <c r="L1000" s="160"/>
      <c r="M1000" s="160"/>
      <c r="N1000" s="161"/>
      <c r="O1000" s="147"/>
      <c r="P1000" s="147"/>
      <c r="Q1000" s="147"/>
      <c r="R1000" s="147"/>
    </row>
    <row r="1001" spans="1:32" customFormat="1" ht="15" x14ac:dyDescent="0.25"/>
    <row r="1002" spans="1:32" customFormat="1" ht="15" x14ac:dyDescent="0.25"/>
    <row r="1003" spans="1:32" customFormat="1" ht="15" x14ac:dyDescent="0.25"/>
    <row r="1004" spans="1:32" customFormat="1" ht="15" x14ac:dyDescent="0.25"/>
    <row r="1005" spans="1:32" customFormat="1" ht="15" x14ac:dyDescent="0.25">
      <c r="B1005" s="403" t="s">
        <v>835</v>
      </c>
      <c r="C1005" s="403"/>
      <c r="D1005" s="774"/>
      <c r="E1005" s="774"/>
      <c r="F1005" s="774"/>
      <c r="G1005" s="162"/>
      <c r="H1005" s="162"/>
      <c r="I1005" s="159"/>
      <c r="J1005" s="159"/>
      <c r="K1005" s="396"/>
      <c r="L1005" s="396"/>
      <c r="M1005" s="396"/>
      <c r="N1005" s="63"/>
    </row>
    <row r="1006" spans="1:32" customFormat="1" ht="15" x14ac:dyDescent="0.25">
      <c r="B1006" s="403" t="s">
        <v>836</v>
      </c>
      <c r="C1006" s="403"/>
      <c r="D1006" s="399" t="s">
        <v>1270</v>
      </c>
      <c r="E1006" s="399"/>
      <c r="F1006" s="399"/>
      <c r="G1006" s="399"/>
      <c r="H1006" s="399"/>
      <c r="I1006" s="399"/>
      <c r="J1006" s="399"/>
      <c r="K1006" s="652"/>
      <c r="L1006" s="397"/>
      <c r="M1006" s="397"/>
      <c r="N1006" s="63"/>
    </row>
    <row r="1007" spans="1:32" customFormat="1" ht="15" x14ac:dyDescent="0.25">
      <c r="B1007" s="403"/>
      <c r="C1007" s="403"/>
      <c r="D1007" s="778" t="s">
        <v>837</v>
      </c>
      <c r="E1007" s="778"/>
      <c r="F1007" s="778"/>
      <c r="G1007" s="778"/>
      <c r="H1007" s="778"/>
      <c r="I1007" s="778"/>
      <c r="J1007" s="778"/>
      <c r="K1007" s="396"/>
      <c r="L1007" s="779" t="s">
        <v>838</v>
      </c>
      <c r="M1007" s="779"/>
      <c r="N1007" s="63"/>
    </row>
    <row r="1008" spans="1:32" customFormat="1" ht="15" x14ac:dyDescent="0.25">
      <c r="B1008" s="403" t="s">
        <v>835</v>
      </c>
      <c r="C1008" s="403"/>
      <c r="D1008" s="774"/>
      <c r="E1008" s="774"/>
      <c r="F1008" s="774"/>
      <c r="G1008" s="398"/>
      <c r="H1008" s="398"/>
      <c r="I1008" s="161"/>
      <c r="J1008" s="161"/>
      <c r="K1008" s="396"/>
      <c r="L1008" s="396"/>
      <c r="M1008" s="396"/>
      <c r="N1008" s="63"/>
    </row>
    <row r="1009" spans="2:14" customFormat="1" ht="15" x14ac:dyDescent="0.25">
      <c r="B1009" s="403" t="s">
        <v>839</v>
      </c>
      <c r="C1009" s="403"/>
      <c r="D1009" s="780" t="s">
        <v>1099</v>
      </c>
      <c r="E1009" s="780"/>
      <c r="F1009" s="780"/>
      <c r="G1009" s="780"/>
      <c r="H1009" s="780"/>
      <c r="I1009" s="780"/>
      <c r="J1009" s="780"/>
      <c r="K1009" s="396"/>
      <c r="L1009" s="397"/>
      <c r="M1009" s="397"/>
      <c r="N1009" s="63"/>
    </row>
    <row r="1010" spans="2:14" customFormat="1" ht="15" x14ac:dyDescent="0.25">
      <c r="B1010" s="403"/>
      <c r="C1010" s="403"/>
      <c r="D1010" s="778" t="s">
        <v>837</v>
      </c>
      <c r="E1010" s="778"/>
      <c r="F1010" s="778"/>
      <c r="G1010" s="778"/>
      <c r="H1010" s="778"/>
      <c r="I1010" s="778"/>
      <c r="J1010" s="778"/>
      <c r="K1010" s="396"/>
      <c r="L1010" s="779" t="s">
        <v>838</v>
      </c>
      <c r="M1010" s="779"/>
      <c r="N1010" s="63"/>
    </row>
    <row r="1011" spans="2:14" customFormat="1" ht="15" x14ac:dyDescent="0.25"/>
  </sheetData>
  <sheetProtection selectLockedCells="1" selectUnlockedCells="1"/>
  <autoFilter ref="H7:H500" xr:uid="{00000000-0009-0000-0000-000006000000}"/>
  <mergeCells count="495">
    <mergeCell ref="A982:A985"/>
    <mergeCell ref="B982:B985"/>
    <mergeCell ref="D982:P982"/>
    <mergeCell ref="Q982:R983"/>
    <mergeCell ref="D983:H983"/>
    <mergeCell ref="I983:O983"/>
    <mergeCell ref="P983:P985"/>
    <mergeCell ref="D984:E984"/>
    <mergeCell ref="F984:F985"/>
    <mergeCell ref="G984:G985"/>
    <mergeCell ref="H984:H985"/>
    <mergeCell ref="I984:I985"/>
    <mergeCell ref="J984:K984"/>
    <mergeCell ref="L984:L985"/>
    <mergeCell ref="M984:M985"/>
    <mergeCell ref="N984:N985"/>
    <mergeCell ref="O984:O985"/>
    <mergeCell ref="Q984:Q985"/>
    <mergeCell ref="R984:R985"/>
    <mergeCell ref="A934:A936"/>
    <mergeCell ref="B934:B936"/>
    <mergeCell ref="D947:P947"/>
    <mergeCell ref="A948:A951"/>
    <mergeCell ref="B948:B951"/>
    <mergeCell ref="D948:P948"/>
    <mergeCell ref="Q948:R949"/>
    <mergeCell ref="D949:H949"/>
    <mergeCell ref="I949:O949"/>
    <mergeCell ref="P949:P951"/>
    <mergeCell ref="D950:E950"/>
    <mergeCell ref="F950:F951"/>
    <mergeCell ref="G950:G951"/>
    <mergeCell ref="H950:H951"/>
    <mergeCell ref="I950:I951"/>
    <mergeCell ref="J950:K950"/>
    <mergeCell ref="L950:L951"/>
    <mergeCell ref="M950:M951"/>
    <mergeCell ref="N950:N951"/>
    <mergeCell ref="O950:O951"/>
    <mergeCell ref="Q950:Q951"/>
    <mergeCell ref="R950:R951"/>
    <mergeCell ref="A924:A927"/>
    <mergeCell ref="B924:B927"/>
    <mergeCell ref="D924:P924"/>
    <mergeCell ref="Q924:R925"/>
    <mergeCell ref="D925:H925"/>
    <mergeCell ref="I925:O925"/>
    <mergeCell ref="P925:P927"/>
    <mergeCell ref="D926:E926"/>
    <mergeCell ref="F926:F927"/>
    <mergeCell ref="G926:G927"/>
    <mergeCell ref="H926:H927"/>
    <mergeCell ref="I926:I927"/>
    <mergeCell ref="J926:K926"/>
    <mergeCell ref="L926:L927"/>
    <mergeCell ref="M926:M927"/>
    <mergeCell ref="N926:N927"/>
    <mergeCell ref="O926:O927"/>
    <mergeCell ref="Q926:Q927"/>
    <mergeCell ref="R926:R927"/>
    <mergeCell ref="A884:A885"/>
    <mergeCell ref="B884:B885"/>
    <mergeCell ref="A890:A891"/>
    <mergeCell ref="D902:P902"/>
    <mergeCell ref="A903:A906"/>
    <mergeCell ref="B903:B906"/>
    <mergeCell ref="D903:P903"/>
    <mergeCell ref="Q903:R904"/>
    <mergeCell ref="D904:H904"/>
    <mergeCell ref="I904:O904"/>
    <mergeCell ref="P904:P906"/>
    <mergeCell ref="D905:E905"/>
    <mergeCell ref="F905:F906"/>
    <mergeCell ref="G905:G906"/>
    <mergeCell ref="H905:H906"/>
    <mergeCell ref="I905:I906"/>
    <mergeCell ref="J905:K905"/>
    <mergeCell ref="L905:L906"/>
    <mergeCell ref="M905:M906"/>
    <mergeCell ref="N905:N906"/>
    <mergeCell ref="O905:O906"/>
    <mergeCell ref="Q905:Q906"/>
    <mergeCell ref="R905:R906"/>
    <mergeCell ref="A856:A858"/>
    <mergeCell ref="B856:B858"/>
    <mergeCell ref="D870:P870"/>
    <mergeCell ref="A871:A874"/>
    <mergeCell ref="B871:B874"/>
    <mergeCell ref="D871:P871"/>
    <mergeCell ref="Q871:R872"/>
    <mergeCell ref="D872:H872"/>
    <mergeCell ref="I872:O872"/>
    <mergeCell ref="P872:P874"/>
    <mergeCell ref="D873:E873"/>
    <mergeCell ref="F873:F874"/>
    <mergeCell ref="G873:G874"/>
    <mergeCell ref="H873:H874"/>
    <mergeCell ref="I873:I874"/>
    <mergeCell ref="J873:K873"/>
    <mergeCell ref="L873:L874"/>
    <mergeCell ref="M873:M874"/>
    <mergeCell ref="N873:N874"/>
    <mergeCell ref="O873:O874"/>
    <mergeCell ref="Q873:Q874"/>
    <mergeCell ref="R873:R874"/>
    <mergeCell ref="A828:A831"/>
    <mergeCell ref="B828:B831"/>
    <mergeCell ref="D828:P828"/>
    <mergeCell ref="Q828:R829"/>
    <mergeCell ref="D829:H829"/>
    <mergeCell ref="I829:O829"/>
    <mergeCell ref="P829:P831"/>
    <mergeCell ref="D830:E830"/>
    <mergeCell ref="F830:F831"/>
    <mergeCell ref="G830:G831"/>
    <mergeCell ref="H830:H831"/>
    <mergeCell ref="I830:I831"/>
    <mergeCell ref="J830:K830"/>
    <mergeCell ref="L830:L831"/>
    <mergeCell ref="M830:M831"/>
    <mergeCell ref="N830:N831"/>
    <mergeCell ref="O830:O831"/>
    <mergeCell ref="Q830:Q831"/>
    <mergeCell ref="R830:R831"/>
    <mergeCell ref="D1:P1"/>
    <mergeCell ref="D2:P2"/>
    <mergeCell ref="A3:A6"/>
    <mergeCell ref="B3:B6"/>
    <mergeCell ref="D3:P3"/>
    <mergeCell ref="Q3:R4"/>
    <mergeCell ref="D4:H4"/>
    <mergeCell ref="I4:O4"/>
    <mergeCell ref="P4:P6"/>
    <mergeCell ref="D5:E5"/>
    <mergeCell ref="F257:F258"/>
    <mergeCell ref="G257:G258"/>
    <mergeCell ref="M5:M6"/>
    <mergeCell ref="N5:N6"/>
    <mergeCell ref="O5:O6"/>
    <mergeCell ref="Q5:Q6"/>
    <mergeCell ref="R5:R6"/>
    <mergeCell ref="D254:P254"/>
    <mergeCell ref="F5:F6"/>
    <mergeCell ref="G5:G6"/>
    <mergeCell ref="H5:H6"/>
    <mergeCell ref="I5:I6"/>
    <mergeCell ref="J5:K5"/>
    <mergeCell ref="L5:L6"/>
    <mergeCell ref="O257:O258"/>
    <mergeCell ref="Q257:Q258"/>
    <mergeCell ref="R257:R258"/>
    <mergeCell ref="D303:P303"/>
    <mergeCell ref="A304:A307"/>
    <mergeCell ref="B304:B307"/>
    <mergeCell ref="D304:P304"/>
    <mergeCell ref="Q304:R305"/>
    <mergeCell ref="D305:H305"/>
    <mergeCell ref="I305:O305"/>
    <mergeCell ref="H257:H258"/>
    <mergeCell ref="I257:I258"/>
    <mergeCell ref="J257:K257"/>
    <mergeCell ref="L257:L258"/>
    <mergeCell ref="M257:M258"/>
    <mergeCell ref="N257:N258"/>
    <mergeCell ref="A255:A258"/>
    <mergeCell ref="B255:B258"/>
    <mergeCell ref="D255:P255"/>
    <mergeCell ref="Q255:R256"/>
    <mergeCell ref="D256:H256"/>
    <mergeCell ref="I256:O256"/>
    <mergeCell ref="P256:P258"/>
    <mergeCell ref="D257:E257"/>
    <mergeCell ref="O306:O307"/>
    <mergeCell ref="Q306:Q307"/>
    <mergeCell ref="R306:R307"/>
    <mergeCell ref="D342:P342"/>
    <mergeCell ref="A343:A346"/>
    <mergeCell ref="B343:B346"/>
    <mergeCell ref="D343:P343"/>
    <mergeCell ref="Q343:R344"/>
    <mergeCell ref="D344:H344"/>
    <mergeCell ref="I344:O344"/>
    <mergeCell ref="P305:P307"/>
    <mergeCell ref="D306:E306"/>
    <mergeCell ref="F306:F307"/>
    <mergeCell ref="G306:G307"/>
    <mergeCell ref="H306:H307"/>
    <mergeCell ref="I306:I307"/>
    <mergeCell ref="J306:K306"/>
    <mergeCell ref="L306:L307"/>
    <mergeCell ref="M306:M307"/>
    <mergeCell ref="N306:N307"/>
    <mergeCell ref="O345:O346"/>
    <mergeCell ref="Q345:Q346"/>
    <mergeCell ref="R345:R346"/>
    <mergeCell ref="D363:P363"/>
    <mergeCell ref="A364:A367"/>
    <mergeCell ref="B364:B367"/>
    <mergeCell ref="D364:P364"/>
    <mergeCell ref="Q364:R365"/>
    <mergeCell ref="D365:H365"/>
    <mergeCell ref="I365:O365"/>
    <mergeCell ref="P344:P346"/>
    <mergeCell ref="D345:E345"/>
    <mergeCell ref="F345:F346"/>
    <mergeCell ref="G345:G346"/>
    <mergeCell ref="H345:H346"/>
    <mergeCell ref="I345:I346"/>
    <mergeCell ref="J345:K345"/>
    <mergeCell ref="L345:L346"/>
    <mergeCell ref="M345:M346"/>
    <mergeCell ref="N345:N346"/>
    <mergeCell ref="O366:O367"/>
    <mergeCell ref="Q366:Q367"/>
    <mergeCell ref="R366:R367"/>
    <mergeCell ref="D379:P379"/>
    <mergeCell ref="A380:A383"/>
    <mergeCell ref="B380:B383"/>
    <mergeCell ref="D380:P380"/>
    <mergeCell ref="Q380:R381"/>
    <mergeCell ref="D381:H381"/>
    <mergeCell ref="I381:O381"/>
    <mergeCell ref="P365:P367"/>
    <mergeCell ref="D366:E366"/>
    <mergeCell ref="F366:F367"/>
    <mergeCell ref="G366:G367"/>
    <mergeCell ref="H366:H367"/>
    <mergeCell ref="I366:I367"/>
    <mergeCell ref="J366:K366"/>
    <mergeCell ref="L366:L367"/>
    <mergeCell ref="M366:M367"/>
    <mergeCell ref="N366:N367"/>
    <mergeCell ref="O382:O383"/>
    <mergeCell ref="Q382:Q383"/>
    <mergeCell ref="R382:R383"/>
    <mergeCell ref="D398:P398"/>
    <mergeCell ref="A399:A402"/>
    <mergeCell ref="B399:B402"/>
    <mergeCell ref="D399:P399"/>
    <mergeCell ref="Q399:R400"/>
    <mergeCell ref="D400:H400"/>
    <mergeCell ref="I400:O400"/>
    <mergeCell ref="P381:P383"/>
    <mergeCell ref="D382:E382"/>
    <mergeCell ref="F382:F383"/>
    <mergeCell ref="G382:G383"/>
    <mergeCell ref="H382:H383"/>
    <mergeCell ref="I382:I383"/>
    <mergeCell ref="J382:K382"/>
    <mergeCell ref="L382:L383"/>
    <mergeCell ref="M382:M383"/>
    <mergeCell ref="N382:N383"/>
    <mergeCell ref="O401:O402"/>
    <mergeCell ref="Q401:Q402"/>
    <mergeCell ref="R401:R402"/>
    <mergeCell ref="D412:P412"/>
    <mergeCell ref="A413:A416"/>
    <mergeCell ref="B413:B416"/>
    <mergeCell ref="D413:P413"/>
    <mergeCell ref="Q413:R414"/>
    <mergeCell ref="D414:H414"/>
    <mergeCell ref="I414:O414"/>
    <mergeCell ref="P400:P402"/>
    <mergeCell ref="D401:E401"/>
    <mergeCell ref="F401:F402"/>
    <mergeCell ref="G401:G402"/>
    <mergeCell ref="H401:H402"/>
    <mergeCell ref="I401:I402"/>
    <mergeCell ref="J401:K401"/>
    <mergeCell ref="L401:L402"/>
    <mergeCell ref="M401:M402"/>
    <mergeCell ref="N401:N402"/>
    <mergeCell ref="O415:O416"/>
    <mergeCell ref="Q415:Q416"/>
    <mergeCell ref="R415:R416"/>
    <mergeCell ref="D428:P428"/>
    <mergeCell ref="A429:A432"/>
    <mergeCell ref="B429:B432"/>
    <mergeCell ref="D429:P429"/>
    <mergeCell ref="Q429:R430"/>
    <mergeCell ref="D430:H430"/>
    <mergeCell ref="I430:O430"/>
    <mergeCell ref="P414:P416"/>
    <mergeCell ref="D415:E415"/>
    <mergeCell ref="F415:F416"/>
    <mergeCell ref="G415:G416"/>
    <mergeCell ref="H415:H416"/>
    <mergeCell ref="I415:I416"/>
    <mergeCell ref="J415:K415"/>
    <mergeCell ref="L415:L416"/>
    <mergeCell ref="M415:M416"/>
    <mergeCell ref="N415:N416"/>
    <mergeCell ref="O431:O432"/>
    <mergeCell ref="Q431:Q432"/>
    <mergeCell ref="R431:R432"/>
    <mergeCell ref="P430:P432"/>
    <mergeCell ref="D431:E431"/>
    <mergeCell ref="F431:F432"/>
    <mergeCell ref="G431:G432"/>
    <mergeCell ref="H431:H432"/>
    <mergeCell ref="I431:I432"/>
    <mergeCell ref="J431:K431"/>
    <mergeCell ref="L431:L432"/>
    <mergeCell ref="M431:M432"/>
    <mergeCell ref="N431:N432"/>
    <mergeCell ref="D502:P502"/>
    <mergeCell ref="R505:R506"/>
    <mergeCell ref="D460:P460"/>
    <mergeCell ref="G463:G464"/>
    <mergeCell ref="H463:H464"/>
    <mergeCell ref="I463:I464"/>
    <mergeCell ref="J463:K463"/>
    <mergeCell ref="L463:L464"/>
    <mergeCell ref="M463:M464"/>
    <mergeCell ref="N463:N464"/>
    <mergeCell ref="A461:A464"/>
    <mergeCell ref="B461:B464"/>
    <mergeCell ref="D461:P461"/>
    <mergeCell ref="Q461:R462"/>
    <mergeCell ref="D462:H462"/>
    <mergeCell ref="I462:O462"/>
    <mergeCell ref="R463:R464"/>
    <mergeCell ref="A503:A506"/>
    <mergeCell ref="B503:B506"/>
    <mergeCell ref="D503:P503"/>
    <mergeCell ref="D504:H504"/>
    <mergeCell ref="I504:O504"/>
    <mergeCell ref="P504:P506"/>
    <mergeCell ref="O463:O464"/>
    <mergeCell ref="Q463:Q464"/>
    <mergeCell ref="N505:N506"/>
    <mergeCell ref="O505:O506"/>
    <mergeCell ref="Q505:Q506"/>
    <mergeCell ref="Q503:R504"/>
    <mergeCell ref="L505:L506"/>
    <mergeCell ref="M505:M506"/>
    <mergeCell ref="P462:P464"/>
    <mergeCell ref="D463:E463"/>
    <mergeCell ref="F463:F464"/>
    <mergeCell ref="D571:P571"/>
    <mergeCell ref="A572:A575"/>
    <mergeCell ref="B572:B575"/>
    <mergeCell ref="D572:P572"/>
    <mergeCell ref="Q572:R573"/>
    <mergeCell ref="D573:H573"/>
    <mergeCell ref="D505:E505"/>
    <mergeCell ref="F505:F506"/>
    <mergeCell ref="G505:G506"/>
    <mergeCell ref="H505:H506"/>
    <mergeCell ref="I505:I506"/>
    <mergeCell ref="J505:K505"/>
    <mergeCell ref="I573:O573"/>
    <mergeCell ref="P573:P575"/>
    <mergeCell ref="D574:E574"/>
    <mergeCell ref="F574:F575"/>
    <mergeCell ref="G574:G575"/>
    <mergeCell ref="H574:H575"/>
    <mergeCell ref="I574:I575"/>
    <mergeCell ref="J574:K574"/>
    <mergeCell ref="L574:L575"/>
    <mergeCell ref="M574:M575"/>
    <mergeCell ref="N574:N575"/>
    <mergeCell ref="O574:O575"/>
    <mergeCell ref="Q574:Q575"/>
    <mergeCell ref="R574:R575"/>
    <mergeCell ref="D585:P585"/>
    <mergeCell ref="A586:A589"/>
    <mergeCell ref="B586:B589"/>
    <mergeCell ref="D586:P586"/>
    <mergeCell ref="Q586:R587"/>
    <mergeCell ref="D587:H587"/>
    <mergeCell ref="I587:O587"/>
    <mergeCell ref="P587:P589"/>
    <mergeCell ref="D588:E588"/>
    <mergeCell ref="F588:F589"/>
    <mergeCell ref="G588:G589"/>
    <mergeCell ref="H588:H589"/>
    <mergeCell ref="I588:I589"/>
    <mergeCell ref="J588:K588"/>
    <mergeCell ref="L588:L589"/>
    <mergeCell ref="M588:M589"/>
    <mergeCell ref="N588:N589"/>
    <mergeCell ref="O588:O589"/>
    <mergeCell ref="Q588:Q589"/>
    <mergeCell ref="R588:R589"/>
    <mergeCell ref="D609:P609"/>
    <mergeCell ref="A610:A613"/>
    <mergeCell ref="B610:B613"/>
    <mergeCell ref="D610:P610"/>
    <mergeCell ref="Q610:R611"/>
    <mergeCell ref="D611:H611"/>
    <mergeCell ref="N612:N613"/>
    <mergeCell ref="O612:O613"/>
    <mergeCell ref="Q612:Q613"/>
    <mergeCell ref="R612:R613"/>
    <mergeCell ref="I611:O611"/>
    <mergeCell ref="P611:P613"/>
    <mergeCell ref="D612:E612"/>
    <mergeCell ref="F612:F613"/>
    <mergeCell ref="G612:G613"/>
    <mergeCell ref="H612:H613"/>
    <mergeCell ref="I612:I613"/>
    <mergeCell ref="J612:K612"/>
    <mergeCell ref="L612:L613"/>
    <mergeCell ref="M612:M613"/>
    <mergeCell ref="D683:P683"/>
    <mergeCell ref="A684:A687"/>
    <mergeCell ref="B684:B687"/>
    <mergeCell ref="D684:P684"/>
    <mergeCell ref="Q684:R685"/>
    <mergeCell ref="D685:H685"/>
    <mergeCell ref="I685:O685"/>
    <mergeCell ref="P685:P687"/>
    <mergeCell ref="D686:E686"/>
    <mergeCell ref="F686:F687"/>
    <mergeCell ref="D702:P702"/>
    <mergeCell ref="A703:A706"/>
    <mergeCell ref="B703:B706"/>
    <mergeCell ref="D703:P703"/>
    <mergeCell ref="Q703:R704"/>
    <mergeCell ref="D704:H704"/>
    <mergeCell ref="N686:N687"/>
    <mergeCell ref="O686:O687"/>
    <mergeCell ref="Q686:Q687"/>
    <mergeCell ref="R686:R687"/>
    <mergeCell ref="G686:G687"/>
    <mergeCell ref="H686:H687"/>
    <mergeCell ref="I686:I687"/>
    <mergeCell ref="J686:K686"/>
    <mergeCell ref="L686:L687"/>
    <mergeCell ref="M686:M687"/>
    <mergeCell ref="N705:N706"/>
    <mergeCell ref="O705:O706"/>
    <mergeCell ref="Q705:Q706"/>
    <mergeCell ref="R705:R706"/>
    <mergeCell ref="I704:O704"/>
    <mergeCell ref="P704:P706"/>
    <mergeCell ref="D705:E705"/>
    <mergeCell ref="F705:F706"/>
    <mergeCell ref="G705:G706"/>
    <mergeCell ref="H705:H706"/>
    <mergeCell ref="I705:I706"/>
    <mergeCell ref="J705:K705"/>
    <mergeCell ref="L705:L706"/>
    <mergeCell ref="M705:M706"/>
    <mergeCell ref="D766:P766"/>
    <mergeCell ref="A767:A770"/>
    <mergeCell ref="B767:B770"/>
    <mergeCell ref="D767:P767"/>
    <mergeCell ref="Q767:R768"/>
    <mergeCell ref="D768:H768"/>
    <mergeCell ref="I768:O768"/>
    <mergeCell ref="P768:P770"/>
    <mergeCell ref="D769:E769"/>
    <mergeCell ref="F769:F770"/>
    <mergeCell ref="D792:P792"/>
    <mergeCell ref="A793:A796"/>
    <mergeCell ref="B793:B796"/>
    <mergeCell ref="D793:P793"/>
    <mergeCell ref="Q793:R794"/>
    <mergeCell ref="D794:H794"/>
    <mergeCell ref="N769:N770"/>
    <mergeCell ref="O769:O770"/>
    <mergeCell ref="Q769:Q770"/>
    <mergeCell ref="R769:R770"/>
    <mergeCell ref="G769:G770"/>
    <mergeCell ref="H769:H770"/>
    <mergeCell ref="I769:I770"/>
    <mergeCell ref="J769:K769"/>
    <mergeCell ref="L769:L770"/>
    <mergeCell ref="M769:M770"/>
    <mergeCell ref="N795:N796"/>
    <mergeCell ref="O795:O796"/>
    <mergeCell ref="I794:O794"/>
    <mergeCell ref="P794:P796"/>
    <mergeCell ref="D795:E795"/>
    <mergeCell ref="F795:F796"/>
    <mergeCell ref="G795:G796"/>
    <mergeCell ref="H795:H796"/>
    <mergeCell ref="I795:I796"/>
    <mergeCell ref="J795:K795"/>
    <mergeCell ref="L795:L796"/>
    <mergeCell ref="M795:M796"/>
    <mergeCell ref="D1005:F1005"/>
    <mergeCell ref="D1007:J1007"/>
    <mergeCell ref="L1007:M1007"/>
    <mergeCell ref="D1008:F1008"/>
    <mergeCell ref="D1009:J1009"/>
    <mergeCell ref="D1010:J1010"/>
    <mergeCell ref="L1010:M1010"/>
    <mergeCell ref="Q795:Q796"/>
    <mergeCell ref="R795:R796"/>
    <mergeCell ref="D827:P827"/>
    <mergeCell ref="D923:P923"/>
    <mergeCell ref="D981:P981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landscape" useFirstPageNumber="1" horizontalDpi="300" verticalDpi="300" r:id="rId1"/>
  <headerFooter scaleWithDoc="0">
    <oddFooter>&amp;RLapa &amp;P no &amp;N</oddFooter>
  </headerFooter>
  <rowBreaks count="6" manualBreakCount="6">
    <brk id="35" max="16383" man="1"/>
    <brk id="75" max="16383" man="1"/>
    <brk id="118" max="16383" man="1"/>
    <brk id="159" max="16383" man="1"/>
    <brk id="200" max="16383" man="1"/>
    <brk id="239" max="16383" man="1"/>
  </rowBreaks>
  <ignoredErrors>
    <ignoredError sqref="G71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N45"/>
  <sheetViews>
    <sheetView showGridLines="0" view="pageBreakPreview" topLeftCell="A24" zoomScale="115" zoomScaleNormal="115" zoomScaleSheetLayoutView="115" workbookViewId="0">
      <selection activeCell="D141" sqref="D141"/>
    </sheetView>
  </sheetViews>
  <sheetFormatPr defaultColWidth="9.140625" defaultRowHeight="11.25" x14ac:dyDescent="0.2"/>
  <cols>
    <col min="1" max="1" width="9.140625" style="1"/>
    <col min="2" max="2" width="4.7109375" style="514" customWidth="1"/>
    <col min="3" max="3" width="22.7109375" style="1" customWidth="1"/>
    <col min="4" max="4" width="7.5703125" style="1" customWidth="1"/>
    <col min="5" max="5" width="8.5703125" style="1" customWidth="1"/>
    <col min="6" max="6" width="9.7109375" style="2" customWidth="1"/>
    <col min="7" max="7" width="7.5703125" style="1" customWidth="1"/>
    <col min="8" max="8" width="9" style="1" customWidth="1"/>
    <col min="9" max="9" width="14.5703125" style="1" customWidth="1"/>
    <col min="10" max="16384" width="9.140625" style="1"/>
  </cols>
  <sheetData>
    <row r="1" spans="2:9" x14ac:dyDescent="0.2">
      <c r="G1" s="13"/>
      <c r="H1" s="10"/>
      <c r="I1" s="7"/>
    </row>
    <row r="2" spans="2:9" x14ac:dyDescent="0.2">
      <c r="G2" s="516"/>
      <c r="H2" s="10"/>
      <c r="I2" s="7"/>
    </row>
    <row r="3" spans="2:9" x14ac:dyDescent="0.2">
      <c r="G3" s="516"/>
      <c r="H3" s="10"/>
      <c r="I3" s="7"/>
    </row>
    <row r="4" spans="2:9" ht="15" x14ac:dyDescent="0.25">
      <c r="B4" s="517" t="s">
        <v>874</v>
      </c>
      <c r="C4" s="517"/>
      <c r="D4" s="517"/>
      <c r="E4" s="517"/>
      <c r="F4" s="517"/>
      <c r="G4" s="517"/>
      <c r="H4" s="517"/>
      <c r="I4" s="517"/>
    </row>
    <row r="5" spans="2:9" ht="12" thickBot="1" x14ac:dyDescent="0.25"/>
    <row r="6" spans="2:9" ht="12.75" customHeight="1" thickBot="1" x14ac:dyDescent="0.25">
      <c r="B6" s="841" t="s">
        <v>875</v>
      </c>
      <c r="C6" s="842"/>
      <c r="D6" s="842"/>
      <c r="E6" s="842"/>
      <c r="F6" s="842"/>
      <c r="G6" s="842"/>
      <c r="H6" s="842"/>
      <c r="I6" s="843"/>
    </row>
    <row r="7" spans="2:9" ht="21.75" customHeight="1" thickBot="1" x14ac:dyDescent="0.25">
      <c r="B7" s="518" t="s">
        <v>876</v>
      </c>
      <c r="C7" s="519" t="s">
        <v>877</v>
      </c>
      <c r="D7" s="520" t="s">
        <v>878</v>
      </c>
      <c r="E7" s="521" t="s">
        <v>879</v>
      </c>
      <c r="F7" s="522" t="s">
        <v>880</v>
      </c>
      <c r="G7" s="522" t="s">
        <v>881</v>
      </c>
      <c r="H7" s="522" t="s">
        <v>882</v>
      </c>
      <c r="I7" s="523" t="s">
        <v>883</v>
      </c>
    </row>
    <row r="8" spans="2:9" x14ac:dyDescent="0.2">
      <c r="B8" s="524"/>
      <c r="C8" s="525" t="s">
        <v>884</v>
      </c>
      <c r="D8" s="526"/>
      <c r="E8" s="526"/>
      <c r="F8" s="526"/>
      <c r="G8" s="526"/>
      <c r="H8" s="526"/>
      <c r="I8" s="638"/>
    </row>
    <row r="9" spans="2:9" x14ac:dyDescent="0.2">
      <c r="B9" s="527"/>
      <c r="C9" s="528" t="s">
        <v>885</v>
      </c>
      <c r="D9" s="19"/>
      <c r="E9" s="3"/>
      <c r="F9" s="529"/>
      <c r="G9" s="6"/>
      <c r="H9" s="530"/>
      <c r="I9" s="639" t="s">
        <v>859</v>
      </c>
    </row>
    <row r="10" spans="2:9" x14ac:dyDescent="0.2">
      <c r="B10" s="527"/>
      <c r="C10" s="528" t="s">
        <v>886</v>
      </c>
      <c r="D10" s="19"/>
      <c r="E10" s="3"/>
      <c r="F10" s="529"/>
      <c r="G10" s="6"/>
      <c r="H10" s="530"/>
      <c r="I10" s="639" t="s">
        <v>859</v>
      </c>
    </row>
    <row r="11" spans="2:9" x14ac:dyDescent="0.2">
      <c r="B11" s="527"/>
      <c r="C11" s="528" t="s">
        <v>887</v>
      </c>
      <c r="D11" s="19"/>
      <c r="E11" s="3"/>
      <c r="F11" s="529"/>
      <c r="G11" s="6"/>
      <c r="H11" s="530"/>
      <c r="I11" s="639" t="s">
        <v>859</v>
      </c>
    </row>
    <row r="12" spans="2:9" x14ac:dyDescent="0.2">
      <c r="B12" s="527"/>
      <c r="C12" s="528" t="s">
        <v>888</v>
      </c>
      <c r="D12" s="19"/>
      <c r="E12" s="3"/>
      <c r="F12" s="529"/>
      <c r="G12" s="6"/>
      <c r="H12" s="530"/>
      <c r="I12" s="639" t="s">
        <v>859</v>
      </c>
    </row>
    <row r="13" spans="2:9" ht="12" thickBot="1" x14ac:dyDescent="0.25">
      <c r="B13" s="531"/>
      <c r="C13" s="532" t="s">
        <v>889</v>
      </c>
      <c r="D13" s="533"/>
      <c r="E13" s="534"/>
      <c r="F13" s="535"/>
      <c r="G13" s="536"/>
      <c r="H13" s="537"/>
      <c r="I13" s="640" t="s">
        <v>859</v>
      </c>
    </row>
    <row r="14" spans="2:9" x14ac:dyDescent="0.2">
      <c r="B14" s="538"/>
      <c r="C14" s="539"/>
      <c r="D14" s="540"/>
      <c r="E14" s="541"/>
      <c r="F14" s="540"/>
      <c r="G14" s="542"/>
      <c r="H14" s="541"/>
      <c r="I14" s="641"/>
    </row>
    <row r="15" spans="2:9" x14ac:dyDescent="0.2">
      <c r="B15" s="538"/>
      <c r="C15" s="539" t="s">
        <v>890</v>
      </c>
      <c r="D15" s="540" t="s">
        <v>846</v>
      </c>
      <c r="E15" s="541" t="s">
        <v>4</v>
      </c>
      <c r="F15" s="540">
        <v>0.78500000000000003</v>
      </c>
      <c r="G15" s="542">
        <v>4</v>
      </c>
      <c r="H15" s="541">
        <f t="shared" ref="H15:H25" si="0">ROUND(G15*F15*1000,0)</f>
        <v>3140</v>
      </c>
      <c r="I15" s="641" t="s">
        <v>859</v>
      </c>
    </row>
    <row r="16" spans="2:9" x14ac:dyDescent="0.2">
      <c r="B16" s="543"/>
      <c r="C16" s="544" t="s">
        <v>232</v>
      </c>
      <c r="D16" s="545"/>
      <c r="E16" s="546"/>
      <c r="F16" s="545"/>
      <c r="G16" s="547"/>
      <c r="H16" s="546"/>
      <c r="I16" s="642" t="s">
        <v>859</v>
      </c>
    </row>
    <row r="17" spans="2:14" x14ac:dyDescent="0.2">
      <c r="B17" s="538"/>
      <c r="C17" s="539" t="s">
        <v>891</v>
      </c>
      <c r="D17" s="540" t="s">
        <v>846</v>
      </c>
      <c r="E17" s="541" t="s">
        <v>4</v>
      </c>
      <c r="F17" s="540">
        <v>0.45500000000000002</v>
      </c>
      <c r="G17" s="542">
        <v>4</v>
      </c>
      <c r="H17" s="541">
        <f t="shared" si="0"/>
        <v>1820</v>
      </c>
      <c r="I17" s="641" t="s">
        <v>859</v>
      </c>
    </row>
    <row r="18" spans="2:14" x14ac:dyDescent="0.2">
      <c r="B18" s="538"/>
      <c r="C18" s="539" t="s">
        <v>892</v>
      </c>
      <c r="D18" s="540"/>
      <c r="E18" s="541"/>
      <c r="F18" s="540"/>
      <c r="G18" s="542"/>
      <c r="H18" s="541"/>
      <c r="I18" s="641" t="s">
        <v>859</v>
      </c>
    </row>
    <row r="19" spans="2:14" x14ac:dyDescent="0.2">
      <c r="B19" s="538"/>
      <c r="C19" s="539" t="s">
        <v>893</v>
      </c>
      <c r="D19" s="540"/>
      <c r="E19" s="541"/>
      <c r="F19" s="540"/>
      <c r="G19" s="542"/>
      <c r="H19" s="541"/>
      <c r="I19" s="641" t="s">
        <v>859</v>
      </c>
    </row>
    <row r="20" spans="2:14" x14ac:dyDescent="0.2">
      <c r="B20" s="548"/>
      <c r="C20" s="549" t="s">
        <v>894</v>
      </c>
      <c r="D20" s="550"/>
      <c r="E20" s="551"/>
      <c r="F20" s="550"/>
      <c r="G20" s="552"/>
      <c r="H20" s="551"/>
      <c r="I20" s="641" t="s">
        <v>859</v>
      </c>
    </row>
    <row r="21" spans="2:14" x14ac:dyDescent="0.2">
      <c r="B21" s="553"/>
      <c r="C21" s="554"/>
      <c r="D21" s="555"/>
      <c r="E21" s="556"/>
      <c r="F21" s="555"/>
      <c r="G21" s="557"/>
      <c r="H21" s="558"/>
      <c r="I21" s="641" t="s">
        <v>859</v>
      </c>
    </row>
    <row r="22" spans="2:14" x14ac:dyDescent="0.2">
      <c r="B22" s="553"/>
      <c r="C22" s="559"/>
      <c r="D22" s="555"/>
      <c r="E22" s="560"/>
      <c r="F22" s="561"/>
      <c r="G22" s="562"/>
      <c r="H22" s="560"/>
      <c r="I22" s="643" t="s">
        <v>859</v>
      </c>
    </row>
    <row r="23" spans="2:14" x14ac:dyDescent="0.2">
      <c r="B23" s="563"/>
      <c r="C23" s="564" t="s">
        <v>233</v>
      </c>
      <c r="D23" s="561"/>
      <c r="E23" s="560"/>
      <c r="F23" s="561"/>
      <c r="G23" s="562"/>
      <c r="H23" s="560"/>
      <c r="I23" s="643" t="s">
        <v>859</v>
      </c>
    </row>
    <row r="24" spans="2:14" x14ac:dyDescent="0.2">
      <c r="B24" s="538">
        <v>4229</v>
      </c>
      <c r="C24" s="539" t="s">
        <v>895</v>
      </c>
      <c r="D24" s="540" t="s">
        <v>846</v>
      </c>
      <c r="E24" s="541" t="s">
        <v>5</v>
      </c>
      <c r="F24" s="540">
        <v>0.45</v>
      </c>
      <c r="G24" s="542">
        <v>4</v>
      </c>
      <c r="H24" s="541">
        <f t="shared" si="0"/>
        <v>1800</v>
      </c>
      <c r="I24" s="643" t="s">
        <v>859</v>
      </c>
    </row>
    <row r="25" spans="2:14" x14ac:dyDescent="0.2">
      <c r="B25" s="538"/>
      <c r="C25" s="539" t="s">
        <v>896</v>
      </c>
      <c r="D25" s="540" t="s">
        <v>846</v>
      </c>
      <c r="E25" s="541" t="s">
        <v>5</v>
      </c>
      <c r="F25" s="540">
        <v>0.28000000000000003</v>
      </c>
      <c r="G25" s="542">
        <v>3</v>
      </c>
      <c r="H25" s="541">
        <f t="shared" si="0"/>
        <v>840</v>
      </c>
      <c r="I25" s="643" t="s">
        <v>859</v>
      </c>
    </row>
    <row r="26" spans="2:14" ht="84" customHeight="1" thickBot="1" x14ac:dyDescent="0.25">
      <c r="B26" s="644"/>
      <c r="C26" s="645" t="s">
        <v>897</v>
      </c>
      <c r="D26" s="646" t="s">
        <v>846</v>
      </c>
      <c r="E26" s="647" t="s">
        <v>5</v>
      </c>
      <c r="F26" s="646">
        <v>0.22500000000000001</v>
      </c>
      <c r="G26" s="648">
        <v>12</v>
      </c>
      <c r="H26" s="649">
        <f>ROUND(G26*F26*1000,0)</f>
        <v>2700</v>
      </c>
      <c r="I26" s="650" t="s">
        <v>898</v>
      </c>
    </row>
    <row r="27" spans="2:14" x14ac:dyDescent="0.2">
      <c r="B27" s="565"/>
      <c r="C27" s="7"/>
      <c r="D27" s="7"/>
      <c r="E27" s="7"/>
      <c r="F27" s="566"/>
      <c r="G27" s="7"/>
      <c r="H27" s="7"/>
      <c r="I27" s="7"/>
    </row>
    <row r="28" spans="2:14" x14ac:dyDescent="0.2">
      <c r="B28" s="844" t="s">
        <v>899</v>
      </c>
      <c r="C28" s="844"/>
      <c r="D28" s="844"/>
      <c r="E28" s="844"/>
      <c r="F28" s="844"/>
      <c r="G28" s="844"/>
      <c r="H28" s="844"/>
      <c r="I28" s="844"/>
    </row>
    <row r="30" spans="2:14" customFormat="1" ht="15" x14ac:dyDescent="0.25">
      <c r="B30" s="403" t="s">
        <v>835</v>
      </c>
      <c r="C30" s="651"/>
      <c r="D30" s="674"/>
      <c r="E30" s="674"/>
      <c r="F30" s="162"/>
      <c r="G30" s="162"/>
      <c r="H30" s="159"/>
      <c r="I30" s="159"/>
      <c r="J30" s="396"/>
      <c r="K30" s="396"/>
      <c r="L30" s="396"/>
      <c r="M30" s="1"/>
      <c r="N30" s="63"/>
    </row>
    <row r="31" spans="2:14" customFormat="1" ht="22.5" customHeight="1" x14ac:dyDescent="0.25">
      <c r="B31" s="655" t="s">
        <v>836</v>
      </c>
      <c r="C31" s="399" t="s">
        <v>1270</v>
      </c>
      <c r="D31" s="399"/>
      <c r="E31" s="399"/>
      <c r="F31" s="399"/>
      <c r="G31" s="399"/>
      <c r="H31" s="652"/>
      <c r="I31" s="397"/>
      <c r="J31" s="397"/>
      <c r="K31" s="1"/>
      <c r="L31" s="1"/>
      <c r="M31" s="1"/>
      <c r="N31" s="63"/>
    </row>
    <row r="32" spans="2:14" customFormat="1" ht="15" x14ac:dyDescent="0.25">
      <c r="B32" s="403"/>
      <c r="C32" s="778" t="s">
        <v>837</v>
      </c>
      <c r="D32" s="778"/>
      <c r="E32" s="778"/>
      <c r="F32" s="778"/>
      <c r="G32" s="778"/>
      <c r="H32" s="654"/>
      <c r="I32" s="779" t="s">
        <v>838</v>
      </c>
      <c r="J32" s="779"/>
      <c r="K32" s="1"/>
      <c r="L32" s="1"/>
      <c r="M32" s="1"/>
      <c r="N32" s="63"/>
    </row>
    <row r="33" spans="2:14" customFormat="1" ht="13.5" customHeight="1" x14ac:dyDescent="0.25">
      <c r="B33" s="403" t="s">
        <v>835</v>
      </c>
      <c r="C33" s="651"/>
      <c r="D33" s="674"/>
      <c r="E33" s="674"/>
      <c r="F33" s="398"/>
      <c r="G33" s="398"/>
      <c r="H33" s="136"/>
      <c r="I33" s="396"/>
      <c r="J33" s="396"/>
      <c r="K33" s="1"/>
      <c r="L33" s="1"/>
      <c r="M33" s="1"/>
      <c r="N33" s="63"/>
    </row>
    <row r="34" spans="2:14" customFormat="1" ht="24" customHeight="1" x14ac:dyDescent="0.25">
      <c r="B34" s="655" t="s">
        <v>839</v>
      </c>
      <c r="C34" s="399" t="s">
        <v>1099</v>
      </c>
      <c r="D34" s="399"/>
      <c r="E34" s="399"/>
      <c r="F34" s="399"/>
      <c r="G34" s="399"/>
      <c r="H34" s="652"/>
      <c r="I34" s="397"/>
      <c r="J34" s="397"/>
      <c r="K34" s="1"/>
      <c r="L34" s="1"/>
      <c r="M34" s="1"/>
      <c r="N34" s="63"/>
    </row>
    <row r="35" spans="2:14" customFormat="1" ht="15" x14ac:dyDescent="0.25">
      <c r="B35" s="403"/>
      <c r="C35" s="778" t="s">
        <v>837</v>
      </c>
      <c r="D35" s="778"/>
      <c r="E35" s="778"/>
      <c r="F35" s="778"/>
      <c r="G35" s="778"/>
      <c r="H35" s="654"/>
      <c r="I35" s="779" t="s">
        <v>838</v>
      </c>
      <c r="J35" s="779"/>
      <c r="K35" s="1"/>
      <c r="L35" s="1"/>
      <c r="M35" s="1"/>
      <c r="N35" s="63"/>
    </row>
    <row r="36" spans="2:14" ht="12.75" x14ac:dyDescent="0.2">
      <c r="B36" s="567"/>
      <c r="C36" s="567"/>
      <c r="D36" s="567"/>
      <c r="E36" s="568"/>
    </row>
    <row r="45" spans="2:14" x14ac:dyDescent="0.2">
      <c r="E45" s="653"/>
    </row>
  </sheetData>
  <mergeCells count="6">
    <mergeCell ref="I35:J35"/>
    <mergeCell ref="I32:J32"/>
    <mergeCell ref="C32:G32"/>
    <mergeCell ref="C35:G35"/>
    <mergeCell ref="B6:I6"/>
    <mergeCell ref="B28:I28"/>
  </mergeCells>
  <pageMargins left="0.23622047244094491" right="0.23622047244094491" top="0.31496062992125984" bottom="0.31496062992125984" header="0.31496062992125984" footer="0.31496062992125984"/>
  <pageSetup paperSize="9" fitToHeight="0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O113"/>
  <sheetViews>
    <sheetView topLeftCell="A107" zoomScaleNormal="100" zoomScaleSheetLayoutView="100" workbookViewId="0">
      <selection activeCell="D141" sqref="D141"/>
    </sheetView>
  </sheetViews>
  <sheetFormatPr defaultRowHeight="15" x14ac:dyDescent="0.25"/>
  <cols>
    <col min="2" max="2" width="5.85546875" customWidth="1"/>
    <col min="3" max="3" width="35.85546875" style="569" customWidth="1"/>
    <col min="4" max="4" width="18" customWidth="1"/>
    <col min="5" max="5" width="54.7109375" customWidth="1"/>
    <col min="6" max="6" width="16.7109375" customWidth="1"/>
    <col min="7" max="7" width="13.85546875" customWidth="1"/>
  </cols>
  <sheetData>
    <row r="1" spans="2:6" x14ac:dyDescent="0.25">
      <c r="E1" s="1" t="s">
        <v>872</v>
      </c>
      <c r="F1" s="1"/>
    </row>
    <row r="2" spans="2:6" x14ac:dyDescent="0.25">
      <c r="E2" s="1" t="s">
        <v>873</v>
      </c>
      <c r="F2" s="1"/>
    </row>
    <row r="3" spans="2:6" x14ac:dyDescent="0.25">
      <c r="E3" s="1"/>
      <c r="F3" s="1"/>
    </row>
    <row r="4" spans="2:6" x14ac:dyDescent="0.25">
      <c r="E4" s="515"/>
      <c r="F4" s="10"/>
    </row>
    <row r="5" spans="2:6" x14ac:dyDescent="0.25">
      <c r="E5" s="10"/>
      <c r="F5" s="10"/>
    </row>
    <row r="6" spans="2:6" x14ac:dyDescent="0.25">
      <c r="E6" s="570"/>
      <c r="F6" s="10"/>
    </row>
    <row r="7" spans="2:6" x14ac:dyDescent="0.25">
      <c r="E7" s="516"/>
      <c r="F7" s="10"/>
    </row>
    <row r="8" spans="2:6" ht="26.25" x14ac:dyDescent="0.25">
      <c r="B8" s="571" t="s">
        <v>900</v>
      </c>
      <c r="C8" s="572" t="s">
        <v>901</v>
      </c>
      <c r="D8" s="573" t="s">
        <v>902</v>
      </c>
      <c r="E8" s="571" t="s">
        <v>903</v>
      </c>
      <c r="F8" s="574" t="s">
        <v>904</v>
      </c>
    </row>
    <row r="9" spans="2:6" x14ac:dyDescent="0.25">
      <c r="B9" s="575"/>
      <c r="C9" s="576" t="s">
        <v>905</v>
      </c>
      <c r="D9" s="575"/>
      <c r="E9" s="575"/>
      <c r="F9" s="577"/>
    </row>
    <row r="10" spans="2:6" x14ac:dyDescent="0.25">
      <c r="B10" s="578">
        <v>1</v>
      </c>
      <c r="C10" s="579" t="s">
        <v>906</v>
      </c>
      <c r="D10" s="578" t="s">
        <v>907</v>
      </c>
      <c r="E10" s="578" t="s">
        <v>908</v>
      </c>
      <c r="F10" s="577">
        <v>1700</v>
      </c>
    </row>
    <row r="11" spans="2:6" x14ac:dyDescent="0.25">
      <c r="B11" s="578">
        <v>2</v>
      </c>
      <c r="C11" s="579" t="s">
        <v>909</v>
      </c>
      <c r="D11" s="578" t="s">
        <v>907</v>
      </c>
      <c r="E11" s="578" t="s">
        <v>910</v>
      </c>
      <c r="F11" s="577">
        <v>2538.75</v>
      </c>
    </row>
    <row r="12" spans="2:6" x14ac:dyDescent="0.25">
      <c r="B12" s="578">
        <v>3</v>
      </c>
      <c r="C12" s="579" t="s">
        <v>911</v>
      </c>
      <c r="D12" s="578" t="s">
        <v>907</v>
      </c>
      <c r="E12" s="578" t="s">
        <v>912</v>
      </c>
      <c r="F12" s="577">
        <v>6030</v>
      </c>
    </row>
    <row r="13" spans="2:6" x14ac:dyDescent="0.25">
      <c r="B13" s="578">
        <v>4</v>
      </c>
      <c r="C13" s="579" t="s">
        <v>913</v>
      </c>
      <c r="D13" s="578" t="s">
        <v>907</v>
      </c>
      <c r="E13" s="578" t="s">
        <v>914</v>
      </c>
      <c r="F13" s="577">
        <v>3700</v>
      </c>
    </row>
    <row r="14" spans="2:6" ht="30" x14ac:dyDescent="0.25">
      <c r="B14" s="578">
        <v>5</v>
      </c>
      <c r="C14" s="579" t="s">
        <v>915</v>
      </c>
      <c r="D14" s="578" t="s">
        <v>907</v>
      </c>
      <c r="E14" s="578" t="s">
        <v>916</v>
      </c>
      <c r="F14" s="577">
        <v>810</v>
      </c>
    </row>
    <row r="15" spans="2:6" x14ac:dyDescent="0.25">
      <c r="B15" s="578">
        <v>6</v>
      </c>
      <c r="C15" s="579"/>
      <c r="D15" s="578"/>
      <c r="E15" s="581" t="s">
        <v>917</v>
      </c>
      <c r="F15" s="577">
        <v>491.34</v>
      </c>
    </row>
    <row r="16" spans="2:6" x14ac:dyDescent="0.25">
      <c r="B16" s="578">
        <v>7</v>
      </c>
      <c r="C16" s="579"/>
      <c r="D16" s="578"/>
      <c r="E16" s="581" t="s">
        <v>918</v>
      </c>
      <c r="F16" s="577">
        <v>650.33000000000004</v>
      </c>
    </row>
    <row r="17" spans="2:6" x14ac:dyDescent="0.25">
      <c r="B17" s="578">
        <v>8</v>
      </c>
      <c r="C17" s="579" t="s">
        <v>919</v>
      </c>
      <c r="D17" s="578" t="s">
        <v>920</v>
      </c>
      <c r="E17" s="578" t="s">
        <v>921</v>
      </c>
      <c r="F17" s="577">
        <v>1100</v>
      </c>
    </row>
    <row r="18" spans="2:6" x14ac:dyDescent="0.25">
      <c r="B18" s="578">
        <v>9</v>
      </c>
      <c r="C18" s="579" t="s">
        <v>922</v>
      </c>
      <c r="D18" s="578" t="s">
        <v>907</v>
      </c>
      <c r="E18" s="578" t="s">
        <v>923</v>
      </c>
      <c r="F18" s="577">
        <v>978.86</v>
      </c>
    </row>
    <row r="19" spans="2:6" x14ac:dyDescent="0.25">
      <c r="B19" s="578">
        <v>10</v>
      </c>
      <c r="C19" s="579" t="s">
        <v>924</v>
      </c>
      <c r="D19" s="578" t="s">
        <v>907</v>
      </c>
      <c r="E19" s="578" t="s">
        <v>925</v>
      </c>
      <c r="F19" s="577">
        <v>1259.78</v>
      </c>
    </row>
    <row r="20" spans="2:6" x14ac:dyDescent="0.25">
      <c r="B20" s="578">
        <v>11</v>
      </c>
      <c r="C20" s="579"/>
      <c r="D20" s="578"/>
      <c r="E20" s="581" t="s">
        <v>926</v>
      </c>
      <c r="F20" s="577">
        <v>189.83</v>
      </c>
    </row>
    <row r="21" spans="2:6" x14ac:dyDescent="0.25">
      <c r="B21" s="578">
        <v>12</v>
      </c>
      <c r="C21" s="579"/>
      <c r="D21" s="578"/>
      <c r="E21" s="581" t="s">
        <v>927</v>
      </c>
      <c r="F21" s="577">
        <f>1308.81+472</f>
        <v>1780.81</v>
      </c>
    </row>
    <row r="22" spans="2:6" x14ac:dyDescent="0.25">
      <c r="B22" s="578">
        <v>13</v>
      </c>
      <c r="C22" s="579" t="s">
        <v>924</v>
      </c>
      <c r="D22" s="578" t="s">
        <v>907</v>
      </c>
      <c r="E22" s="578" t="s">
        <v>928</v>
      </c>
      <c r="F22" s="577">
        <v>1141</v>
      </c>
    </row>
    <row r="23" spans="2:6" x14ac:dyDescent="0.25">
      <c r="B23" s="578">
        <v>14</v>
      </c>
      <c r="C23" s="579"/>
      <c r="D23" s="578"/>
      <c r="E23" s="581" t="s">
        <v>929</v>
      </c>
      <c r="F23" s="577">
        <v>1548</v>
      </c>
    </row>
    <row r="24" spans="2:6" x14ac:dyDescent="0.25">
      <c r="B24" s="578">
        <v>15</v>
      </c>
      <c r="C24" s="579"/>
      <c r="D24" s="578"/>
      <c r="E24" s="581" t="s">
        <v>930</v>
      </c>
      <c r="F24" s="577">
        <v>568.16999999999996</v>
      </c>
    </row>
    <row r="25" spans="2:6" x14ac:dyDescent="0.25">
      <c r="B25" s="578">
        <v>16</v>
      </c>
      <c r="C25" s="579" t="s">
        <v>931</v>
      </c>
      <c r="D25" s="578" t="s">
        <v>907</v>
      </c>
      <c r="E25" s="578" t="s">
        <v>932</v>
      </c>
      <c r="F25" s="577">
        <v>887.59</v>
      </c>
    </row>
    <row r="26" spans="2:6" ht="30" x14ac:dyDescent="0.25">
      <c r="B26" s="578">
        <v>17</v>
      </c>
      <c r="C26" s="579" t="s">
        <v>933</v>
      </c>
      <c r="D26" s="578" t="s">
        <v>907</v>
      </c>
      <c r="E26" s="578" t="s">
        <v>934</v>
      </c>
      <c r="F26" s="577">
        <v>640.79</v>
      </c>
    </row>
    <row r="27" spans="2:6" x14ac:dyDescent="0.25">
      <c r="B27" s="578">
        <v>18</v>
      </c>
      <c r="C27" s="579"/>
      <c r="D27" s="578"/>
      <c r="E27" s="578" t="s">
        <v>935</v>
      </c>
      <c r="F27" s="577">
        <v>229.71</v>
      </c>
    </row>
    <row r="28" spans="2:6" x14ac:dyDescent="0.25">
      <c r="B28" s="578">
        <v>19</v>
      </c>
      <c r="C28" s="579" t="s">
        <v>936</v>
      </c>
      <c r="D28" s="578" t="s">
        <v>907</v>
      </c>
      <c r="E28" s="578" t="s">
        <v>937</v>
      </c>
      <c r="F28" s="577">
        <v>428.47</v>
      </c>
    </row>
    <row r="29" spans="2:6" ht="30" x14ac:dyDescent="0.25">
      <c r="B29" s="578">
        <v>20</v>
      </c>
      <c r="C29" s="579" t="s">
        <v>938</v>
      </c>
      <c r="D29" s="578" t="s">
        <v>907</v>
      </c>
      <c r="E29" s="578" t="s">
        <v>939</v>
      </c>
      <c r="F29" s="577">
        <v>707.27</v>
      </c>
    </row>
    <row r="30" spans="2:6" x14ac:dyDescent="0.25">
      <c r="B30" s="578">
        <v>21</v>
      </c>
      <c r="C30" s="579" t="s">
        <v>940</v>
      </c>
      <c r="D30" s="578" t="s">
        <v>941</v>
      </c>
      <c r="E30" s="578" t="s">
        <v>942</v>
      </c>
      <c r="F30" s="577">
        <v>621.92999999999995</v>
      </c>
    </row>
    <row r="31" spans="2:6" x14ac:dyDescent="0.25">
      <c r="B31" s="578">
        <v>22</v>
      </c>
      <c r="C31" s="579"/>
      <c r="D31" s="578"/>
      <c r="E31" s="581" t="s">
        <v>943</v>
      </c>
      <c r="F31" s="577">
        <v>402.71</v>
      </c>
    </row>
    <row r="32" spans="2:6" x14ac:dyDescent="0.25">
      <c r="B32" s="578">
        <v>23</v>
      </c>
      <c r="C32" s="579" t="s">
        <v>944</v>
      </c>
      <c r="D32" s="578" t="s">
        <v>941</v>
      </c>
      <c r="E32" s="578" t="s">
        <v>945</v>
      </c>
      <c r="F32" s="582">
        <v>2295.85</v>
      </c>
    </row>
    <row r="33" spans="2:6" ht="30" x14ac:dyDescent="0.25">
      <c r="B33" s="578">
        <v>24</v>
      </c>
      <c r="C33" s="579" t="s">
        <v>946</v>
      </c>
      <c r="D33" s="578" t="s">
        <v>920</v>
      </c>
      <c r="E33" s="578"/>
      <c r="F33" s="577">
        <v>440.3</v>
      </c>
    </row>
    <row r="34" spans="2:6" ht="30" x14ac:dyDescent="0.25">
      <c r="B34" s="578">
        <v>25</v>
      </c>
      <c r="C34" s="579" t="s">
        <v>947</v>
      </c>
      <c r="D34" s="578" t="s">
        <v>907</v>
      </c>
      <c r="E34" s="578"/>
      <c r="F34" s="577">
        <v>262.36</v>
      </c>
    </row>
    <row r="35" spans="2:6" ht="30" x14ac:dyDescent="0.25">
      <c r="B35" s="578">
        <v>26</v>
      </c>
      <c r="C35" s="579" t="s">
        <v>948</v>
      </c>
      <c r="D35" s="578" t="s">
        <v>949</v>
      </c>
      <c r="E35" s="578"/>
      <c r="F35" s="577">
        <v>363.54</v>
      </c>
    </row>
    <row r="36" spans="2:6" ht="30" x14ac:dyDescent="0.25">
      <c r="B36" s="578">
        <v>27</v>
      </c>
      <c r="C36" s="579" t="s">
        <v>950</v>
      </c>
      <c r="D36" s="578" t="s">
        <v>949</v>
      </c>
      <c r="E36" s="578"/>
      <c r="F36" s="577">
        <v>692.24</v>
      </c>
    </row>
    <row r="37" spans="2:6" ht="30" x14ac:dyDescent="0.25">
      <c r="B37" s="578">
        <v>28</v>
      </c>
      <c r="C37" s="579" t="s">
        <v>951</v>
      </c>
      <c r="D37" s="578" t="s">
        <v>949</v>
      </c>
      <c r="E37" s="578"/>
      <c r="F37" s="577">
        <v>962.36</v>
      </c>
    </row>
    <row r="38" spans="2:6" x14ac:dyDescent="0.25">
      <c r="B38" s="578">
        <v>29</v>
      </c>
      <c r="C38" s="579" t="s">
        <v>952</v>
      </c>
      <c r="D38" s="578" t="s">
        <v>907</v>
      </c>
      <c r="E38" s="578"/>
      <c r="F38" s="577">
        <v>145</v>
      </c>
    </row>
    <row r="39" spans="2:6" x14ac:dyDescent="0.25">
      <c r="B39" s="578">
        <v>30</v>
      </c>
      <c r="C39" s="579" t="s">
        <v>953</v>
      </c>
      <c r="D39" s="578" t="s">
        <v>907</v>
      </c>
      <c r="E39" s="578"/>
      <c r="F39" s="577">
        <v>60</v>
      </c>
    </row>
    <row r="40" spans="2:6" x14ac:dyDescent="0.25">
      <c r="B40" s="578">
        <v>31</v>
      </c>
      <c r="C40" s="579" t="s">
        <v>954</v>
      </c>
      <c r="D40" s="578" t="s">
        <v>907</v>
      </c>
      <c r="E40" s="578"/>
      <c r="F40" s="577">
        <v>320</v>
      </c>
    </row>
    <row r="41" spans="2:6" x14ac:dyDescent="0.25">
      <c r="B41" s="578">
        <v>32</v>
      </c>
      <c r="C41" s="579" t="s">
        <v>955</v>
      </c>
      <c r="D41" s="578" t="s">
        <v>956</v>
      </c>
      <c r="E41" s="578"/>
      <c r="F41" s="577">
        <v>260</v>
      </c>
    </row>
    <row r="42" spans="2:6" x14ac:dyDescent="0.25">
      <c r="B42" s="578">
        <v>33</v>
      </c>
      <c r="C42" s="583" t="s">
        <v>957</v>
      </c>
      <c r="D42" s="578" t="s">
        <v>949</v>
      </c>
      <c r="E42" s="578"/>
      <c r="F42" s="577">
        <v>805</v>
      </c>
    </row>
    <row r="43" spans="2:6" x14ac:dyDescent="0.25">
      <c r="B43" s="578">
        <v>34</v>
      </c>
      <c r="C43" s="579" t="s">
        <v>60</v>
      </c>
      <c r="D43" s="578" t="s">
        <v>907</v>
      </c>
      <c r="E43" s="578" t="s">
        <v>958</v>
      </c>
      <c r="F43" s="577">
        <v>814.54</v>
      </c>
    </row>
    <row r="44" spans="2:6" x14ac:dyDescent="0.25">
      <c r="B44" s="578">
        <v>35</v>
      </c>
      <c r="C44" s="579" t="s">
        <v>60</v>
      </c>
      <c r="D44" s="578" t="s">
        <v>907</v>
      </c>
      <c r="E44" s="578" t="s">
        <v>959</v>
      </c>
      <c r="F44" s="577">
        <v>1380.3</v>
      </c>
    </row>
    <row r="45" spans="2:6" x14ac:dyDescent="0.25">
      <c r="B45" s="578">
        <v>36</v>
      </c>
      <c r="C45" s="579" t="s">
        <v>60</v>
      </c>
      <c r="D45" s="578" t="s">
        <v>907</v>
      </c>
      <c r="E45" s="578" t="s">
        <v>960</v>
      </c>
      <c r="F45" s="577">
        <v>3133.57</v>
      </c>
    </row>
    <row r="46" spans="2:6" x14ac:dyDescent="0.25">
      <c r="B46" s="578">
        <v>37</v>
      </c>
      <c r="C46" s="579" t="s">
        <v>60</v>
      </c>
      <c r="D46" s="578" t="s">
        <v>907</v>
      </c>
      <c r="E46" s="578" t="s">
        <v>961</v>
      </c>
      <c r="F46" s="577">
        <v>2868.49</v>
      </c>
    </row>
    <row r="47" spans="2:6" x14ac:dyDescent="0.25">
      <c r="B47" s="578">
        <v>38</v>
      </c>
      <c r="C47" s="579" t="s">
        <v>962</v>
      </c>
      <c r="D47" s="578" t="s">
        <v>907</v>
      </c>
      <c r="E47" s="578" t="s">
        <v>963</v>
      </c>
      <c r="F47" s="582">
        <v>225</v>
      </c>
    </row>
    <row r="48" spans="2:6" x14ac:dyDescent="0.25">
      <c r="B48" s="578">
        <v>39</v>
      </c>
      <c r="C48" s="579" t="s">
        <v>964</v>
      </c>
      <c r="D48" s="578" t="s">
        <v>920</v>
      </c>
      <c r="E48" s="578"/>
      <c r="F48" s="578">
        <v>410</v>
      </c>
    </row>
    <row r="49" spans="2:6" x14ac:dyDescent="0.25">
      <c r="B49" s="578">
        <v>40</v>
      </c>
      <c r="C49" s="579" t="s">
        <v>965</v>
      </c>
      <c r="D49" s="575" t="s">
        <v>966</v>
      </c>
      <c r="E49" s="578" t="s">
        <v>967</v>
      </c>
      <c r="F49" s="578">
        <v>1040</v>
      </c>
    </row>
    <row r="50" spans="2:6" x14ac:dyDescent="0.25">
      <c r="B50" s="578">
        <v>41</v>
      </c>
      <c r="C50" s="579" t="s">
        <v>968</v>
      </c>
      <c r="D50" s="575" t="s">
        <v>966</v>
      </c>
      <c r="E50" s="578" t="s">
        <v>969</v>
      </c>
      <c r="F50" s="578">
        <v>660</v>
      </c>
    </row>
    <row r="51" spans="2:6" x14ac:dyDescent="0.25">
      <c r="B51" s="578">
        <v>42</v>
      </c>
      <c r="C51" s="579" t="s">
        <v>970</v>
      </c>
      <c r="D51" s="575" t="s">
        <v>966</v>
      </c>
      <c r="E51" s="578" t="s">
        <v>971</v>
      </c>
      <c r="F51" s="578">
        <v>930</v>
      </c>
    </row>
    <row r="52" spans="2:6" x14ac:dyDescent="0.25">
      <c r="B52" s="578">
        <v>43</v>
      </c>
      <c r="C52" s="579" t="s">
        <v>972</v>
      </c>
      <c r="D52" s="575" t="s">
        <v>966</v>
      </c>
      <c r="E52" s="578" t="s">
        <v>973</v>
      </c>
      <c r="F52" s="578">
        <v>1990</v>
      </c>
    </row>
    <row r="53" spans="2:6" x14ac:dyDescent="0.25">
      <c r="B53" s="578">
        <v>44</v>
      </c>
      <c r="C53" s="579" t="s">
        <v>974</v>
      </c>
      <c r="D53" s="578"/>
      <c r="E53" s="578"/>
      <c r="F53" s="578">
        <v>1260</v>
      </c>
    </row>
    <row r="54" spans="2:6" x14ac:dyDescent="0.25">
      <c r="B54" s="584"/>
      <c r="C54" s="585"/>
      <c r="D54" s="584"/>
      <c r="E54" s="586"/>
      <c r="F54" s="586"/>
    </row>
    <row r="55" spans="2:6" x14ac:dyDescent="0.25">
      <c r="B55" s="586"/>
      <c r="C55" s="585"/>
      <c r="D55" s="587"/>
      <c r="E55" s="586"/>
      <c r="F55" s="586"/>
    </row>
    <row r="56" spans="2:6" ht="26.25" x14ac:dyDescent="0.25">
      <c r="B56" s="571" t="s">
        <v>900</v>
      </c>
      <c r="C56" s="572" t="s">
        <v>975</v>
      </c>
      <c r="D56" s="573" t="s">
        <v>902</v>
      </c>
      <c r="E56" s="571" t="s">
        <v>903</v>
      </c>
      <c r="F56" s="574" t="s">
        <v>904</v>
      </c>
    </row>
    <row r="57" spans="2:6" x14ac:dyDescent="0.25">
      <c r="B57" s="578"/>
      <c r="C57" s="845" t="s">
        <v>976</v>
      </c>
      <c r="D57" s="845"/>
      <c r="E57" s="845"/>
      <c r="F57" s="845"/>
    </row>
    <row r="58" spans="2:6" ht="30" x14ac:dyDescent="0.25">
      <c r="B58" s="578">
        <v>1</v>
      </c>
      <c r="C58" s="579" t="s">
        <v>977</v>
      </c>
      <c r="D58" s="578" t="s">
        <v>907</v>
      </c>
      <c r="E58" s="578" t="s">
        <v>978</v>
      </c>
      <c r="F58" s="577">
        <v>225</v>
      </c>
    </row>
    <row r="59" spans="2:6" x14ac:dyDescent="0.25">
      <c r="B59" s="578">
        <v>2</v>
      </c>
      <c r="C59" s="579"/>
      <c r="D59" s="578"/>
      <c r="E59" s="578" t="s">
        <v>979</v>
      </c>
      <c r="F59" s="577">
        <v>190</v>
      </c>
    </row>
    <row r="60" spans="2:6" x14ac:dyDescent="0.25">
      <c r="B60" s="578">
        <v>3</v>
      </c>
      <c r="C60" s="579"/>
      <c r="D60" s="578"/>
      <c r="E60" s="578"/>
      <c r="F60" s="577">
        <v>160</v>
      </c>
    </row>
    <row r="61" spans="2:6" ht="30" x14ac:dyDescent="0.25">
      <c r="B61" s="578">
        <v>4</v>
      </c>
      <c r="C61" s="579" t="s">
        <v>980</v>
      </c>
      <c r="D61" s="578" t="s">
        <v>907</v>
      </c>
      <c r="E61" s="578" t="s">
        <v>981</v>
      </c>
      <c r="F61" s="578">
        <v>320</v>
      </c>
    </row>
    <row r="62" spans="2:6" ht="30" x14ac:dyDescent="0.25">
      <c r="B62" s="578">
        <v>5</v>
      </c>
      <c r="C62" s="579" t="s">
        <v>982</v>
      </c>
      <c r="D62" s="578" t="s">
        <v>907</v>
      </c>
      <c r="E62" s="578" t="s">
        <v>983</v>
      </c>
      <c r="F62" s="577">
        <v>170</v>
      </c>
    </row>
    <row r="63" spans="2:6" ht="30" x14ac:dyDescent="0.25">
      <c r="B63" s="578">
        <v>6</v>
      </c>
      <c r="C63" s="579" t="s">
        <v>984</v>
      </c>
      <c r="D63" s="578" t="s">
        <v>907</v>
      </c>
      <c r="E63" s="578" t="s">
        <v>985</v>
      </c>
      <c r="F63" s="577">
        <v>161.28</v>
      </c>
    </row>
    <row r="64" spans="2:6" x14ac:dyDescent="0.25">
      <c r="B64" s="578">
        <v>7</v>
      </c>
      <c r="C64" s="579" t="s">
        <v>986</v>
      </c>
      <c r="D64" s="578" t="s">
        <v>920</v>
      </c>
      <c r="E64" s="578" t="s">
        <v>987</v>
      </c>
      <c r="F64" s="577">
        <v>220</v>
      </c>
    </row>
    <row r="65" spans="2:6" ht="30" x14ac:dyDescent="0.25">
      <c r="B65" s="578">
        <v>8</v>
      </c>
      <c r="C65" s="579" t="s">
        <v>988</v>
      </c>
      <c r="D65" s="578" t="s">
        <v>920</v>
      </c>
      <c r="E65" s="578" t="s">
        <v>989</v>
      </c>
      <c r="F65" s="577">
        <v>410</v>
      </c>
    </row>
    <row r="66" spans="2:6" x14ac:dyDescent="0.25">
      <c r="B66" s="578">
        <v>9</v>
      </c>
      <c r="C66" s="579"/>
      <c r="D66" s="578"/>
      <c r="E66" s="578" t="s">
        <v>990</v>
      </c>
      <c r="F66" s="577">
        <v>89</v>
      </c>
    </row>
    <row r="67" spans="2:6" ht="30" x14ac:dyDescent="0.25">
      <c r="B67" s="578">
        <v>10</v>
      </c>
      <c r="C67" s="579" t="s">
        <v>991</v>
      </c>
      <c r="D67" s="578" t="s">
        <v>907</v>
      </c>
      <c r="E67" s="578" t="s">
        <v>992</v>
      </c>
      <c r="F67" s="577">
        <v>135</v>
      </c>
    </row>
    <row r="68" spans="2:6" ht="30" x14ac:dyDescent="0.25">
      <c r="B68" s="578">
        <v>11</v>
      </c>
      <c r="C68" s="579" t="s">
        <v>993</v>
      </c>
      <c r="D68" s="578" t="s">
        <v>907</v>
      </c>
      <c r="E68" s="578" t="s">
        <v>994</v>
      </c>
      <c r="F68" s="577">
        <v>24</v>
      </c>
    </row>
    <row r="69" spans="2:6" x14ac:dyDescent="0.25">
      <c r="B69" s="578">
        <v>12</v>
      </c>
      <c r="C69" s="579"/>
      <c r="D69" s="578"/>
      <c r="E69" s="578"/>
      <c r="F69" s="577">
        <v>75</v>
      </c>
    </row>
    <row r="70" spans="2:6" x14ac:dyDescent="0.25">
      <c r="B70" s="578">
        <v>13</v>
      </c>
      <c r="C70" s="579" t="s">
        <v>995</v>
      </c>
      <c r="D70" s="578" t="s">
        <v>907</v>
      </c>
      <c r="E70" s="578" t="s">
        <v>996</v>
      </c>
      <c r="F70" s="577">
        <v>65</v>
      </c>
    </row>
    <row r="71" spans="2:6" x14ac:dyDescent="0.25">
      <c r="B71" s="578">
        <v>14</v>
      </c>
      <c r="C71" s="579"/>
      <c r="D71" s="578"/>
      <c r="E71" s="578" t="s">
        <v>997</v>
      </c>
      <c r="F71" s="577">
        <v>162</v>
      </c>
    </row>
    <row r="72" spans="2:6" x14ac:dyDescent="0.25">
      <c r="B72" s="578">
        <v>15</v>
      </c>
      <c r="C72" s="579"/>
      <c r="D72" s="578"/>
      <c r="E72" s="578" t="s">
        <v>998</v>
      </c>
      <c r="F72" s="577">
        <v>58</v>
      </c>
    </row>
    <row r="73" spans="2:6" ht="30" x14ac:dyDescent="0.25">
      <c r="B73" s="578">
        <v>16</v>
      </c>
      <c r="C73" s="579" t="s">
        <v>999</v>
      </c>
      <c r="D73" s="578" t="s">
        <v>907</v>
      </c>
      <c r="E73" s="578"/>
      <c r="F73" s="577">
        <v>175</v>
      </c>
    </row>
    <row r="74" spans="2:6" ht="30" x14ac:dyDescent="0.25">
      <c r="B74" s="578">
        <v>17</v>
      </c>
      <c r="C74" s="579" t="s">
        <v>1000</v>
      </c>
      <c r="D74" s="578" t="s">
        <v>907</v>
      </c>
      <c r="E74" s="578"/>
      <c r="F74" s="577">
        <v>151.77000000000001</v>
      </c>
    </row>
    <row r="75" spans="2:6" ht="30" x14ac:dyDescent="0.25">
      <c r="B75" s="578">
        <v>18</v>
      </c>
      <c r="C75" s="579" t="s">
        <v>1001</v>
      </c>
      <c r="D75" s="578" t="s">
        <v>907</v>
      </c>
      <c r="E75" s="578"/>
      <c r="F75" s="577">
        <v>304.77999999999997</v>
      </c>
    </row>
    <row r="76" spans="2:6" x14ac:dyDescent="0.25">
      <c r="B76" s="578">
        <v>19</v>
      </c>
      <c r="C76" s="579"/>
      <c r="D76" s="578"/>
      <c r="E76" s="578" t="s">
        <v>1002</v>
      </c>
      <c r="F76" s="577">
        <v>152.04</v>
      </c>
    </row>
    <row r="77" spans="2:6" x14ac:dyDescent="0.25">
      <c r="B77" s="578">
        <v>20</v>
      </c>
      <c r="C77" s="579"/>
      <c r="D77" s="578"/>
      <c r="E77" s="578" t="s">
        <v>1003</v>
      </c>
      <c r="F77" s="577">
        <v>315</v>
      </c>
    </row>
    <row r="78" spans="2:6" x14ac:dyDescent="0.25">
      <c r="B78" s="578">
        <v>21</v>
      </c>
      <c r="C78" s="579"/>
      <c r="D78" s="578"/>
      <c r="E78" s="578" t="s">
        <v>1004</v>
      </c>
      <c r="F78" s="577">
        <v>123.45</v>
      </c>
    </row>
    <row r="79" spans="2:6" x14ac:dyDescent="0.25">
      <c r="B79" s="578">
        <v>22</v>
      </c>
      <c r="C79" s="579" t="s">
        <v>1005</v>
      </c>
      <c r="D79" s="578" t="s">
        <v>907</v>
      </c>
      <c r="E79" s="578" t="s">
        <v>1006</v>
      </c>
      <c r="F79" s="577">
        <v>234.43</v>
      </c>
    </row>
    <row r="80" spans="2:6" x14ac:dyDescent="0.25">
      <c r="B80" s="578">
        <v>23</v>
      </c>
      <c r="C80" s="579"/>
      <c r="D80" s="578"/>
      <c r="E80" s="578" t="s">
        <v>1007</v>
      </c>
      <c r="F80" s="577">
        <v>236.02</v>
      </c>
    </row>
    <row r="81" spans="2:8" ht="30" x14ac:dyDescent="0.25">
      <c r="B81" s="578">
        <v>24</v>
      </c>
      <c r="C81" s="579" t="s">
        <v>1008</v>
      </c>
      <c r="D81" s="578" t="s">
        <v>907</v>
      </c>
      <c r="E81" s="578" t="s">
        <v>1009</v>
      </c>
      <c r="F81" s="577">
        <v>70</v>
      </c>
    </row>
    <row r="82" spans="2:8" x14ac:dyDescent="0.25">
      <c r="B82" s="578">
        <v>25</v>
      </c>
      <c r="C82" s="579"/>
      <c r="D82" s="578"/>
      <c r="E82" s="578" t="s">
        <v>1009</v>
      </c>
      <c r="F82" s="577">
        <v>70</v>
      </c>
    </row>
    <row r="83" spans="2:8" x14ac:dyDescent="0.25">
      <c r="B83" s="578">
        <v>26</v>
      </c>
      <c r="C83" s="579"/>
      <c r="D83" s="578"/>
      <c r="E83" s="578" t="s">
        <v>1009</v>
      </c>
      <c r="F83" s="577">
        <v>162</v>
      </c>
    </row>
    <row r="84" spans="2:8" x14ac:dyDescent="0.25">
      <c r="B84" s="578">
        <v>27</v>
      </c>
      <c r="C84" s="579" t="s">
        <v>157</v>
      </c>
      <c r="D84" s="578" t="s">
        <v>907</v>
      </c>
      <c r="E84" s="578"/>
      <c r="F84" s="588">
        <v>26</v>
      </c>
    </row>
    <row r="85" spans="2:8" x14ac:dyDescent="0.25">
      <c r="B85" s="578">
        <v>28</v>
      </c>
      <c r="C85" s="579" t="s">
        <v>157</v>
      </c>
      <c r="D85" s="578" t="s">
        <v>907</v>
      </c>
      <c r="E85" s="578"/>
      <c r="F85" s="577">
        <v>36</v>
      </c>
    </row>
    <row r="86" spans="2:8" x14ac:dyDescent="0.25">
      <c r="B86" s="578">
        <v>29</v>
      </c>
      <c r="C86" s="579" t="s">
        <v>157</v>
      </c>
      <c r="D86" s="578" t="s">
        <v>907</v>
      </c>
      <c r="E86" s="578"/>
      <c r="F86" s="577">
        <v>38</v>
      </c>
    </row>
    <row r="87" spans="2:8" x14ac:dyDescent="0.25">
      <c r="B87" s="578">
        <v>30</v>
      </c>
      <c r="C87" s="579" t="s">
        <v>1010</v>
      </c>
      <c r="D87" s="578" t="s">
        <v>907</v>
      </c>
      <c r="E87" s="578" t="s">
        <v>1011</v>
      </c>
      <c r="F87" s="577">
        <v>200</v>
      </c>
    </row>
    <row r="88" spans="2:8" x14ac:dyDescent="0.25">
      <c r="B88" s="578">
        <v>31</v>
      </c>
      <c r="C88" s="579" t="s">
        <v>74</v>
      </c>
      <c r="D88" s="578" t="s">
        <v>907</v>
      </c>
      <c r="E88" s="578"/>
      <c r="F88" s="577">
        <v>120</v>
      </c>
    </row>
    <row r="89" spans="2:8" x14ac:dyDescent="0.25">
      <c r="B89" s="578">
        <v>32</v>
      </c>
      <c r="C89" s="579" t="s">
        <v>74</v>
      </c>
      <c r="D89" s="578" t="s">
        <v>907</v>
      </c>
      <c r="E89" s="578"/>
      <c r="F89" s="577">
        <v>62</v>
      </c>
    </row>
    <row r="90" spans="2:8" x14ac:dyDescent="0.25">
      <c r="B90" s="578">
        <v>33</v>
      </c>
      <c r="C90" s="579" t="s">
        <v>74</v>
      </c>
      <c r="D90" s="578" t="s">
        <v>907</v>
      </c>
      <c r="E90" s="578"/>
      <c r="F90" s="577">
        <v>275</v>
      </c>
    </row>
    <row r="91" spans="2:8" x14ac:dyDescent="0.25">
      <c r="B91" s="578">
        <v>34</v>
      </c>
      <c r="C91" s="579" t="s">
        <v>74</v>
      </c>
      <c r="D91" s="578" t="s">
        <v>907</v>
      </c>
      <c r="E91" s="578"/>
      <c r="F91" s="577">
        <v>80</v>
      </c>
    </row>
    <row r="92" spans="2:8" x14ac:dyDescent="0.25">
      <c r="B92" s="578">
        <v>35</v>
      </c>
      <c r="C92" s="579" t="s">
        <v>17</v>
      </c>
      <c r="D92" s="578" t="s">
        <v>907</v>
      </c>
      <c r="E92" s="578"/>
      <c r="F92" s="577">
        <v>46</v>
      </c>
    </row>
    <row r="93" spans="2:8" x14ac:dyDescent="0.25">
      <c r="B93" s="589"/>
      <c r="C93" s="590"/>
      <c r="D93" s="589"/>
      <c r="E93" s="589"/>
      <c r="F93" s="591"/>
    </row>
    <row r="95" spans="2:8" x14ac:dyDescent="0.25">
      <c r="B95" s="846" t="s">
        <v>1098</v>
      </c>
      <c r="C95" s="846"/>
      <c r="D95" s="846"/>
      <c r="E95" s="846"/>
      <c r="F95" s="846"/>
      <c r="G95" s="846"/>
    </row>
    <row r="96" spans="2:8" x14ac:dyDescent="0.25">
      <c r="B96" s="18" t="s">
        <v>1012</v>
      </c>
      <c r="C96" s="18" t="s">
        <v>1013</v>
      </c>
      <c r="D96" s="18" t="s">
        <v>1023</v>
      </c>
      <c r="E96" s="18" t="s">
        <v>1024</v>
      </c>
      <c r="F96" s="18" t="s">
        <v>1025</v>
      </c>
      <c r="G96" s="593" t="s">
        <v>1026</v>
      </c>
      <c r="H96" s="694" t="s">
        <v>904</v>
      </c>
    </row>
    <row r="97" spans="2:15" ht="30" x14ac:dyDescent="0.25">
      <c r="B97" s="595">
        <v>1</v>
      </c>
      <c r="C97" s="592" t="s">
        <v>1014</v>
      </c>
      <c r="D97" s="580">
        <v>80740030826</v>
      </c>
      <c r="E97" s="18" t="s">
        <v>1027</v>
      </c>
      <c r="F97" s="18" t="s">
        <v>1028</v>
      </c>
      <c r="G97" s="18" t="s">
        <v>1029</v>
      </c>
      <c r="H97" s="18">
        <v>700</v>
      </c>
    </row>
    <row r="98" spans="2:15" x14ac:dyDescent="0.25">
      <c r="B98" s="595">
        <v>2</v>
      </c>
      <c r="C98" s="592" t="s">
        <v>1015</v>
      </c>
      <c r="D98" s="580">
        <v>80740030825</v>
      </c>
      <c r="E98" s="18" t="s">
        <v>1030</v>
      </c>
      <c r="F98" s="18" t="s">
        <v>1028</v>
      </c>
      <c r="G98" s="18"/>
      <c r="H98" s="18">
        <v>780</v>
      </c>
    </row>
    <row r="99" spans="2:15" x14ac:dyDescent="0.25">
      <c r="B99" s="595">
        <v>3</v>
      </c>
      <c r="C99" s="592" t="s">
        <v>1016</v>
      </c>
      <c r="D99" s="580">
        <v>80740030710</v>
      </c>
      <c r="E99" s="18" t="s">
        <v>1031</v>
      </c>
      <c r="F99" s="18" t="s">
        <v>1032</v>
      </c>
      <c r="G99" s="18"/>
      <c r="H99" s="18">
        <v>840</v>
      </c>
    </row>
    <row r="100" spans="2:15" x14ac:dyDescent="0.25">
      <c r="B100" s="595">
        <v>4</v>
      </c>
      <c r="C100" s="592" t="s">
        <v>1017</v>
      </c>
      <c r="D100" s="580">
        <v>80740030815</v>
      </c>
      <c r="E100" s="18" t="s">
        <v>1033</v>
      </c>
      <c r="F100" s="18" t="s">
        <v>1028</v>
      </c>
      <c r="G100" s="18"/>
      <c r="H100" s="18">
        <v>680</v>
      </c>
    </row>
    <row r="101" spans="2:15" ht="30" x14ac:dyDescent="0.25">
      <c r="B101" s="595">
        <v>5</v>
      </c>
      <c r="C101" s="592" t="s">
        <v>1018</v>
      </c>
      <c r="D101" s="580">
        <v>80740030685</v>
      </c>
      <c r="E101" s="18" t="s">
        <v>1034</v>
      </c>
      <c r="F101" s="18" t="s">
        <v>1028</v>
      </c>
      <c r="G101" s="18"/>
      <c r="H101" s="18">
        <v>650</v>
      </c>
    </row>
    <row r="102" spans="2:15" x14ac:dyDescent="0.25">
      <c r="B102" s="595">
        <v>6</v>
      </c>
      <c r="C102" s="592" t="s">
        <v>1019</v>
      </c>
      <c r="D102" s="580">
        <v>80740030562</v>
      </c>
      <c r="E102" s="18" t="s">
        <v>1035</v>
      </c>
      <c r="F102" s="18" t="s">
        <v>1028</v>
      </c>
      <c r="G102" s="18"/>
      <c r="H102" s="18">
        <v>1850</v>
      </c>
    </row>
    <row r="103" spans="2:15" ht="30" x14ac:dyDescent="0.25">
      <c r="B103" s="595">
        <v>7</v>
      </c>
      <c r="C103" s="592" t="s">
        <v>1020</v>
      </c>
      <c r="D103" s="580">
        <v>80740030628</v>
      </c>
      <c r="E103" s="18" t="s">
        <v>1036</v>
      </c>
      <c r="F103" s="18" t="s">
        <v>1028</v>
      </c>
      <c r="G103" s="18"/>
      <c r="H103" s="18">
        <v>3750</v>
      </c>
    </row>
    <row r="104" spans="2:15" x14ac:dyDescent="0.25">
      <c r="B104" s="595">
        <v>8</v>
      </c>
      <c r="C104" s="592" t="s">
        <v>1021</v>
      </c>
      <c r="D104" s="580">
        <v>80740030849</v>
      </c>
      <c r="E104" s="18" t="s">
        <v>1037</v>
      </c>
      <c r="F104" s="18" t="s">
        <v>1028</v>
      </c>
      <c r="G104" s="18"/>
      <c r="H104" s="18">
        <v>1500</v>
      </c>
    </row>
    <row r="105" spans="2:15" ht="30" x14ac:dyDescent="0.25">
      <c r="B105" s="595">
        <v>9</v>
      </c>
      <c r="C105" s="592" t="s">
        <v>1022</v>
      </c>
      <c r="D105" s="594" t="s">
        <v>1038</v>
      </c>
      <c r="E105" s="592" t="s">
        <v>1039</v>
      </c>
      <c r="F105" s="592" t="s">
        <v>1040</v>
      </c>
      <c r="G105" s="18"/>
      <c r="H105" s="18">
        <v>2050</v>
      </c>
    </row>
    <row r="108" spans="2:15" x14ac:dyDescent="0.25">
      <c r="C108" s="656" t="s">
        <v>835</v>
      </c>
      <c r="D108" s="657"/>
      <c r="E108" s="674"/>
      <c r="F108" s="674"/>
      <c r="G108" s="658"/>
      <c r="H108" s="659"/>
      <c r="I108" s="659"/>
      <c r="J108" s="660"/>
      <c r="L108" s="396"/>
      <c r="M108" s="396"/>
      <c r="N108" s="1"/>
      <c r="O108" s="63"/>
    </row>
    <row r="109" spans="2:15" ht="22.5" customHeight="1" x14ac:dyDescent="0.25">
      <c r="C109" s="661" t="s">
        <v>1100</v>
      </c>
      <c r="D109" s="399" t="s">
        <v>1270</v>
      </c>
      <c r="E109" s="664"/>
      <c r="F109" s="663"/>
      <c r="I109" s="660"/>
      <c r="J109" s="660"/>
      <c r="L109" s="1"/>
      <c r="M109" s="1"/>
      <c r="N109" s="1"/>
      <c r="O109" s="63"/>
    </row>
    <row r="110" spans="2:15" ht="15.75" customHeight="1" x14ac:dyDescent="0.25">
      <c r="C110" s="656"/>
      <c r="D110" s="662" t="s">
        <v>837</v>
      </c>
      <c r="F110" s="665" t="s">
        <v>838</v>
      </c>
      <c r="L110" s="1"/>
      <c r="M110" s="1"/>
      <c r="N110" s="1"/>
      <c r="O110" s="63"/>
    </row>
    <row r="111" spans="2:15" ht="27" customHeight="1" x14ac:dyDescent="0.25">
      <c r="C111" s="661" t="s">
        <v>835</v>
      </c>
      <c r="D111" s="657"/>
      <c r="F111" s="660"/>
      <c r="L111" s="1"/>
      <c r="M111" s="1"/>
      <c r="N111" s="1"/>
      <c r="O111" s="63"/>
    </row>
    <row r="112" spans="2:15" ht="24" customHeight="1" x14ac:dyDescent="0.25">
      <c r="C112" s="661" t="s">
        <v>839</v>
      </c>
      <c r="D112" s="663" t="s">
        <v>1099</v>
      </c>
      <c r="E112" s="664"/>
      <c r="F112" s="666"/>
      <c r="L112" s="1"/>
      <c r="M112" s="1"/>
      <c r="N112" s="1"/>
      <c r="O112" s="63"/>
    </row>
    <row r="113" spans="4:15" x14ac:dyDescent="0.25">
      <c r="D113" s="662" t="s">
        <v>837</v>
      </c>
      <c r="F113" s="665" t="s">
        <v>838</v>
      </c>
      <c r="L113" s="1"/>
      <c r="M113" s="1"/>
      <c r="N113" s="1"/>
      <c r="O113" s="63"/>
    </row>
  </sheetData>
  <mergeCells count="2">
    <mergeCell ref="C57:F57"/>
    <mergeCell ref="B95:G95"/>
  </mergeCells>
  <pageMargins left="0.7" right="0.7" top="0.75" bottom="0.75" header="0.3" footer="0.3"/>
  <pageSetup paperSize="9" scale="68" fitToHeight="0" orientation="landscape" r:id="rId1"/>
  <rowBreaks count="3" manualBreakCount="3">
    <brk id="72" max="10" man="1"/>
    <brk id="106" max="10" man="1"/>
    <brk id="12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10</vt:i4>
      </vt:variant>
      <vt:variant>
        <vt:lpstr>Diapazoni ar nosaukumiem</vt:lpstr>
      </vt:variant>
      <vt:variant>
        <vt:i4>3</vt:i4>
      </vt:variant>
    </vt:vector>
  </HeadingPairs>
  <TitlesOfParts>
    <vt:vector size="13" baseType="lpstr">
      <vt:lpstr>KOPĀ</vt:lpstr>
      <vt:lpstr>Kopā ielas</vt:lpstr>
      <vt:lpstr>Kopā ceļi</vt:lpstr>
      <vt:lpstr>A ceļi</vt:lpstr>
      <vt:lpstr>B ceļi</vt:lpstr>
      <vt:lpstr>C ceļi</vt:lpstr>
      <vt:lpstr>Ielas</vt:lpstr>
      <vt:lpstr>Nepiederošās ielas</vt:lpstr>
      <vt:lpstr>LAUKUMI</vt:lpstr>
      <vt:lpstr>Kapsētu ceļi un laukumi</vt:lpstr>
      <vt:lpstr>'A ceļi'!Drukas_apgabals</vt:lpstr>
      <vt:lpstr>LAUKUMI!Drukas_apgabals</vt:lpstr>
      <vt:lpstr>'Nepiederošās ielas'!Drukas_apgabals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2021-12-01T09:15:23Z</dcterms:modified>
</cp:coreProperties>
</file>