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a.grosa\Desktop\"/>
    </mc:Choice>
  </mc:AlternateContent>
  <xr:revisionPtr revIDLastSave="0" documentId="8_{B260F4AF-B481-4C45-8324-5095F5C2C968}" xr6:coauthVersionLast="47" xr6:coauthVersionMax="47" xr10:uidLastSave="{00000000-0000-0000-0000-000000000000}"/>
  <bookViews>
    <workbookView xWindow="-120" yWindow="-120" windowWidth="20730" windowHeight="11160" xr2:uid="{A470A5C3-8855-4AC4-8FA3-0260F05E5101}"/>
  </bookViews>
  <sheets>
    <sheet name="Lap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94" i="1" l="1"/>
  <c r="AD994" i="1"/>
  <c r="AC994" i="1"/>
  <c r="AB994" i="1"/>
  <c r="AA994" i="1"/>
  <c r="AF994" i="1" s="1"/>
  <c r="X994" i="1"/>
  <c r="W994" i="1"/>
  <c r="V994" i="1"/>
  <c r="U994" i="1"/>
  <c r="T994" i="1"/>
  <c r="Y994" i="1" s="1"/>
  <c r="G994" i="1"/>
  <c r="F994" i="1"/>
  <c r="AE993" i="1"/>
  <c r="AD993" i="1"/>
  <c r="AC993" i="1"/>
  <c r="AB993" i="1"/>
  <c r="AA993" i="1"/>
  <c r="AF993" i="1" s="1"/>
  <c r="X993" i="1"/>
  <c r="W993" i="1"/>
  <c r="V993" i="1"/>
  <c r="U993" i="1"/>
  <c r="T993" i="1"/>
  <c r="Y993" i="1" s="1"/>
  <c r="G993" i="1"/>
  <c r="F993" i="1"/>
  <c r="AE992" i="1"/>
  <c r="AD992" i="1"/>
  <c r="AC992" i="1"/>
  <c r="AB992" i="1"/>
  <c r="AA992" i="1"/>
  <c r="AF992" i="1" s="1"/>
  <c r="X992" i="1"/>
  <c r="W992" i="1"/>
  <c r="V992" i="1"/>
  <c r="U992" i="1"/>
  <c r="Y992" i="1" s="1"/>
  <c r="T992" i="1"/>
  <c r="G992" i="1"/>
  <c r="F992" i="1"/>
  <c r="AE991" i="1"/>
  <c r="AE995" i="1" s="1"/>
  <c r="AD991" i="1"/>
  <c r="AD995" i="1" s="1"/>
  <c r="AC991" i="1"/>
  <c r="AC995" i="1" s="1"/>
  <c r="AB991" i="1"/>
  <c r="AB995" i="1" s="1"/>
  <c r="AA991" i="1"/>
  <c r="AA995" i="1" s="1"/>
  <c r="X991" i="1"/>
  <c r="X995" i="1" s="1"/>
  <c r="W991" i="1"/>
  <c r="W995" i="1" s="1"/>
  <c r="V991" i="1"/>
  <c r="V995" i="1" s="1"/>
  <c r="U991" i="1"/>
  <c r="U995" i="1" s="1"/>
  <c r="T991" i="1"/>
  <c r="T995" i="1" s="1"/>
  <c r="G991" i="1"/>
  <c r="F991" i="1"/>
  <c r="G990" i="1"/>
  <c r="F990" i="1"/>
  <c r="P989" i="1"/>
  <c r="M989" i="1"/>
  <c r="L989" i="1"/>
  <c r="AE979" i="1"/>
  <c r="AD979" i="1"/>
  <c r="AC979" i="1"/>
  <c r="AB979" i="1"/>
  <c r="AA979" i="1"/>
  <c r="AF979" i="1" s="1"/>
  <c r="X979" i="1"/>
  <c r="W979" i="1"/>
  <c r="V979" i="1"/>
  <c r="U979" i="1"/>
  <c r="T979" i="1"/>
  <c r="Y979" i="1" s="1"/>
  <c r="G979" i="1"/>
  <c r="F979" i="1"/>
  <c r="AE978" i="1"/>
  <c r="AD978" i="1"/>
  <c r="AC978" i="1"/>
  <c r="AB978" i="1"/>
  <c r="AA978" i="1"/>
  <c r="AF978" i="1" s="1"/>
  <c r="X978" i="1"/>
  <c r="W978" i="1"/>
  <c r="V978" i="1"/>
  <c r="U978" i="1"/>
  <c r="T978" i="1"/>
  <c r="Y978" i="1" s="1"/>
  <c r="G978" i="1"/>
  <c r="F978" i="1"/>
  <c r="AE977" i="1"/>
  <c r="AD977" i="1"/>
  <c r="AC977" i="1"/>
  <c r="AB977" i="1"/>
  <c r="AA977" i="1"/>
  <c r="AF977" i="1" s="1"/>
  <c r="X977" i="1"/>
  <c r="W977" i="1"/>
  <c r="V977" i="1"/>
  <c r="U977" i="1"/>
  <c r="T977" i="1"/>
  <c r="Y977" i="1" s="1"/>
  <c r="G977" i="1"/>
  <c r="F977" i="1"/>
  <c r="AE976" i="1"/>
  <c r="AE980" i="1" s="1"/>
  <c r="AD976" i="1"/>
  <c r="AD980" i="1" s="1"/>
  <c r="AC976" i="1"/>
  <c r="AC980" i="1" s="1"/>
  <c r="AB976" i="1"/>
  <c r="AB980" i="1" s="1"/>
  <c r="AA976" i="1"/>
  <c r="AF976" i="1" s="1"/>
  <c r="AF980" i="1" s="1"/>
  <c r="X976" i="1"/>
  <c r="X980" i="1" s="1"/>
  <c r="W976" i="1"/>
  <c r="W980" i="1" s="1"/>
  <c r="V976" i="1"/>
  <c r="V980" i="1" s="1"/>
  <c r="U976" i="1"/>
  <c r="U980" i="1" s="1"/>
  <c r="T976" i="1"/>
  <c r="T980" i="1" s="1"/>
  <c r="F976" i="1"/>
  <c r="F975" i="1"/>
  <c r="P974" i="1"/>
  <c r="M974" i="1"/>
  <c r="L974" i="1"/>
  <c r="G963" i="1"/>
  <c r="G976" i="1" s="1"/>
  <c r="AE945" i="1"/>
  <c r="AD945" i="1"/>
  <c r="AC945" i="1"/>
  <c r="AB945" i="1"/>
  <c r="AA945" i="1"/>
  <c r="AF945" i="1" s="1"/>
  <c r="X945" i="1"/>
  <c r="W945" i="1"/>
  <c r="V945" i="1"/>
  <c r="U945" i="1"/>
  <c r="T945" i="1"/>
  <c r="Y945" i="1" s="1"/>
  <c r="G945" i="1"/>
  <c r="F945" i="1"/>
  <c r="AE944" i="1"/>
  <c r="AD944" i="1"/>
  <c r="AC944" i="1"/>
  <c r="AB944" i="1"/>
  <c r="AA944" i="1"/>
  <c r="AF944" i="1" s="1"/>
  <c r="X944" i="1"/>
  <c r="W944" i="1"/>
  <c r="V944" i="1"/>
  <c r="U944" i="1"/>
  <c r="T944" i="1"/>
  <c r="Y944" i="1" s="1"/>
  <c r="G944" i="1"/>
  <c r="F944" i="1"/>
  <c r="AE943" i="1"/>
  <c r="AD943" i="1"/>
  <c r="AC943" i="1"/>
  <c r="AB943" i="1"/>
  <c r="AA943" i="1"/>
  <c r="AF943" i="1" s="1"/>
  <c r="X943" i="1"/>
  <c r="W943" i="1"/>
  <c r="V943" i="1"/>
  <c r="U943" i="1"/>
  <c r="T943" i="1"/>
  <c r="Y943" i="1" s="1"/>
  <c r="G943" i="1"/>
  <c r="F943" i="1"/>
  <c r="AE942" i="1"/>
  <c r="AE946" i="1" s="1"/>
  <c r="AD942" i="1"/>
  <c r="AD946" i="1" s="1"/>
  <c r="AC942" i="1"/>
  <c r="AC946" i="1" s="1"/>
  <c r="AB942" i="1"/>
  <c r="AB946" i="1" s="1"/>
  <c r="AA942" i="1"/>
  <c r="AA946" i="1" s="1"/>
  <c r="X942" i="1"/>
  <c r="X946" i="1" s="1"/>
  <c r="W942" i="1"/>
  <c r="W946" i="1" s="1"/>
  <c r="V942" i="1"/>
  <c r="V946" i="1" s="1"/>
  <c r="U942" i="1"/>
  <c r="U946" i="1" s="1"/>
  <c r="T942" i="1"/>
  <c r="Y942" i="1" s="1"/>
  <c r="Y946" i="1" s="1"/>
  <c r="G942" i="1"/>
  <c r="F942" i="1"/>
  <c r="G941" i="1"/>
  <c r="F941" i="1"/>
  <c r="P940" i="1"/>
  <c r="M940" i="1"/>
  <c r="L940" i="1"/>
  <c r="AE921" i="1"/>
  <c r="AD921" i="1"/>
  <c r="AC921" i="1"/>
  <c r="AB921" i="1"/>
  <c r="AF921" i="1" s="1"/>
  <c r="AA921" i="1"/>
  <c r="X921" i="1"/>
  <c r="W921" i="1"/>
  <c r="V921" i="1"/>
  <c r="U921" i="1"/>
  <c r="G921" i="1"/>
  <c r="F921" i="1"/>
  <c r="AE920" i="1"/>
  <c r="AD920" i="1"/>
  <c r="AC920" i="1"/>
  <c r="AB920" i="1"/>
  <c r="AF920" i="1" s="1"/>
  <c r="AA920" i="1"/>
  <c r="X920" i="1"/>
  <c r="W920" i="1"/>
  <c r="V920" i="1"/>
  <c r="U920" i="1"/>
  <c r="Y920" i="1" s="1"/>
  <c r="T920" i="1"/>
  <c r="G920" i="1"/>
  <c r="F920" i="1"/>
  <c r="AE919" i="1"/>
  <c r="AD919" i="1"/>
  <c r="AC919" i="1"/>
  <c r="AB919" i="1"/>
  <c r="AF919" i="1" s="1"/>
  <c r="AA919" i="1"/>
  <c r="X919" i="1"/>
  <c r="W919" i="1"/>
  <c r="V919" i="1"/>
  <c r="U919" i="1"/>
  <c r="Y919" i="1" s="1"/>
  <c r="T919" i="1"/>
  <c r="G919" i="1"/>
  <c r="F919" i="1"/>
  <c r="AE918" i="1"/>
  <c r="AE922" i="1" s="1"/>
  <c r="AD918" i="1"/>
  <c r="AD922" i="1" s="1"/>
  <c r="AC918" i="1"/>
  <c r="AC922" i="1" s="1"/>
  <c r="AB918" i="1"/>
  <c r="AB922" i="1" s="1"/>
  <c r="AA918" i="1"/>
  <c r="AA922" i="1" s="1"/>
  <c r="X918" i="1"/>
  <c r="X922" i="1" s="1"/>
  <c r="W918" i="1"/>
  <c r="W922" i="1" s="1"/>
  <c r="V918" i="1"/>
  <c r="V922" i="1" s="1"/>
  <c r="U918" i="1"/>
  <c r="Y918" i="1" s="1"/>
  <c r="T918" i="1"/>
  <c r="G918" i="1"/>
  <c r="G917" i="1"/>
  <c r="P916" i="1"/>
  <c r="M916" i="1"/>
  <c r="L916" i="1"/>
  <c r="F915" i="1"/>
  <c r="F914" i="1"/>
  <c r="F913" i="1"/>
  <c r="F912" i="1"/>
  <c r="T921" i="1" s="1"/>
  <c r="Y921" i="1" s="1"/>
  <c r="AE900" i="1"/>
  <c r="AD900" i="1"/>
  <c r="AC900" i="1"/>
  <c r="AB900" i="1"/>
  <c r="AA900" i="1"/>
  <c r="AF900" i="1" s="1"/>
  <c r="X900" i="1"/>
  <c r="W900" i="1"/>
  <c r="V900" i="1"/>
  <c r="U900" i="1"/>
  <c r="T900" i="1"/>
  <c r="Y900" i="1" s="1"/>
  <c r="G900" i="1"/>
  <c r="F900" i="1"/>
  <c r="AE899" i="1"/>
  <c r="AD899" i="1"/>
  <c r="AC899" i="1"/>
  <c r="AB899" i="1"/>
  <c r="AA899" i="1"/>
  <c r="AF899" i="1" s="1"/>
  <c r="X899" i="1"/>
  <c r="W899" i="1"/>
  <c r="V899" i="1"/>
  <c r="U899" i="1"/>
  <c r="T899" i="1"/>
  <c r="Y899" i="1" s="1"/>
  <c r="G899" i="1"/>
  <c r="F899" i="1"/>
  <c r="AE898" i="1"/>
  <c r="AD898" i="1"/>
  <c r="AC898" i="1"/>
  <c r="AB898" i="1"/>
  <c r="AA898" i="1"/>
  <c r="AF898" i="1" s="1"/>
  <c r="X898" i="1"/>
  <c r="W898" i="1"/>
  <c r="V898" i="1"/>
  <c r="U898" i="1"/>
  <c r="T898" i="1"/>
  <c r="Y898" i="1" s="1"/>
  <c r="G898" i="1"/>
  <c r="F898" i="1"/>
  <c r="AE897" i="1"/>
  <c r="AE901" i="1" s="1"/>
  <c r="AD897" i="1"/>
  <c r="AD901" i="1" s="1"/>
  <c r="AC897" i="1"/>
  <c r="AC901" i="1" s="1"/>
  <c r="AB897" i="1"/>
  <c r="AB901" i="1" s="1"/>
  <c r="AA897" i="1"/>
  <c r="AF897" i="1" s="1"/>
  <c r="AF901" i="1" s="1"/>
  <c r="X897" i="1"/>
  <c r="X901" i="1" s="1"/>
  <c r="W897" i="1"/>
  <c r="W901" i="1" s="1"/>
  <c r="V897" i="1"/>
  <c r="V901" i="1" s="1"/>
  <c r="U897" i="1"/>
  <c r="U901" i="1" s="1"/>
  <c r="T897" i="1"/>
  <c r="T901" i="1" s="1"/>
  <c r="F897" i="1"/>
  <c r="F896" i="1"/>
  <c r="P895" i="1"/>
  <c r="M895" i="1"/>
  <c r="L895" i="1"/>
  <c r="G890" i="1"/>
  <c r="G883" i="1"/>
  <c r="G897" i="1" s="1"/>
  <c r="AE868" i="1"/>
  <c r="AD868" i="1"/>
  <c r="AC868" i="1"/>
  <c r="AB868" i="1"/>
  <c r="AF868" i="1" s="1"/>
  <c r="AA868" i="1"/>
  <c r="X868" i="1"/>
  <c r="W868" i="1"/>
  <c r="V868" i="1"/>
  <c r="U868" i="1"/>
  <c r="Y868" i="1" s="1"/>
  <c r="T868" i="1"/>
  <c r="G868" i="1"/>
  <c r="F868" i="1"/>
  <c r="AE867" i="1"/>
  <c r="AD867" i="1"/>
  <c r="AC867" i="1"/>
  <c r="AB867" i="1"/>
  <c r="AF867" i="1" s="1"/>
  <c r="AA867" i="1"/>
  <c r="X867" i="1"/>
  <c r="W867" i="1"/>
  <c r="V867" i="1"/>
  <c r="U867" i="1"/>
  <c r="Y867" i="1" s="1"/>
  <c r="T867" i="1"/>
  <c r="G867" i="1"/>
  <c r="F867" i="1"/>
  <c r="AE866" i="1"/>
  <c r="AD866" i="1"/>
  <c r="AC866" i="1"/>
  <c r="AB866" i="1"/>
  <c r="AF866" i="1" s="1"/>
  <c r="AA866" i="1"/>
  <c r="X866" i="1"/>
  <c r="W866" i="1"/>
  <c r="V866" i="1"/>
  <c r="U866" i="1"/>
  <c r="Y866" i="1" s="1"/>
  <c r="T866" i="1"/>
  <c r="G866" i="1"/>
  <c r="F866" i="1"/>
  <c r="AE865" i="1"/>
  <c r="AE869" i="1" s="1"/>
  <c r="AD865" i="1"/>
  <c r="AD869" i="1" s="1"/>
  <c r="AC865" i="1"/>
  <c r="AC869" i="1" s="1"/>
  <c r="AB865" i="1"/>
  <c r="AB869" i="1" s="1"/>
  <c r="AA865" i="1"/>
  <c r="AA869" i="1" s="1"/>
  <c r="X865" i="1"/>
  <c r="X869" i="1" s="1"/>
  <c r="W865" i="1"/>
  <c r="W869" i="1" s="1"/>
  <c r="V865" i="1"/>
  <c r="V869" i="1" s="1"/>
  <c r="U865" i="1"/>
  <c r="Y865" i="1" s="1"/>
  <c r="Y869" i="1" s="1"/>
  <c r="T865" i="1"/>
  <c r="T869" i="1" s="1"/>
  <c r="G865" i="1"/>
  <c r="F865" i="1"/>
  <c r="G864" i="1"/>
  <c r="F864" i="1"/>
  <c r="P863" i="1"/>
  <c r="M863" i="1"/>
  <c r="L863" i="1"/>
  <c r="AE825" i="1"/>
  <c r="AD825" i="1"/>
  <c r="AC825" i="1"/>
  <c r="AB825" i="1"/>
  <c r="AA825" i="1"/>
  <c r="AF825" i="1" s="1"/>
  <c r="X825" i="1"/>
  <c r="W825" i="1"/>
  <c r="V825" i="1"/>
  <c r="U825" i="1"/>
  <c r="T825" i="1"/>
  <c r="Y825" i="1" s="1"/>
  <c r="G825" i="1"/>
  <c r="F825" i="1"/>
  <c r="AE824" i="1"/>
  <c r="AD824" i="1"/>
  <c r="AC824" i="1"/>
  <c r="AB824" i="1"/>
  <c r="AF824" i="1" s="1"/>
  <c r="AA824" i="1"/>
  <c r="X824" i="1"/>
  <c r="W824" i="1"/>
  <c r="V824" i="1"/>
  <c r="U824" i="1"/>
  <c r="T824" i="1"/>
  <c r="Y824" i="1" s="1"/>
  <c r="G824" i="1"/>
  <c r="F824" i="1"/>
  <c r="AE823" i="1"/>
  <c r="AD823" i="1"/>
  <c r="AC823" i="1"/>
  <c r="AB823" i="1"/>
  <c r="AA823" i="1"/>
  <c r="AF823" i="1" s="1"/>
  <c r="X823" i="1"/>
  <c r="W823" i="1"/>
  <c r="V823" i="1"/>
  <c r="U823" i="1"/>
  <c r="Y823" i="1" s="1"/>
  <c r="T823" i="1"/>
  <c r="G823" i="1"/>
  <c r="F823" i="1"/>
  <c r="AE822" i="1"/>
  <c r="AE826" i="1" s="1"/>
  <c r="AD822" i="1"/>
  <c r="AD826" i="1" s="1"/>
  <c r="AC822" i="1"/>
  <c r="AC826" i="1" s="1"/>
  <c r="AB822" i="1"/>
  <c r="AF822" i="1" s="1"/>
  <c r="AF826" i="1" s="1"/>
  <c r="AA822" i="1"/>
  <c r="AA826" i="1" s="1"/>
  <c r="X822" i="1"/>
  <c r="X826" i="1" s="1"/>
  <c r="W822" i="1"/>
  <c r="W826" i="1" s="1"/>
  <c r="V822" i="1"/>
  <c r="V826" i="1" s="1"/>
  <c r="U822" i="1"/>
  <c r="U826" i="1" s="1"/>
  <c r="T822" i="1"/>
  <c r="T826" i="1" s="1"/>
  <c r="G822" i="1"/>
  <c r="F822" i="1"/>
  <c r="G821" i="1"/>
  <c r="F821" i="1"/>
  <c r="P820" i="1"/>
  <c r="M820" i="1"/>
  <c r="L820" i="1"/>
  <c r="AE790" i="1"/>
  <c r="AD790" i="1"/>
  <c r="AC790" i="1"/>
  <c r="AB790" i="1"/>
  <c r="AA790" i="1"/>
  <c r="AF790" i="1" s="1"/>
  <c r="X790" i="1"/>
  <c r="W790" i="1"/>
  <c r="V790" i="1"/>
  <c r="U790" i="1"/>
  <c r="Y790" i="1" s="1"/>
  <c r="T790" i="1"/>
  <c r="G790" i="1"/>
  <c r="F790" i="1"/>
  <c r="AE789" i="1"/>
  <c r="AD789" i="1"/>
  <c r="AC789" i="1"/>
  <c r="AB789" i="1"/>
  <c r="AF789" i="1" s="1"/>
  <c r="AA789" i="1"/>
  <c r="X789" i="1"/>
  <c r="W789" i="1"/>
  <c r="V789" i="1"/>
  <c r="U789" i="1"/>
  <c r="T789" i="1"/>
  <c r="Y789" i="1" s="1"/>
  <c r="F789" i="1"/>
  <c r="AE788" i="1"/>
  <c r="AD788" i="1"/>
  <c r="AC788" i="1"/>
  <c r="AB788" i="1"/>
  <c r="AA788" i="1"/>
  <c r="AF788" i="1" s="1"/>
  <c r="X788" i="1"/>
  <c r="W788" i="1"/>
  <c r="V788" i="1"/>
  <c r="U788" i="1"/>
  <c r="Y788" i="1" s="1"/>
  <c r="T788" i="1"/>
  <c r="G788" i="1"/>
  <c r="F788" i="1"/>
  <c r="AE787" i="1"/>
  <c r="AE791" i="1" s="1"/>
  <c r="AD787" i="1"/>
  <c r="AD791" i="1" s="1"/>
  <c r="AC787" i="1"/>
  <c r="AC791" i="1" s="1"/>
  <c r="AB787" i="1"/>
  <c r="AB791" i="1" s="1"/>
  <c r="AA787" i="1"/>
  <c r="AA791" i="1" s="1"/>
  <c r="X787" i="1"/>
  <c r="X791" i="1" s="1"/>
  <c r="W787" i="1"/>
  <c r="W791" i="1" s="1"/>
  <c r="V787" i="1"/>
  <c r="V791" i="1" s="1"/>
  <c r="U787" i="1"/>
  <c r="U791" i="1" s="1"/>
  <c r="T787" i="1"/>
  <c r="T791" i="1" s="1"/>
  <c r="G787" i="1"/>
  <c r="F787" i="1"/>
  <c r="F786" i="1"/>
  <c r="P785" i="1"/>
  <c r="M785" i="1"/>
  <c r="L785" i="1"/>
  <c r="G778" i="1"/>
  <c r="G777" i="1"/>
  <c r="G776" i="1"/>
  <c r="G775" i="1"/>
  <c r="G774" i="1"/>
  <c r="G789" i="1" s="1"/>
  <c r="E774" i="1"/>
  <c r="D775" i="1" s="1"/>
  <c r="E775" i="1" s="1"/>
  <c r="D776" i="1" s="1"/>
  <c r="E776" i="1" s="1"/>
  <c r="D777" i="1" s="1"/>
  <c r="E777" i="1" s="1"/>
  <c r="D778" i="1" s="1"/>
  <c r="E778" i="1" s="1"/>
  <c r="AE764" i="1"/>
  <c r="AC764" i="1"/>
  <c r="AB764" i="1"/>
  <c r="AA764" i="1"/>
  <c r="X764" i="1"/>
  <c r="V764" i="1"/>
  <c r="U764" i="1"/>
  <c r="T764" i="1"/>
  <c r="G764" i="1"/>
  <c r="F764" i="1"/>
  <c r="AE763" i="1"/>
  <c r="AD763" i="1"/>
  <c r="AC763" i="1"/>
  <c r="AB763" i="1"/>
  <c r="AA763" i="1"/>
  <c r="AF763" i="1" s="1"/>
  <c r="X763" i="1"/>
  <c r="W763" i="1"/>
  <c r="V763" i="1"/>
  <c r="U763" i="1"/>
  <c r="T763" i="1"/>
  <c r="Y763" i="1" s="1"/>
  <c r="AE762" i="1"/>
  <c r="AD762" i="1"/>
  <c r="AC762" i="1"/>
  <c r="AB762" i="1"/>
  <c r="AA762" i="1"/>
  <c r="AF762" i="1" s="1"/>
  <c r="X762" i="1"/>
  <c r="W762" i="1"/>
  <c r="V762" i="1"/>
  <c r="U762" i="1"/>
  <c r="T762" i="1"/>
  <c r="Y762" i="1" s="1"/>
  <c r="G762" i="1"/>
  <c r="F762" i="1"/>
  <c r="AE761" i="1"/>
  <c r="AE765" i="1" s="1"/>
  <c r="AD761" i="1"/>
  <c r="AC761" i="1"/>
  <c r="AC765" i="1" s="1"/>
  <c r="AB761" i="1"/>
  <c r="AB765" i="1" s="1"/>
  <c r="AA761" i="1"/>
  <c r="AF761" i="1" s="1"/>
  <c r="X761" i="1"/>
  <c r="X765" i="1" s="1"/>
  <c r="W761" i="1"/>
  <c r="V761" i="1"/>
  <c r="V765" i="1" s="1"/>
  <c r="U761" i="1"/>
  <c r="U765" i="1" s="1"/>
  <c r="T761" i="1"/>
  <c r="T765" i="1" s="1"/>
  <c r="G761" i="1"/>
  <c r="F761" i="1"/>
  <c r="P759" i="1"/>
  <c r="M759" i="1"/>
  <c r="L759" i="1"/>
  <c r="G754" i="1"/>
  <c r="G750" i="1"/>
  <c r="G745" i="1"/>
  <c r="G744" i="1"/>
  <c r="G742" i="1"/>
  <c r="G741" i="1"/>
  <c r="G739" i="1"/>
  <c r="G733" i="1"/>
  <c r="G730" i="1"/>
  <c r="E730" i="1"/>
  <c r="F730" i="1" s="1"/>
  <c r="AD764" i="1" s="1"/>
  <c r="D730" i="1"/>
  <c r="F726" i="1"/>
  <c r="F763" i="1" s="1"/>
  <c r="E724" i="1"/>
  <c r="G723" i="1"/>
  <c r="G722" i="1"/>
  <c r="E722" i="1"/>
  <c r="G721" i="1"/>
  <c r="E720" i="1"/>
  <c r="G719" i="1"/>
  <c r="G718" i="1"/>
  <c r="E718" i="1"/>
  <c r="G717" i="1"/>
  <c r="G716" i="1"/>
  <c r="E716" i="1"/>
  <c r="G715" i="1"/>
  <c r="G714" i="1"/>
  <c r="G763" i="1" s="1"/>
  <c r="AE700" i="1"/>
  <c r="AD700" i="1"/>
  <c r="AC700" i="1"/>
  <c r="AB700" i="1"/>
  <c r="AA700" i="1"/>
  <c r="AF700" i="1" s="1"/>
  <c r="X700" i="1"/>
  <c r="W700" i="1"/>
  <c r="V700" i="1"/>
  <c r="U700" i="1"/>
  <c r="T700" i="1"/>
  <c r="Y700" i="1" s="1"/>
  <c r="G700" i="1"/>
  <c r="F700" i="1"/>
  <c r="AE699" i="1"/>
  <c r="AD699" i="1"/>
  <c r="AC699" i="1"/>
  <c r="AB699" i="1"/>
  <c r="AA699" i="1"/>
  <c r="AF699" i="1" s="1"/>
  <c r="X699" i="1"/>
  <c r="W699" i="1"/>
  <c r="V699" i="1"/>
  <c r="U699" i="1"/>
  <c r="T699" i="1"/>
  <c r="Y699" i="1" s="1"/>
  <c r="G699" i="1"/>
  <c r="F699" i="1"/>
  <c r="AE698" i="1"/>
  <c r="AD698" i="1"/>
  <c r="AC698" i="1"/>
  <c r="AB698" i="1"/>
  <c r="AA698" i="1"/>
  <c r="AF698" i="1" s="1"/>
  <c r="X698" i="1"/>
  <c r="W698" i="1"/>
  <c r="V698" i="1"/>
  <c r="U698" i="1"/>
  <c r="T698" i="1"/>
  <c r="Y698" i="1" s="1"/>
  <c r="G698" i="1"/>
  <c r="F698" i="1"/>
  <c r="AE697" i="1"/>
  <c r="AE701" i="1" s="1"/>
  <c r="AD697" i="1"/>
  <c r="AD701" i="1" s="1"/>
  <c r="AC697" i="1"/>
  <c r="AC701" i="1" s="1"/>
  <c r="AB697" i="1"/>
  <c r="AB701" i="1" s="1"/>
  <c r="AA697" i="1"/>
  <c r="AF697" i="1" s="1"/>
  <c r="AF701" i="1" s="1"/>
  <c r="X697" i="1"/>
  <c r="X701" i="1" s="1"/>
  <c r="W697" i="1"/>
  <c r="W701" i="1" s="1"/>
  <c r="V697" i="1"/>
  <c r="V701" i="1" s="1"/>
  <c r="U697" i="1"/>
  <c r="U701" i="1" s="1"/>
  <c r="T697" i="1"/>
  <c r="T701" i="1" s="1"/>
  <c r="G697" i="1"/>
  <c r="F697" i="1"/>
  <c r="G696" i="1"/>
  <c r="F696" i="1"/>
  <c r="P695" i="1"/>
  <c r="M695" i="1"/>
  <c r="L695" i="1"/>
  <c r="AE681" i="1"/>
  <c r="AD681" i="1"/>
  <c r="AC681" i="1"/>
  <c r="AB681" i="1"/>
  <c r="AA681" i="1"/>
  <c r="AF681" i="1" s="1"/>
  <c r="X681" i="1"/>
  <c r="W681" i="1"/>
  <c r="V681" i="1"/>
  <c r="U681" i="1"/>
  <c r="Y681" i="1" s="1"/>
  <c r="T681" i="1"/>
  <c r="G681" i="1"/>
  <c r="F681" i="1"/>
  <c r="AE680" i="1"/>
  <c r="AD680" i="1"/>
  <c r="AC680" i="1"/>
  <c r="AB680" i="1"/>
  <c r="AF680" i="1" s="1"/>
  <c r="AA680" i="1"/>
  <c r="X680" i="1"/>
  <c r="W680" i="1"/>
  <c r="V680" i="1"/>
  <c r="U680" i="1"/>
  <c r="T680" i="1"/>
  <c r="Y680" i="1" s="1"/>
  <c r="G680" i="1"/>
  <c r="F680" i="1"/>
  <c r="AE679" i="1"/>
  <c r="AD679" i="1"/>
  <c r="AC679" i="1"/>
  <c r="AB679" i="1"/>
  <c r="AA679" i="1"/>
  <c r="AF679" i="1" s="1"/>
  <c r="X679" i="1"/>
  <c r="W679" i="1"/>
  <c r="V679" i="1"/>
  <c r="U679" i="1"/>
  <c r="Y679" i="1" s="1"/>
  <c r="T679" i="1"/>
  <c r="G679" i="1"/>
  <c r="F679" i="1"/>
  <c r="AE678" i="1"/>
  <c r="AE682" i="1" s="1"/>
  <c r="AD678" i="1"/>
  <c r="AD682" i="1" s="1"/>
  <c r="AC678" i="1"/>
  <c r="AC682" i="1" s="1"/>
  <c r="AB678" i="1"/>
  <c r="AB682" i="1" s="1"/>
  <c r="AA678" i="1"/>
  <c r="AA682" i="1" s="1"/>
  <c r="X678" i="1"/>
  <c r="X682" i="1" s="1"/>
  <c r="W678" i="1"/>
  <c r="W682" i="1" s="1"/>
  <c r="V678" i="1"/>
  <c r="V682" i="1" s="1"/>
  <c r="U678" i="1"/>
  <c r="U682" i="1" s="1"/>
  <c r="T678" i="1"/>
  <c r="T682" i="1" s="1"/>
  <c r="G678" i="1"/>
  <c r="F678" i="1"/>
  <c r="P677" i="1"/>
  <c r="M677" i="1"/>
  <c r="L677" i="1"/>
  <c r="G677" i="1"/>
  <c r="F677" i="1"/>
  <c r="AE608" i="1"/>
  <c r="AD608" i="1"/>
  <c r="AC608" i="1"/>
  <c r="AB608" i="1"/>
  <c r="AA608" i="1"/>
  <c r="AF608" i="1" s="1"/>
  <c r="X608" i="1"/>
  <c r="W608" i="1"/>
  <c r="V608" i="1"/>
  <c r="U608" i="1"/>
  <c r="T608" i="1"/>
  <c r="Y608" i="1" s="1"/>
  <c r="AE607" i="1"/>
  <c r="AD607" i="1"/>
  <c r="AC607" i="1"/>
  <c r="AB607" i="1"/>
  <c r="AA607" i="1"/>
  <c r="AF607" i="1" s="1"/>
  <c r="X607" i="1"/>
  <c r="W607" i="1"/>
  <c r="V607" i="1"/>
  <c r="U607" i="1"/>
  <c r="T607" i="1"/>
  <c r="Y607" i="1" s="1"/>
  <c r="AE606" i="1"/>
  <c r="AD606" i="1"/>
  <c r="AC606" i="1"/>
  <c r="AB606" i="1"/>
  <c r="AA606" i="1"/>
  <c r="AF606" i="1" s="1"/>
  <c r="X606" i="1"/>
  <c r="W606" i="1"/>
  <c r="V606" i="1"/>
  <c r="U606" i="1"/>
  <c r="T606" i="1"/>
  <c r="Y606" i="1" s="1"/>
  <c r="G606" i="1"/>
  <c r="F606" i="1"/>
  <c r="AE605" i="1"/>
  <c r="AE609" i="1" s="1"/>
  <c r="AD605" i="1"/>
  <c r="AD609" i="1" s="1"/>
  <c r="AC605" i="1"/>
  <c r="AC609" i="1" s="1"/>
  <c r="AB605" i="1"/>
  <c r="AB609" i="1" s="1"/>
  <c r="AA605" i="1"/>
  <c r="AA609" i="1" s="1"/>
  <c r="X605" i="1"/>
  <c r="X609" i="1" s="1"/>
  <c r="W605" i="1"/>
  <c r="W609" i="1" s="1"/>
  <c r="V605" i="1"/>
  <c r="V609" i="1" s="1"/>
  <c r="U605" i="1"/>
  <c r="U609" i="1" s="1"/>
  <c r="T605" i="1"/>
  <c r="Y605" i="1" s="1"/>
  <c r="Y609" i="1" s="1"/>
  <c r="G604" i="1"/>
  <c r="F604" i="1"/>
  <c r="P603" i="1"/>
  <c r="M603" i="1"/>
  <c r="L603" i="1"/>
  <c r="G603" i="1"/>
  <c r="F603" i="1"/>
  <c r="E597" i="1"/>
  <c r="D597" i="1"/>
  <c r="AE584" i="1"/>
  <c r="AD584" i="1"/>
  <c r="AC584" i="1"/>
  <c r="AB584" i="1"/>
  <c r="AA584" i="1"/>
  <c r="AF584" i="1" s="1"/>
  <c r="X584" i="1"/>
  <c r="W584" i="1"/>
  <c r="V584" i="1"/>
  <c r="U584" i="1"/>
  <c r="Y584" i="1" s="1"/>
  <c r="T584" i="1"/>
  <c r="AE583" i="1"/>
  <c r="AD583" i="1"/>
  <c r="AC583" i="1"/>
  <c r="AB583" i="1"/>
  <c r="AA583" i="1"/>
  <c r="AF583" i="1" s="1"/>
  <c r="X583" i="1"/>
  <c r="W583" i="1"/>
  <c r="V583" i="1"/>
  <c r="U583" i="1"/>
  <c r="Y583" i="1" s="1"/>
  <c r="T583" i="1"/>
  <c r="AE582" i="1"/>
  <c r="AD582" i="1"/>
  <c r="AC582" i="1"/>
  <c r="AB582" i="1"/>
  <c r="AA582" i="1"/>
  <c r="AF582" i="1" s="1"/>
  <c r="X582" i="1"/>
  <c r="W582" i="1"/>
  <c r="V582" i="1"/>
  <c r="U582" i="1"/>
  <c r="Y582" i="1" s="1"/>
  <c r="T582" i="1"/>
  <c r="G582" i="1"/>
  <c r="F582" i="1"/>
  <c r="AE581" i="1"/>
  <c r="AE585" i="1" s="1"/>
  <c r="AD581" i="1"/>
  <c r="AD585" i="1" s="1"/>
  <c r="AC581" i="1"/>
  <c r="AC585" i="1" s="1"/>
  <c r="AB581" i="1"/>
  <c r="AF581" i="1" s="1"/>
  <c r="AA581" i="1"/>
  <c r="AA585" i="1" s="1"/>
  <c r="X581" i="1"/>
  <c r="X585" i="1" s="1"/>
  <c r="W581" i="1"/>
  <c r="W585" i="1" s="1"/>
  <c r="V581" i="1"/>
  <c r="V585" i="1" s="1"/>
  <c r="U581" i="1"/>
  <c r="U585" i="1" s="1"/>
  <c r="T581" i="1"/>
  <c r="T585" i="1" s="1"/>
  <c r="G580" i="1"/>
  <c r="F580" i="1"/>
  <c r="P579" i="1"/>
  <c r="M579" i="1"/>
  <c r="L579" i="1"/>
  <c r="G579" i="1"/>
  <c r="F579" i="1"/>
  <c r="AE570" i="1"/>
  <c r="AD570" i="1"/>
  <c r="AC570" i="1"/>
  <c r="AB570" i="1"/>
  <c r="AA570" i="1"/>
  <c r="AF570" i="1" s="1"/>
  <c r="X570" i="1"/>
  <c r="V570" i="1"/>
  <c r="U570" i="1"/>
  <c r="T570" i="1"/>
  <c r="AE569" i="1"/>
  <c r="AD569" i="1"/>
  <c r="AC569" i="1"/>
  <c r="AB569" i="1"/>
  <c r="AA569" i="1"/>
  <c r="AF569" i="1" s="1"/>
  <c r="X569" i="1"/>
  <c r="W569" i="1"/>
  <c r="V569" i="1"/>
  <c r="U569" i="1"/>
  <c r="T569" i="1"/>
  <c r="Y569" i="1" s="1"/>
  <c r="G569" i="1"/>
  <c r="F569" i="1"/>
  <c r="AE568" i="1"/>
  <c r="AD568" i="1"/>
  <c r="AC568" i="1"/>
  <c r="AB568" i="1"/>
  <c r="AA568" i="1"/>
  <c r="AF568" i="1" s="1"/>
  <c r="X568" i="1"/>
  <c r="W568" i="1"/>
  <c r="V568" i="1"/>
  <c r="U568" i="1"/>
  <c r="T568" i="1"/>
  <c r="Y568" i="1" s="1"/>
  <c r="G568" i="1"/>
  <c r="AE567" i="1"/>
  <c r="AE571" i="1" s="1"/>
  <c r="AD567" i="1"/>
  <c r="AD571" i="1" s="1"/>
  <c r="AC567" i="1"/>
  <c r="AC571" i="1" s="1"/>
  <c r="AB567" i="1"/>
  <c r="AB571" i="1" s="1"/>
  <c r="AA567" i="1"/>
  <c r="AA571" i="1" s="1"/>
  <c r="X567" i="1"/>
  <c r="X571" i="1" s="1"/>
  <c r="W567" i="1"/>
  <c r="V567" i="1"/>
  <c r="V571" i="1" s="1"/>
  <c r="U567" i="1"/>
  <c r="U571" i="1" s="1"/>
  <c r="T567" i="1"/>
  <c r="T571" i="1" s="1"/>
  <c r="G567" i="1"/>
  <c r="F567" i="1"/>
  <c r="G566" i="1"/>
  <c r="F566" i="1"/>
  <c r="P565" i="1"/>
  <c r="M565" i="1"/>
  <c r="L565" i="1"/>
  <c r="G565" i="1"/>
  <c r="F508" i="1"/>
  <c r="F568" i="1" s="1"/>
  <c r="AE501" i="1"/>
  <c r="AD501" i="1"/>
  <c r="AC501" i="1"/>
  <c r="AB501" i="1"/>
  <c r="AA501" i="1"/>
  <c r="AF501" i="1" s="1"/>
  <c r="X501" i="1"/>
  <c r="W501" i="1"/>
  <c r="V501" i="1"/>
  <c r="U501" i="1"/>
  <c r="T501" i="1"/>
  <c r="Y501" i="1" s="1"/>
  <c r="AE500" i="1"/>
  <c r="AD500" i="1"/>
  <c r="AC500" i="1"/>
  <c r="AB500" i="1"/>
  <c r="AA500" i="1"/>
  <c r="AF500" i="1" s="1"/>
  <c r="X500" i="1"/>
  <c r="W500" i="1"/>
  <c r="V500" i="1"/>
  <c r="U500" i="1"/>
  <c r="T500" i="1"/>
  <c r="Y500" i="1" s="1"/>
  <c r="G500" i="1"/>
  <c r="F500" i="1"/>
  <c r="AE499" i="1"/>
  <c r="AD499" i="1"/>
  <c r="AC499" i="1"/>
  <c r="AB499" i="1"/>
  <c r="AA499" i="1"/>
  <c r="AF499" i="1" s="1"/>
  <c r="X499" i="1"/>
  <c r="W499" i="1"/>
  <c r="V499" i="1"/>
  <c r="U499" i="1"/>
  <c r="T499" i="1"/>
  <c r="Y499" i="1" s="1"/>
  <c r="G499" i="1"/>
  <c r="F499" i="1"/>
  <c r="AE498" i="1"/>
  <c r="AE502" i="1" s="1"/>
  <c r="AD498" i="1"/>
  <c r="AD502" i="1" s="1"/>
  <c r="AC498" i="1"/>
  <c r="AC502" i="1" s="1"/>
  <c r="AB498" i="1"/>
  <c r="AB502" i="1" s="1"/>
  <c r="AA498" i="1"/>
  <c r="AF498" i="1" s="1"/>
  <c r="AF502" i="1" s="1"/>
  <c r="X498" i="1"/>
  <c r="X502" i="1" s="1"/>
  <c r="W498" i="1"/>
  <c r="W502" i="1" s="1"/>
  <c r="V498" i="1"/>
  <c r="V502" i="1" s="1"/>
  <c r="U498" i="1"/>
  <c r="U502" i="1" s="1"/>
  <c r="T498" i="1"/>
  <c r="T502" i="1" s="1"/>
  <c r="P496" i="1"/>
  <c r="M496" i="1"/>
  <c r="L496" i="1"/>
  <c r="G496" i="1"/>
  <c r="F496" i="1"/>
  <c r="E495" i="1"/>
  <c r="E494" i="1"/>
  <c r="E492" i="1"/>
  <c r="D493" i="1" s="1"/>
  <c r="E493" i="1" s="1"/>
  <c r="D490" i="1"/>
  <c r="E490" i="1" s="1"/>
  <c r="D491" i="1" s="1"/>
  <c r="E491" i="1" s="1"/>
  <c r="E489" i="1"/>
  <c r="E488" i="1"/>
  <c r="E487" i="1"/>
  <c r="E486" i="1"/>
  <c r="D485" i="1"/>
  <c r="E485" i="1" s="1"/>
  <c r="E484" i="1"/>
  <c r="E483" i="1"/>
  <c r="E482" i="1"/>
  <c r="E481" i="1"/>
  <c r="E480" i="1"/>
  <c r="E478" i="1"/>
  <c r="D479" i="1" s="1"/>
  <c r="E479" i="1" s="1"/>
  <c r="E477" i="1"/>
  <c r="E476" i="1"/>
  <c r="D475" i="1"/>
  <c r="E475" i="1" s="1"/>
  <c r="E474" i="1"/>
  <c r="E473" i="1"/>
  <c r="E472" i="1"/>
  <c r="E471" i="1"/>
  <c r="E470" i="1"/>
  <c r="E469" i="1"/>
  <c r="E468" i="1"/>
  <c r="E467" i="1"/>
  <c r="E466" i="1"/>
  <c r="AE459" i="1"/>
  <c r="AD459" i="1"/>
  <c r="AC459" i="1"/>
  <c r="AB459" i="1"/>
  <c r="AF459" i="1" s="1"/>
  <c r="AA459" i="1"/>
  <c r="X459" i="1"/>
  <c r="W459" i="1"/>
  <c r="V459" i="1"/>
  <c r="U459" i="1"/>
  <c r="Y459" i="1" s="1"/>
  <c r="T459" i="1"/>
  <c r="AE458" i="1"/>
  <c r="AD458" i="1"/>
  <c r="AC458" i="1"/>
  <c r="AB458" i="1"/>
  <c r="AF458" i="1" s="1"/>
  <c r="AA458" i="1"/>
  <c r="X458" i="1"/>
  <c r="W458" i="1"/>
  <c r="V458" i="1"/>
  <c r="U458" i="1"/>
  <c r="Y458" i="1" s="1"/>
  <c r="T458" i="1"/>
  <c r="AE457" i="1"/>
  <c r="AD457" i="1"/>
  <c r="AC457" i="1"/>
  <c r="AB457" i="1"/>
  <c r="AF457" i="1" s="1"/>
  <c r="AA457" i="1"/>
  <c r="X457" i="1"/>
  <c r="W457" i="1"/>
  <c r="V457" i="1"/>
  <c r="U457" i="1"/>
  <c r="Y457" i="1" s="1"/>
  <c r="T457" i="1"/>
  <c r="G457" i="1"/>
  <c r="F457" i="1"/>
  <c r="AE456" i="1"/>
  <c r="AE460" i="1" s="1"/>
  <c r="AD456" i="1"/>
  <c r="AD460" i="1" s="1"/>
  <c r="AC456" i="1"/>
  <c r="AC460" i="1" s="1"/>
  <c r="AB456" i="1"/>
  <c r="AF456" i="1" s="1"/>
  <c r="AF460" i="1" s="1"/>
  <c r="AA456" i="1"/>
  <c r="AA460" i="1" s="1"/>
  <c r="X456" i="1"/>
  <c r="X460" i="1" s="1"/>
  <c r="W456" i="1"/>
  <c r="W460" i="1" s="1"/>
  <c r="V456" i="1"/>
  <c r="V460" i="1" s="1"/>
  <c r="U456" i="1"/>
  <c r="U460" i="1" s="1"/>
  <c r="T456" i="1"/>
  <c r="T460" i="1" s="1"/>
  <c r="G455" i="1"/>
  <c r="F455" i="1"/>
  <c r="P454" i="1"/>
  <c r="M454" i="1"/>
  <c r="L454" i="1"/>
  <c r="G454" i="1"/>
  <c r="F454" i="1"/>
  <c r="D453" i="1"/>
  <c r="E453" i="1" s="1"/>
  <c r="E452" i="1"/>
  <c r="E451" i="1"/>
  <c r="E450" i="1"/>
  <c r="E449" i="1"/>
  <c r="D448" i="1"/>
  <c r="E448" i="1" s="1"/>
  <c r="E447" i="1"/>
  <c r="E445" i="1"/>
  <c r="D446" i="1" s="1"/>
  <c r="E446" i="1" s="1"/>
  <c r="E442" i="1"/>
  <c r="E439" i="1"/>
  <c r="D440" i="1" s="1"/>
  <c r="E440" i="1" s="1"/>
  <c r="E438" i="1"/>
  <c r="E436" i="1"/>
  <c r="D437" i="1" s="1"/>
  <c r="E437" i="1" s="1"/>
  <c r="D435" i="1"/>
  <c r="E435" i="1" s="1"/>
  <c r="E434" i="1"/>
  <c r="AE427" i="1"/>
  <c r="AD427" i="1"/>
  <c r="AC427" i="1"/>
  <c r="AB427" i="1"/>
  <c r="AF427" i="1" s="1"/>
  <c r="AA427" i="1"/>
  <c r="X427" i="1"/>
  <c r="W427" i="1"/>
  <c r="V427" i="1"/>
  <c r="U427" i="1"/>
  <c r="Y427" i="1" s="1"/>
  <c r="T427" i="1"/>
  <c r="AE426" i="1"/>
  <c r="AD426" i="1"/>
  <c r="AC426" i="1"/>
  <c r="AB426" i="1"/>
  <c r="AF426" i="1" s="1"/>
  <c r="AA426" i="1"/>
  <c r="X426" i="1"/>
  <c r="W426" i="1"/>
  <c r="V426" i="1"/>
  <c r="U426" i="1"/>
  <c r="Y426" i="1" s="1"/>
  <c r="T426" i="1"/>
  <c r="AE425" i="1"/>
  <c r="AD425" i="1"/>
  <c r="AC425" i="1"/>
  <c r="AB425" i="1"/>
  <c r="AF425" i="1" s="1"/>
  <c r="AA425" i="1"/>
  <c r="X425" i="1"/>
  <c r="W425" i="1"/>
  <c r="V425" i="1"/>
  <c r="U425" i="1"/>
  <c r="Y425" i="1" s="1"/>
  <c r="T425" i="1"/>
  <c r="G425" i="1"/>
  <c r="F425" i="1"/>
  <c r="AE424" i="1"/>
  <c r="AE428" i="1" s="1"/>
  <c r="AD424" i="1"/>
  <c r="AD428" i="1" s="1"/>
  <c r="AC424" i="1"/>
  <c r="AC428" i="1" s="1"/>
  <c r="AB424" i="1"/>
  <c r="AF424" i="1" s="1"/>
  <c r="AF428" i="1" s="1"/>
  <c r="AA424" i="1"/>
  <c r="AA428" i="1" s="1"/>
  <c r="X424" i="1"/>
  <c r="X428" i="1" s="1"/>
  <c r="W424" i="1"/>
  <c r="W428" i="1" s="1"/>
  <c r="V424" i="1"/>
  <c r="V428" i="1" s="1"/>
  <c r="U424" i="1"/>
  <c r="U428" i="1" s="1"/>
  <c r="T424" i="1"/>
  <c r="T428" i="1" s="1"/>
  <c r="G423" i="1"/>
  <c r="F423" i="1"/>
  <c r="P422" i="1"/>
  <c r="M422" i="1"/>
  <c r="L422" i="1"/>
  <c r="G422" i="1"/>
  <c r="F422" i="1"/>
  <c r="E421" i="1"/>
  <c r="E420" i="1"/>
  <c r="E419" i="1"/>
  <c r="E418" i="1"/>
  <c r="AE411" i="1"/>
  <c r="AD411" i="1"/>
  <c r="AC411" i="1"/>
  <c r="AB411" i="1"/>
  <c r="AA411" i="1"/>
  <c r="AF411" i="1" s="1"/>
  <c r="X411" i="1"/>
  <c r="W411" i="1"/>
  <c r="V411" i="1"/>
  <c r="U411" i="1"/>
  <c r="T411" i="1"/>
  <c r="Y411" i="1" s="1"/>
  <c r="AE410" i="1"/>
  <c r="AD410" i="1"/>
  <c r="AC410" i="1"/>
  <c r="AB410" i="1"/>
  <c r="AA410" i="1"/>
  <c r="AF410" i="1" s="1"/>
  <c r="X410" i="1"/>
  <c r="W410" i="1"/>
  <c r="V410" i="1"/>
  <c r="U410" i="1"/>
  <c r="T410" i="1"/>
  <c r="Y410" i="1" s="1"/>
  <c r="AE409" i="1"/>
  <c r="AD409" i="1"/>
  <c r="AC409" i="1"/>
  <c r="AB409" i="1"/>
  <c r="AA409" i="1"/>
  <c r="AF409" i="1" s="1"/>
  <c r="X409" i="1"/>
  <c r="W409" i="1"/>
  <c r="V409" i="1"/>
  <c r="U409" i="1"/>
  <c r="T409" i="1"/>
  <c r="Y409" i="1" s="1"/>
  <c r="AE408" i="1"/>
  <c r="AE412" i="1" s="1"/>
  <c r="AD408" i="1"/>
  <c r="AD412" i="1" s="1"/>
  <c r="AC408" i="1"/>
  <c r="AC412" i="1" s="1"/>
  <c r="AB408" i="1"/>
  <c r="AB412" i="1" s="1"/>
  <c r="AA408" i="1"/>
  <c r="AA412" i="1" s="1"/>
  <c r="X408" i="1"/>
  <c r="X412" i="1" s="1"/>
  <c r="W408" i="1"/>
  <c r="W412" i="1" s="1"/>
  <c r="V408" i="1"/>
  <c r="V412" i="1" s="1"/>
  <c r="U408" i="1"/>
  <c r="U412" i="1" s="1"/>
  <c r="T408" i="1"/>
  <c r="Y408" i="1" s="1"/>
  <c r="Y412" i="1" s="1"/>
  <c r="P406" i="1"/>
  <c r="M406" i="1"/>
  <c r="L406" i="1"/>
  <c r="G406" i="1"/>
  <c r="F406" i="1"/>
  <c r="E405" i="1"/>
  <c r="E404" i="1"/>
  <c r="AE397" i="1"/>
  <c r="AD397" i="1"/>
  <c r="AC397" i="1"/>
  <c r="AB397" i="1"/>
  <c r="AF397" i="1" s="1"/>
  <c r="AA397" i="1"/>
  <c r="X397" i="1"/>
  <c r="W397" i="1"/>
  <c r="V397" i="1"/>
  <c r="U397" i="1"/>
  <c r="Y397" i="1" s="1"/>
  <c r="T397" i="1"/>
  <c r="AE396" i="1"/>
  <c r="AD396" i="1"/>
  <c r="AC396" i="1"/>
  <c r="AB396" i="1"/>
  <c r="AF396" i="1" s="1"/>
  <c r="AA396" i="1"/>
  <c r="X396" i="1"/>
  <c r="W396" i="1"/>
  <c r="V396" i="1"/>
  <c r="U396" i="1"/>
  <c r="Y396" i="1" s="1"/>
  <c r="T396" i="1"/>
  <c r="AE395" i="1"/>
  <c r="AD395" i="1"/>
  <c r="AD398" i="1" s="1"/>
  <c r="AC395" i="1"/>
  <c r="AB395" i="1"/>
  <c r="AF395" i="1" s="1"/>
  <c r="AA395" i="1"/>
  <c r="X395" i="1"/>
  <c r="W395" i="1"/>
  <c r="V395" i="1"/>
  <c r="U395" i="1"/>
  <c r="Y395" i="1" s="1"/>
  <c r="T395" i="1"/>
  <c r="G395" i="1"/>
  <c r="F395" i="1"/>
  <c r="AE394" i="1"/>
  <c r="AE398" i="1" s="1"/>
  <c r="AD394" i="1"/>
  <c r="AC394" i="1"/>
  <c r="AC398" i="1" s="1"/>
  <c r="AB394" i="1"/>
  <c r="AF394" i="1" s="1"/>
  <c r="AF398" i="1" s="1"/>
  <c r="AA394" i="1"/>
  <c r="AA398" i="1" s="1"/>
  <c r="X394" i="1"/>
  <c r="X398" i="1" s="1"/>
  <c r="W394" i="1"/>
  <c r="W398" i="1" s="1"/>
  <c r="V394" i="1"/>
  <c r="V398" i="1" s="1"/>
  <c r="U394" i="1"/>
  <c r="U398" i="1" s="1"/>
  <c r="T394" i="1"/>
  <c r="T398" i="1" s="1"/>
  <c r="P392" i="1"/>
  <c r="M392" i="1"/>
  <c r="L392" i="1"/>
  <c r="G392" i="1"/>
  <c r="F392" i="1"/>
  <c r="E391" i="1"/>
  <c r="E389" i="1"/>
  <c r="D390" i="1" s="1"/>
  <c r="E390" i="1" s="1"/>
  <c r="E388" i="1"/>
  <c r="E387" i="1"/>
  <c r="E386" i="1"/>
  <c r="E385" i="1"/>
  <c r="AE378" i="1"/>
  <c r="AD378" i="1"/>
  <c r="AC378" i="1"/>
  <c r="AB378" i="1"/>
  <c r="AA378" i="1"/>
  <c r="AF378" i="1" s="1"/>
  <c r="X378" i="1"/>
  <c r="W378" i="1"/>
  <c r="V378" i="1"/>
  <c r="U378" i="1"/>
  <c r="T378" i="1"/>
  <c r="Y378" i="1" s="1"/>
  <c r="AE377" i="1"/>
  <c r="AD377" i="1"/>
  <c r="AC377" i="1"/>
  <c r="AB377" i="1"/>
  <c r="AA377" i="1"/>
  <c r="AF377" i="1" s="1"/>
  <c r="X377" i="1"/>
  <c r="W377" i="1"/>
  <c r="V377" i="1"/>
  <c r="U377" i="1"/>
  <c r="T377" i="1"/>
  <c r="Y377" i="1" s="1"/>
  <c r="AE376" i="1"/>
  <c r="AD376" i="1"/>
  <c r="AC376" i="1"/>
  <c r="AB376" i="1"/>
  <c r="AA376" i="1"/>
  <c r="AF376" i="1" s="1"/>
  <c r="X376" i="1"/>
  <c r="W376" i="1"/>
  <c r="V376" i="1"/>
  <c r="U376" i="1"/>
  <c r="T376" i="1"/>
  <c r="Y376" i="1" s="1"/>
  <c r="G376" i="1"/>
  <c r="F376" i="1"/>
  <c r="AE375" i="1"/>
  <c r="AE379" i="1" s="1"/>
  <c r="AD375" i="1"/>
  <c r="AD379" i="1" s="1"/>
  <c r="AC375" i="1"/>
  <c r="AC379" i="1" s="1"/>
  <c r="AB375" i="1"/>
  <c r="AB379" i="1" s="1"/>
  <c r="AA375" i="1"/>
  <c r="AA379" i="1" s="1"/>
  <c r="X375" i="1"/>
  <c r="X379" i="1" s="1"/>
  <c r="W375" i="1"/>
  <c r="W379" i="1" s="1"/>
  <c r="V375" i="1"/>
  <c r="V379" i="1" s="1"/>
  <c r="U375" i="1"/>
  <c r="U379" i="1" s="1"/>
  <c r="T375" i="1"/>
  <c r="T379" i="1" s="1"/>
  <c r="G374" i="1"/>
  <c r="F374" i="1"/>
  <c r="G373" i="1"/>
  <c r="F373" i="1"/>
  <c r="D370" i="1"/>
  <c r="E370" i="1" s="1"/>
  <c r="D371" i="1" s="1"/>
  <c r="E371" i="1" s="1"/>
  <c r="D372" i="1" s="1"/>
  <c r="E372" i="1" s="1"/>
  <c r="E369" i="1"/>
  <c r="AD357" i="1"/>
  <c r="AB357" i="1"/>
  <c r="U357" i="1"/>
  <c r="AE356" i="1"/>
  <c r="AD356" i="1"/>
  <c r="AC356" i="1"/>
  <c r="AB356" i="1"/>
  <c r="AA356" i="1"/>
  <c r="AF356" i="1" s="1"/>
  <c r="X356" i="1"/>
  <c r="W356" i="1"/>
  <c r="V356" i="1"/>
  <c r="U356" i="1"/>
  <c r="T356" i="1"/>
  <c r="Y356" i="1" s="1"/>
  <c r="AE355" i="1"/>
  <c r="AD355" i="1"/>
  <c r="AC355" i="1"/>
  <c r="AB355" i="1"/>
  <c r="AA355" i="1"/>
  <c r="AF355" i="1" s="1"/>
  <c r="X355" i="1"/>
  <c r="W355" i="1"/>
  <c r="V355" i="1"/>
  <c r="U355" i="1"/>
  <c r="T355" i="1"/>
  <c r="Y355" i="1" s="1"/>
  <c r="AE354" i="1"/>
  <c r="AD354" i="1"/>
  <c r="AC354" i="1"/>
  <c r="AB354" i="1"/>
  <c r="AA354" i="1"/>
  <c r="AF354" i="1" s="1"/>
  <c r="X354" i="1"/>
  <c r="W354" i="1"/>
  <c r="V354" i="1"/>
  <c r="U354" i="1"/>
  <c r="T354" i="1"/>
  <c r="Y354" i="1" s="1"/>
  <c r="G354" i="1"/>
  <c r="F354" i="1"/>
  <c r="AE353" i="1"/>
  <c r="AE357" i="1" s="1"/>
  <c r="AD353" i="1"/>
  <c r="AC353" i="1"/>
  <c r="AC357" i="1" s="1"/>
  <c r="AB353" i="1"/>
  <c r="AA353" i="1"/>
  <c r="AA357" i="1" s="1"/>
  <c r="X353" i="1"/>
  <c r="X357" i="1" s="1"/>
  <c r="W353" i="1"/>
  <c r="W357" i="1" s="1"/>
  <c r="V353" i="1"/>
  <c r="V357" i="1" s="1"/>
  <c r="U353" i="1"/>
  <c r="T353" i="1"/>
  <c r="T357" i="1" s="1"/>
  <c r="G352" i="1"/>
  <c r="F352" i="1"/>
  <c r="P351" i="1"/>
  <c r="M351" i="1"/>
  <c r="L351" i="1"/>
  <c r="G351" i="1"/>
  <c r="F351" i="1"/>
  <c r="E350" i="1"/>
  <c r="D349" i="1"/>
  <c r="E349" i="1" s="1"/>
  <c r="E348" i="1"/>
  <c r="AE341" i="1"/>
  <c r="AD341" i="1"/>
  <c r="AC341" i="1"/>
  <c r="AB341" i="1"/>
  <c r="AF341" i="1" s="1"/>
  <c r="AA341" i="1"/>
  <c r="X341" i="1"/>
  <c r="W341" i="1"/>
  <c r="V341" i="1"/>
  <c r="U341" i="1"/>
  <c r="Y341" i="1" s="1"/>
  <c r="T341" i="1"/>
  <c r="AE340" i="1"/>
  <c r="AD340" i="1"/>
  <c r="AC340" i="1"/>
  <c r="AB340" i="1"/>
  <c r="AF340" i="1" s="1"/>
  <c r="AA340" i="1"/>
  <c r="X340" i="1"/>
  <c r="W340" i="1"/>
  <c r="V340" i="1"/>
  <c r="U340" i="1"/>
  <c r="Y340" i="1" s="1"/>
  <c r="T340" i="1"/>
  <c r="G340" i="1"/>
  <c r="F340" i="1"/>
  <c r="AE339" i="1"/>
  <c r="AD339" i="1"/>
  <c r="AC339" i="1"/>
  <c r="AB339" i="1"/>
  <c r="AF339" i="1" s="1"/>
  <c r="AA339" i="1"/>
  <c r="X339" i="1"/>
  <c r="W339" i="1"/>
  <c r="V339" i="1"/>
  <c r="U339" i="1"/>
  <c r="Y339" i="1" s="1"/>
  <c r="T339" i="1"/>
  <c r="G339" i="1"/>
  <c r="F339" i="1"/>
  <c r="AE338" i="1"/>
  <c r="AE342" i="1" s="1"/>
  <c r="AD338" i="1"/>
  <c r="AD342" i="1" s="1"/>
  <c r="AC338" i="1"/>
  <c r="AC342" i="1" s="1"/>
  <c r="AB338" i="1"/>
  <c r="AB342" i="1" s="1"/>
  <c r="AA338" i="1"/>
  <c r="AA342" i="1" s="1"/>
  <c r="X338" i="1"/>
  <c r="X342" i="1" s="1"/>
  <c r="W338" i="1"/>
  <c r="W342" i="1" s="1"/>
  <c r="V338" i="1"/>
  <c r="V342" i="1" s="1"/>
  <c r="U338" i="1"/>
  <c r="U342" i="1" s="1"/>
  <c r="T338" i="1"/>
  <c r="T342" i="1" s="1"/>
  <c r="G337" i="1"/>
  <c r="F337" i="1"/>
  <c r="G336" i="1"/>
  <c r="F336" i="1"/>
  <c r="P335" i="1"/>
  <c r="M335" i="1"/>
  <c r="L335" i="1"/>
  <c r="G335" i="1"/>
  <c r="F335" i="1"/>
  <c r="E334" i="1"/>
  <c r="E332" i="1"/>
  <c r="D333" i="1" s="1"/>
  <c r="E333" i="1" s="1"/>
  <c r="E331" i="1"/>
  <c r="E330" i="1"/>
  <c r="E329" i="1"/>
  <c r="E328" i="1"/>
  <c r="D326" i="1"/>
  <c r="E326" i="1" s="1"/>
  <c r="E325" i="1"/>
  <c r="E324" i="1"/>
  <c r="D323" i="1"/>
  <c r="E323" i="1" s="1"/>
  <c r="E322" i="1"/>
  <c r="E321" i="1"/>
  <c r="D317" i="1"/>
  <c r="E317" i="1" s="1"/>
  <c r="D318" i="1" s="1"/>
  <c r="E318" i="1" s="1"/>
  <c r="D319" i="1" s="1"/>
  <c r="E319" i="1" s="1"/>
  <c r="D320" i="1" s="1"/>
  <c r="E320" i="1" s="1"/>
  <c r="E316" i="1"/>
  <c r="E315" i="1"/>
  <c r="E314" i="1"/>
  <c r="E313" i="1"/>
  <c r="E312" i="1"/>
  <c r="E311" i="1"/>
  <c r="D310" i="1"/>
  <c r="E310" i="1" s="1"/>
  <c r="E309" i="1"/>
  <c r="AE301" i="1"/>
  <c r="AD301" i="1"/>
  <c r="AC301" i="1"/>
  <c r="AB301" i="1"/>
  <c r="AA301" i="1"/>
  <c r="AF301" i="1" s="1"/>
  <c r="X301" i="1"/>
  <c r="W301" i="1"/>
  <c r="V301" i="1"/>
  <c r="U301" i="1"/>
  <c r="T301" i="1"/>
  <c r="Y301" i="1" s="1"/>
  <c r="AE300" i="1"/>
  <c r="AD300" i="1"/>
  <c r="AC300" i="1"/>
  <c r="AB300" i="1"/>
  <c r="AA300" i="1"/>
  <c r="AF300" i="1" s="1"/>
  <c r="X300" i="1"/>
  <c r="V300" i="1"/>
  <c r="U300" i="1"/>
  <c r="T300" i="1"/>
  <c r="G300" i="1"/>
  <c r="F300" i="1"/>
  <c r="AE299" i="1"/>
  <c r="AD299" i="1"/>
  <c r="AC299" i="1"/>
  <c r="AB299" i="1"/>
  <c r="AA299" i="1"/>
  <c r="AF299" i="1" s="1"/>
  <c r="X299" i="1"/>
  <c r="W299" i="1"/>
  <c r="V299" i="1"/>
  <c r="U299" i="1"/>
  <c r="T299" i="1"/>
  <c r="Y299" i="1" s="1"/>
  <c r="G299" i="1"/>
  <c r="AE298" i="1"/>
  <c r="AE302" i="1" s="1"/>
  <c r="AD298" i="1"/>
  <c r="AD302" i="1" s="1"/>
  <c r="AC298" i="1"/>
  <c r="AC302" i="1" s="1"/>
  <c r="AB298" i="1"/>
  <c r="AB302" i="1" s="1"/>
  <c r="AA298" i="1"/>
  <c r="X298" i="1"/>
  <c r="X302" i="1" s="1"/>
  <c r="W298" i="1"/>
  <c r="V298" i="1"/>
  <c r="V302" i="1" s="1"/>
  <c r="U298" i="1"/>
  <c r="U302" i="1" s="1"/>
  <c r="T298" i="1"/>
  <c r="G298" i="1"/>
  <c r="F298" i="1"/>
  <c r="G297" i="1"/>
  <c r="F297" i="1"/>
  <c r="G296" i="1"/>
  <c r="F296" i="1"/>
  <c r="P295" i="1"/>
  <c r="M295" i="1"/>
  <c r="L295" i="1"/>
  <c r="G295" i="1"/>
  <c r="E290" i="1"/>
  <c r="E289" i="1"/>
  <c r="E287" i="1"/>
  <c r="E286" i="1"/>
  <c r="E285" i="1"/>
  <c r="E283" i="1"/>
  <c r="E281" i="1"/>
  <c r="E280" i="1"/>
  <c r="D279" i="1"/>
  <c r="E279" i="1" s="1"/>
  <c r="E278" i="1"/>
  <c r="D277" i="1"/>
  <c r="F277" i="1" s="1"/>
  <c r="D274" i="1"/>
  <c r="E274" i="1" s="1"/>
  <c r="E273" i="1"/>
  <c r="E272" i="1"/>
  <c r="E271" i="1"/>
  <c r="E270" i="1"/>
  <c r="E269" i="1"/>
  <c r="D270" i="1" s="1"/>
  <c r="E268" i="1"/>
  <c r="E266" i="1"/>
  <c r="D267" i="1" s="1"/>
  <c r="E267" i="1" s="1"/>
  <c r="E264" i="1"/>
  <c r="E260" i="1"/>
  <c r="D261" i="1" s="1"/>
  <c r="E261" i="1" s="1"/>
  <c r="D262" i="1" s="1"/>
  <c r="E262" i="1" s="1"/>
  <c r="D263" i="1" s="1"/>
  <c r="E263" i="1" s="1"/>
  <c r="AE252" i="1"/>
  <c r="AD252" i="1"/>
  <c r="AC252" i="1"/>
  <c r="AB252" i="1"/>
  <c r="AA252" i="1"/>
  <c r="AF252" i="1" s="1"/>
  <c r="X252" i="1"/>
  <c r="W252" i="1"/>
  <c r="V252" i="1"/>
  <c r="U252" i="1"/>
  <c r="T252" i="1"/>
  <c r="Y252" i="1" s="1"/>
  <c r="G252" i="1"/>
  <c r="F252" i="1"/>
  <c r="AE251" i="1"/>
  <c r="AD251" i="1"/>
  <c r="AC251" i="1"/>
  <c r="AB251" i="1"/>
  <c r="AA251" i="1"/>
  <c r="AF251" i="1" s="1"/>
  <c r="X251" i="1"/>
  <c r="W251" i="1"/>
  <c r="V251" i="1"/>
  <c r="U251" i="1"/>
  <c r="T251" i="1"/>
  <c r="Y251" i="1" s="1"/>
  <c r="G251" i="1"/>
  <c r="F251" i="1"/>
  <c r="AE250" i="1"/>
  <c r="AD250" i="1"/>
  <c r="AC250" i="1"/>
  <c r="AB250" i="1"/>
  <c r="AA250" i="1"/>
  <c r="AF250" i="1" s="1"/>
  <c r="X250" i="1"/>
  <c r="W250" i="1"/>
  <c r="V250" i="1"/>
  <c r="U250" i="1"/>
  <c r="G250" i="1"/>
  <c r="F250" i="1"/>
  <c r="AE249" i="1"/>
  <c r="AE253" i="1" s="1"/>
  <c r="AD249" i="1"/>
  <c r="AD253" i="1" s="1"/>
  <c r="AC249" i="1"/>
  <c r="AC253" i="1" s="1"/>
  <c r="AB249" i="1"/>
  <c r="AB253" i="1" s="1"/>
  <c r="AA249" i="1"/>
  <c r="AA253" i="1" s="1"/>
  <c r="X249" i="1"/>
  <c r="X253" i="1" s="1"/>
  <c r="W249" i="1"/>
  <c r="W253" i="1" s="1"/>
  <c r="V249" i="1"/>
  <c r="V253" i="1" s="1"/>
  <c r="U249" i="1"/>
  <c r="U253" i="1" s="1"/>
  <c r="T249" i="1"/>
  <c r="G248" i="1"/>
  <c r="F248" i="1"/>
  <c r="P247" i="1"/>
  <c r="M247" i="1"/>
  <c r="L247" i="1"/>
  <c r="G247" i="1"/>
  <c r="D245" i="1"/>
  <c r="E245" i="1" s="1"/>
  <c r="E244" i="1"/>
  <c r="E242" i="1"/>
  <c r="D243" i="1" s="1"/>
  <c r="E243" i="1" s="1"/>
  <c r="D242" i="1"/>
  <c r="E241" i="1"/>
  <c r="E240" i="1"/>
  <c r="E239" i="1"/>
  <c r="E238" i="1"/>
  <c r="E237" i="1"/>
  <c r="E236" i="1"/>
  <c r="E235" i="1"/>
  <c r="D232" i="1"/>
  <c r="E232" i="1" s="1"/>
  <c r="D233" i="1" s="1"/>
  <c r="E233" i="1" s="1"/>
  <c r="E231" i="1"/>
  <c r="E230" i="1"/>
  <c r="G229" i="1"/>
  <c r="G249" i="1" s="1"/>
  <c r="F229" i="1"/>
  <c r="F247" i="1" s="1"/>
  <c r="E228" i="1"/>
  <c r="E227" i="1"/>
  <c r="D226" i="1"/>
  <c r="E226" i="1" s="1"/>
  <c r="E225" i="1"/>
  <c r="E223" i="1"/>
  <c r="D224" i="1" s="1"/>
  <c r="E224" i="1" s="1"/>
  <c r="E222" i="1"/>
  <c r="E220" i="1"/>
  <c r="D221" i="1" s="1"/>
  <c r="E221" i="1" s="1"/>
  <c r="E219" i="1"/>
  <c r="E217" i="1"/>
  <c r="D218" i="1" s="1"/>
  <c r="E218" i="1" s="1"/>
  <c r="E215" i="1"/>
  <c r="D216" i="1" s="1"/>
  <c r="E216" i="1" s="1"/>
  <c r="E214" i="1"/>
  <c r="E213" i="1"/>
  <c r="E212" i="1"/>
  <c r="E211" i="1"/>
  <c r="E210" i="1"/>
  <c r="E209" i="1"/>
  <c r="E208" i="1"/>
  <c r="E203" i="1"/>
  <c r="D204" i="1" s="1"/>
  <c r="E204" i="1" s="1"/>
  <c r="D205" i="1" s="1"/>
  <c r="E205" i="1" s="1"/>
  <c r="D206" i="1" s="1"/>
  <c r="E206" i="1" s="1"/>
  <c r="D207" i="1" s="1"/>
  <c r="E207" i="1" s="1"/>
  <c r="E202" i="1"/>
  <c r="E201" i="1"/>
  <c r="E197" i="1"/>
  <c r="D198" i="1" s="1"/>
  <c r="E198" i="1" s="1"/>
  <c r="D199" i="1" s="1"/>
  <c r="E199" i="1" s="1"/>
  <c r="D200" i="1" s="1"/>
  <c r="E200" i="1" s="1"/>
  <c r="E196" i="1"/>
  <c r="E195" i="1"/>
  <c r="E194" i="1"/>
  <c r="E193" i="1"/>
  <c r="E192" i="1"/>
  <c r="E191" i="1"/>
  <c r="D190" i="1"/>
  <c r="E190" i="1" s="1"/>
  <c r="E189" i="1"/>
  <c r="E187" i="1"/>
  <c r="E186" i="1"/>
  <c r="E185" i="1"/>
  <c r="E184" i="1"/>
  <c r="E182" i="1"/>
  <c r="D183" i="1" s="1"/>
  <c r="E183" i="1" s="1"/>
  <c r="D182" i="1"/>
  <c r="E181" i="1"/>
  <c r="E180" i="1"/>
  <c r="E179" i="1"/>
  <c r="E178" i="1"/>
  <c r="E177" i="1"/>
  <c r="E176" i="1"/>
  <c r="E175" i="1"/>
  <c r="E174" i="1"/>
  <c r="E172" i="1"/>
  <c r="D173" i="1" s="1"/>
  <c r="E173" i="1" s="1"/>
  <c r="E170" i="1"/>
  <c r="E169" i="1"/>
  <c r="E168" i="1"/>
  <c r="E167" i="1"/>
  <c r="D167" i="1"/>
  <c r="E166" i="1"/>
  <c r="E165" i="1"/>
  <c r="E164" i="1"/>
  <c r="E163" i="1"/>
  <c r="E162" i="1"/>
  <c r="D161" i="1"/>
  <c r="E161" i="1" s="1"/>
  <c r="E160" i="1"/>
  <c r="E158" i="1"/>
  <c r="D159" i="1" s="1"/>
  <c r="E159" i="1" s="1"/>
  <c r="E157" i="1"/>
  <c r="E155" i="1"/>
  <c r="D156" i="1" s="1"/>
  <c r="E156" i="1" s="1"/>
  <c r="E153" i="1"/>
  <c r="D154" i="1" s="1"/>
  <c r="E154" i="1" s="1"/>
  <c r="E152" i="1"/>
  <c r="D152" i="1"/>
  <c r="E151" i="1"/>
  <c r="D150" i="1"/>
  <c r="E150" i="1" s="1"/>
  <c r="E149" i="1"/>
  <c r="E146" i="1"/>
  <c r="D147" i="1" s="1"/>
  <c r="E147" i="1" s="1"/>
  <c r="E145" i="1"/>
  <c r="E144" i="1"/>
  <c r="D143" i="1"/>
  <c r="E143" i="1" s="1"/>
  <c r="E142" i="1"/>
  <c r="E140" i="1"/>
  <c r="D141" i="1" s="1"/>
  <c r="E141" i="1" s="1"/>
  <c r="D140" i="1"/>
  <c r="E139" i="1"/>
  <c r="E138" i="1"/>
  <c r="E137" i="1"/>
  <c r="D137" i="1"/>
  <c r="E136" i="1"/>
  <c r="E134" i="1"/>
  <c r="E133" i="1"/>
  <c r="D133" i="1"/>
  <c r="E132" i="1"/>
  <c r="E131" i="1"/>
  <c r="E130" i="1"/>
  <c r="D130" i="1"/>
  <c r="E129" i="1"/>
  <c r="E128" i="1"/>
  <c r="E127" i="1"/>
  <c r="E126" i="1"/>
  <c r="E125" i="1"/>
  <c r="E124" i="1"/>
  <c r="E122" i="1"/>
  <c r="E121" i="1"/>
  <c r="E120" i="1"/>
  <c r="E119" i="1"/>
  <c r="E117" i="1"/>
  <c r="D115" i="1"/>
  <c r="E115" i="1" s="1"/>
  <c r="D116" i="1" s="1"/>
  <c r="E116" i="1" s="1"/>
  <c r="E114" i="1"/>
  <c r="E110" i="1"/>
  <c r="D111" i="1" s="1"/>
  <c r="E111" i="1" s="1"/>
  <c r="D112" i="1" s="1"/>
  <c r="E112" i="1" s="1"/>
  <c r="D113" i="1" s="1"/>
  <c r="E113" i="1" s="1"/>
  <c r="E108" i="1"/>
  <c r="D109" i="1" s="1"/>
  <c r="E109" i="1" s="1"/>
  <c r="E107" i="1"/>
  <c r="E106" i="1"/>
  <c r="E105" i="1"/>
  <c r="E104" i="1"/>
  <c r="E103" i="1"/>
  <c r="E102" i="1"/>
  <c r="E101" i="1"/>
  <c r="E100" i="1"/>
  <c r="E99" i="1"/>
  <c r="E97" i="1"/>
  <c r="D98" i="1" s="1"/>
  <c r="E98" i="1" s="1"/>
  <c r="E92" i="1"/>
  <c r="D93" i="1" s="1"/>
  <c r="E93" i="1" s="1"/>
  <c r="D94" i="1" s="1"/>
  <c r="E94" i="1" s="1"/>
  <c r="D95" i="1" s="1"/>
  <c r="E95" i="1" s="1"/>
  <c r="D96" i="1" s="1"/>
  <c r="E96" i="1" s="1"/>
  <c r="E91" i="1"/>
  <c r="E89" i="1"/>
  <c r="D90" i="1" s="1"/>
  <c r="E90" i="1" s="1"/>
  <c r="E88" i="1"/>
  <c r="E87" i="1"/>
  <c r="E86" i="1"/>
  <c r="E85" i="1"/>
  <c r="E84" i="1"/>
  <c r="E83" i="1"/>
  <c r="E82" i="1"/>
  <c r="E81" i="1"/>
  <c r="E79" i="1"/>
  <c r="D80" i="1" s="1"/>
  <c r="E80" i="1" s="1"/>
  <c r="D77" i="1"/>
  <c r="E77" i="1" s="1"/>
  <c r="E76" i="1"/>
  <c r="E75" i="1"/>
  <c r="E74" i="1"/>
  <c r="E73" i="1"/>
  <c r="D71" i="1"/>
  <c r="E71" i="1" s="1"/>
  <c r="D72" i="1" s="1"/>
  <c r="E72" i="1" s="1"/>
  <c r="E70" i="1"/>
  <c r="E69" i="1"/>
  <c r="E68" i="1"/>
  <c r="E67" i="1"/>
  <c r="E66" i="1"/>
  <c r="E65" i="1"/>
  <c r="E64" i="1"/>
  <c r="E63" i="1"/>
  <c r="E62" i="1"/>
  <c r="E59" i="1"/>
  <c r="D60" i="1" s="1"/>
  <c r="E60" i="1" s="1"/>
  <c r="D61" i="1" s="1"/>
  <c r="E61" i="1" s="1"/>
  <c r="E58" i="1"/>
  <c r="E57" i="1"/>
  <c r="E56" i="1"/>
  <c r="E54" i="1"/>
  <c r="E53" i="1"/>
  <c r="E51" i="1"/>
  <c r="E49" i="1"/>
  <c r="E48" i="1"/>
  <c r="E47" i="1"/>
  <c r="E46" i="1"/>
  <c r="E45" i="1"/>
  <c r="E44" i="1"/>
  <c r="E43" i="1"/>
  <c r="E42" i="1"/>
  <c r="E41" i="1"/>
  <c r="E40" i="1"/>
  <c r="E39" i="1"/>
  <c r="E38" i="1"/>
  <c r="E36" i="1"/>
  <c r="D37" i="1" s="1"/>
  <c r="E37" i="1" s="1"/>
  <c r="E35" i="1"/>
  <c r="E33" i="1"/>
  <c r="D34" i="1" s="1"/>
  <c r="E34" i="1" s="1"/>
  <c r="E32" i="1"/>
  <c r="E31" i="1"/>
  <c r="E30" i="1"/>
  <c r="E29" i="1"/>
  <c r="E28" i="1"/>
  <c r="E26" i="1"/>
  <c r="D27" i="1" s="1"/>
  <c r="E27" i="1" s="1"/>
  <c r="E25" i="1"/>
  <c r="E24" i="1"/>
  <c r="E23" i="1"/>
  <c r="D22" i="1"/>
  <c r="E22" i="1" s="1"/>
  <c r="E21" i="1"/>
  <c r="E20" i="1"/>
  <c r="D19" i="1"/>
  <c r="E19" i="1" s="1"/>
  <c r="E18" i="1"/>
  <c r="E15" i="1"/>
  <c r="D16" i="1" s="1"/>
  <c r="E16" i="1" s="1"/>
  <c r="D17" i="1" s="1"/>
  <c r="E17" i="1" s="1"/>
  <c r="E14" i="1"/>
  <c r="E13" i="1"/>
  <c r="E12" i="1"/>
  <c r="E11" i="1"/>
  <c r="E10" i="1"/>
  <c r="E8" i="1"/>
  <c r="D9" i="1" s="1"/>
  <c r="E9" i="1" s="1"/>
  <c r="W300" i="1" l="1"/>
  <c r="W302" i="1" s="1"/>
  <c r="F295" i="1"/>
  <c r="F359" i="1"/>
  <c r="F299" i="1"/>
  <c r="T250" i="1"/>
  <c r="Y250" i="1" s="1"/>
  <c r="G359" i="1"/>
  <c r="F361" i="1"/>
  <c r="Y249" i="1"/>
  <c r="Y253" i="1" s="1"/>
  <c r="F249" i="1"/>
  <c r="F358" i="1" s="1"/>
  <c r="AF249" i="1"/>
  <c r="AF253" i="1" s="1"/>
  <c r="T302" i="1"/>
  <c r="Y298" i="1"/>
  <c r="Y302" i="1" s="1"/>
  <c r="Z303" i="1" s="1"/>
  <c r="Y300" i="1"/>
  <c r="F357" i="1"/>
  <c r="P357" i="1"/>
  <c r="G358" i="1"/>
  <c r="G997" i="1" s="1"/>
  <c r="G360" i="1"/>
  <c r="G361" i="1"/>
  <c r="AF298" i="1"/>
  <c r="AF302" i="1" s="1"/>
  <c r="AA302" i="1"/>
  <c r="G357" i="1"/>
  <c r="F360" i="1"/>
  <c r="AF353" i="1"/>
  <c r="AF357" i="1" s="1"/>
  <c r="AF375" i="1"/>
  <c r="AF379" i="1" s="1"/>
  <c r="AF408" i="1"/>
  <c r="AF412" i="1" s="1"/>
  <c r="Y498" i="1"/>
  <c r="Y502" i="1" s="1"/>
  <c r="F565" i="1"/>
  <c r="AF567" i="1"/>
  <c r="AF571" i="1" s="1"/>
  <c r="W570" i="1"/>
  <c r="Y570" i="1" s="1"/>
  <c r="AF764" i="1"/>
  <c r="M993" i="1"/>
  <c r="F998" i="1"/>
  <c r="F999" i="1"/>
  <c r="F1000" i="1"/>
  <c r="AF338" i="1"/>
  <c r="AF342" i="1" s="1"/>
  <c r="Y394" i="1"/>
  <c r="Y398" i="1" s="1"/>
  <c r="AB398" i="1"/>
  <c r="T412" i="1"/>
  <c r="Y424" i="1"/>
  <c r="Y428" i="1" s="1"/>
  <c r="AB428" i="1"/>
  <c r="Y456" i="1"/>
  <c r="Y460" i="1" s="1"/>
  <c r="AB460" i="1"/>
  <c r="AA502" i="1"/>
  <c r="T922" i="1"/>
  <c r="P993" i="1"/>
  <c r="G998" i="1"/>
  <c r="G999" i="1"/>
  <c r="G1000" i="1"/>
  <c r="Y353" i="1"/>
  <c r="Y357" i="1" s="1"/>
  <c r="Y375" i="1"/>
  <c r="Y379" i="1" s="1"/>
  <c r="Y567" i="1"/>
  <c r="AF585" i="1"/>
  <c r="AD765" i="1"/>
  <c r="Y922" i="1"/>
  <c r="Y338" i="1"/>
  <c r="Y342" i="1" s="1"/>
  <c r="AF765" i="1"/>
  <c r="L993" i="1"/>
  <c r="Y581" i="1"/>
  <c r="Y585" i="1" s="1"/>
  <c r="AB585" i="1"/>
  <c r="T609" i="1"/>
  <c r="Y678" i="1"/>
  <c r="Y682" i="1" s="1"/>
  <c r="AA701" i="1"/>
  <c r="F760" i="1"/>
  <c r="AA765" i="1"/>
  <c r="G786" i="1"/>
  <c r="G996" i="1" s="1"/>
  <c r="Y787" i="1"/>
  <c r="Y791" i="1" s="1"/>
  <c r="AF865" i="1"/>
  <c r="AF869" i="1" s="1"/>
  <c r="U869" i="1"/>
  <c r="AA901" i="1"/>
  <c r="AF918" i="1"/>
  <c r="AF922" i="1" s="1"/>
  <c r="U922" i="1"/>
  <c r="T946" i="1"/>
  <c r="AA980" i="1"/>
  <c r="AF991" i="1"/>
  <c r="AF995" i="1" s="1"/>
  <c r="AF605" i="1"/>
  <c r="AF609" i="1" s="1"/>
  <c r="Y697" i="1"/>
  <c r="Y701" i="1" s="1"/>
  <c r="G760" i="1"/>
  <c r="Y761" i="1"/>
  <c r="W764" i="1"/>
  <c r="W765" i="1" s="1"/>
  <c r="Y822" i="1"/>
  <c r="Y826" i="1" s="1"/>
  <c r="AB826" i="1"/>
  <c r="G896" i="1"/>
  <c r="Y897" i="1"/>
  <c r="Y901" i="1" s="1"/>
  <c r="F917" i="1"/>
  <c r="F996" i="1" s="1"/>
  <c r="AF942" i="1"/>
  <c r="AF946" i="1" s="1"/>
  <c r="G975" i="1"/>
  <c r="Y976" i="1"/>
  <c r="Y980" i="1" s="1"/>
  <c r="AF678" i="1"/>
  <c r="AF682" i="1" s="1"/>
  <c r="AF787" i="1"/>
  <c r="AF791" i="1" s="1"/>
  <c r="Y991" i="1"/>
  <c r="Y995" i="1" s="1"/>
  <c r="F918" i="1"/>
  <c r="F997" i="1" l="1"/>
  <c r="Y571" i="1"/>
  <c r="W571" i="1"/>
  <c r="Y764" i="1"/>
  <c r="Y765" i="1"/>
  <c r="T253" i="1"/>
</calcChain>
</file>

<file path=xl/sharedStrings.xml><?xml version="1.0" encoding="utf-8"?>
<sst xmlns="http://schemas.openxmlformats.org/spreadsheetml/2006/main" count="3527" uniqueCount="514">
  <si>
    <t>Siguldas novada pašvaldības ikdienas uzturēšanas ielu saraksts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</si>
  <si>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Siguldas pilsētā</t>
    </r>
  </si>
  <si>
    <t>Nr.
p.k.</t>
  </si>
  <si>
    <t>Ielas  nosaukums</t>
  </si>
  <si>
    <t>Ceļu raksturojošie parametri</t>
  </si>
  <si>
    <t>Kadastra objekta identifikators</t>
  </si>
  <si>
    <t>iela</t>
  </si>
  <si>
    <t>tilts vai satiksmes pārvads</t>
  </si>
  <si>
    <r>
      <t>gājēju un velosipēdu ceļa laukums 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</si>
  <si>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t>adrese (km)</t>
  </si>
  <si>
    <t>garums
(km)</t>
  </si>
  <si>
    <r>
      <t>brauktuves
laukums
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</si>
  <si>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t>seguma
veids</t>
  </si>
  <si>
    <t>nosaukums</t>
  </si>
  <si>
    <t>Adrese</t>
  </si>
  <si>
    <t>garums
(m)</t>
  </si>
  <si>
    <r>
      <t>dīvlīmeņu
nobrauktuves
brauktuves
laukums 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</si>
  <si>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t>konstrukcijas
materiāls</t>
  </si>
  <si>
    <t>īpašuma kadastra numurs</t>
  </si>
  <si>
    <t>zemes vienības/ lineārās inženier-būves kadastra apzīmējums</t>
  </si>
  <si>
    <t>Uzturēšanas klase</t>
  </si>
  <si>
    <t>no</t>
  </si>
  <si>
    <t>līdz</t>
  </si>
  <si>
    <t>km</t>
  </si>
  <si>
    <t>ģeodēziskās
koordinātas</t>
  </si>
  <si>
    <t>Ainas iela</t>
  </si>
  <si>
    <t>D</t>
  </si>
  <si>
    <t>grants</t>
  </si>
  <si>
    <t>Akas iela</t>
  </si>
  <si>
    <t>melnais</t>
  </si>
  <si>
    <t>Akāciju iela</t>
  </si>
  <si>
    <t>Alauksta iela</t>
  </si>
  <si>
    <t>dubultā virsma</t>
  </si>
  <si>
    <t>Allažu iela</t>
  </si>
  <si>
    <t>C</t>
  </si>
  <si>
    <t>Alūksnes iela</t>
  </si>
  <si>
    <t>Andreja Pumpura iela</t>
  </si>
  <si>
    <t>Aspazijas iela</t>
  </si>
  <si>
    <t>Ata Kronvalda iela</t>
  </si>
  <si>
    <t>B</t>
  </si>
  <si>
    <t>Atbrīvotāju iela</t>
  </si>
  <si>
    <t>Atmodas iela</t>
  </si>
  <si>
    <t>Atpūtas iela</t>
  </si>
  <si>
    <t>Augļu iela</t>
  </si>
  <si>
    <t>Ausekļa iela</t>
  </si>
  <si>
    <t>Ausmas iela</t>
  </si>
  <si>
    <t>Aveņu iela</t>
  </si>
  <si>
    <t>Ābeļdārza iela</t>
  </si>
  <si>
    <t>Ābeļziedu iela</t>
  </si>
  <si>
    <t>Baznīcas iela</t>
  </si>
  <si>
    <t>Bebrenes iela</t>
  </si>
  <si>
    <t>Beites iela</t>
  </si>
  <si>
    <t>Bezdelīgu iela</t>
  </si>
  <si>
    <t>Bērzu iela</t>
  </si>
  <si>
    <t>Birzes iela</t>
  </si>
  <si>
    <t>Celtnieku iela</t>
  </si>
  <si>
    <t>Cepļa iela</t>
  </si>
  <si>
    <t>Ceriņu iela</t>
  </si>
  <si>
    <t>Cēsu iela</t>
  </si>
  <si>
    <t>Cielavu iela</t>
  </si>
  <si>
    <t>Cīruļu iela</t>
  </si>
  <si>
    <t>Čiatūras iela</t>
  </si>
  <si>
    <t>Dabreļa iela</t>
  </si>
  <si>
    <t>bruģis</t>
  </si>
  <si>
    <t>80150021426002</t>
  </si>
  <si>
    <t>Dārza iela</t>
  </si>
  <si>
    <t>Depo iela</t>
  </si>
  <si>
    <t>Dīķa iela</t>
  </si>
  <si>
    <t>Doņu iela</t>
  </si>
  <si>
    <t>Draudzības iela</t>
  </si>
  <si>
    <t>cits segums</t>
  </si>
  <si>
    <t>Dzeņu iela</t>
  </si>
  <si>
    <t>Dzērveņu iela</t>
  </si>
  <si>
    <t>Dzintaru iela</t>
  </si>
  <si>
    <t>Eduarda Veidenbauma iela</t>
  </si>
  <si>
    <t>Egļu iela</t>
  </si>
  <si>
    <t>Gaismas iela</t>
  </si>
  <si>
    <t>Gaujas iela</t>
  </si>
  <si>
    <t>Gāršas iela</t>
  </si>
  <si>
    <t>Gulbju iela</t>
  </si>
  <si>
    <t>Gundegu iela</t>
  </si>
  <si>
    <t>Igauņu iela</t>
  </si>
  <si>
    <t>Br. uz Plkv.Brieža ielu</t>
  </si>
  <si>
    <t>Jaunatnes iela</t>
  </si>
  <si>
    <t>Jaunā iela</t>
  </si>
  <si>
    <t>Jāņa iela</t>
  </si>
  <si>
    <t>Jāņa Čakstes iela</t>
  </si>
  <si>
    <t>Jāņa Poruka iela</t>
  </si>
  <si>
    <t>Jāņogu iela</t>
  </si>
  <si>
    <t>Jēkaba Dubura iela</t>
  </si>
  <si>
    <t>Jura Ozola iela</t>
  </si>
  <si>
    <t>Jūdažu iela</t>
  </si>
  <si>
    <t>Kadiķu iela</t>
  </si>
  <si>
    <t>Kaijas iela</t>
  </si>
  <si>
    <t>Kalmju iela</t>
  </si>
  <si>
    <t>Kalna iela</t>
  </si>
  <si>
    <t>Kaupo iela</t>
  </si>
  <si>
    <t>80150021414003</t>
  </si>
  <si>
    <t>Kārklu iela</t>
  </si>
  <si>
    <t>Kļavu iela</t>
  </si>
  <si>
    <t>Krasta iela</t>
  </si>
  <si>
    <t>Kraukļalas iela</t>
  </si>
  <si>
    <t>Krimuldas iela</t>
  </si>
  <si>
    <t>Krišjāņa Barona iela</t>
  </si>
  <si>
    <t>Krišjāņa Valdemāra iela</t>
  </si>
  <si>
    <t>Kungu gatve</t>
  </si>
  <si>
    <t>Kuršu iela</t>
  </si>
  <si>
    <t>Loks gar Nr.12</t>
  </si>
  <si>
    <t>Ķiršu iela</t>
  </si>
  <si>
    <t>Laimas iela</t>
  </si>
  <si>
    <t>Lakstīgalas iela</t>
  </si>
  <si>
    <t>Lapu iela</t>
  </si>
  <si>
    <t>Lauku iela</t>
  </si>
  <si>
    <t>Laurenču iela</t>
  </si>
  <si>
    <t>Lāčplēša iela</t>
  </si>
  <si>
    <t>Lāču iela</t>
  </si>
  <si>
    <t>Lauktehnikas iela</t>
  </si>
  <si>
    <t>80150030701043</t>
  </si>
  <si>
    <t>Leona Paegles iela</t>
  </si>
  <si>
    <t>Liepu iela</t>
  </si>
  <si>
    <t>Līvkalna iela</t>
  </si>
  <si>
    <t>Lorupes iela</t>
  </si>
  <si>
    <t>Maijas iela</t>
  </si>
  <si>
    <t>Mazā iela</t>
  </si>
  <si>
    <t>Mazā Gāles iela</t>
  </si>
  <si>
    <t>Mazā Lakstīgalas iela</t>
  </si>
  <si>
    <t>Mazā Pēteralas iela</t>
  </si>
  <si>
    <t>Mazā Saules iela*</t>
  </si>
  <si>
    <t>Mālkalnu iela</t>
  </si>
  <si>
    <t>Mālpils iela</t>
  </si>
  <si>
    <t>Mednieku iela</t>
  </si>
  <si>
    <t>Meldru iela</t>
  </si>
  <si>
    <t>Melioratoru iela</t>
  </si>
  <si>
    <t>Mēness iela</t>
  </si>
  <si>
    <t>Miera iela</t>
  </si>
  <si>
    <t>Nītaures iela</t>
  </si>
  <si>
    <t>Noliktavu iela</t>
  </si>
  <si>
    <t>-</t>
  </si>
  <si>
    <t>Nurmižu iela</t>
  </si>
  <si>
    <t>Ogu iela</t>
  </si>
  <si>
    <t>Oskara Kalpaka iela</t>
  </si>
  <si>
    <t>Paparžu iela</t>
  </si>
  <si>
    <t>Parādes iela</t>
  </si>
  <si>
    <t>Parka iela</t>
  </si>
  <si>
    <t>Peldu iela</t>
  </si>
  <si>
    <t>Pērkona iela</t>
  </si>
  <si>
    <t>Pērles iela</t>
  </si>
  <si>
    <t>Pērsieša iela</t>
  </si>
  <si>
    <t>Pēteralas iela</t>
  </si>
  <si>
    <t>Pils iela</t>
  </si>
  <si>
    <t>Pīpeņu iela</t>
  </si>
  <si>
    <t>Pļavziedu iela</t>
  </si>
  <si>
    <t>Priežu iela</t>
  </si>
  <si>
    <t>Puķu iela</t>
  </si>
  <si>
    <t>Pulkveža Brieža iela</t>
  </si>
  <si>
    <t>Br. uz cauruļv. pāreju</t>
  </si>
  <si>
    <t>Pureņu iela</t>
  </si>
  <si>
    <t>Pūču iela</t>
  </si>
  <si>
    <t>Pūpolu iela</t>
  </si>
  <si>
    <t>Rasas iela</t>
  </si>
  <si>
    <t>Raunas iela</t>
  </si>
  <si>
    <t>Reiņa Kaudzītes iela</t>
  </si>
  <si>
    <t>Rīgas iela</t>
  </si>
  <si>
    <t>Robežu iela</t>
  </si>
  <si>
    <t>Rotas iela</t>
  </si>
  <si>
    <t>Rožu iela</t>
  </si>
  <si>
    <t>Rūdolfa Blaumaņa iela</t>
  </si>
  <si>
    <t>Rūsiņa iela</t>
  </si>
  <si>
    <t>Satezeles iela</t>
  </si>
  <si>
    <t>Satiksmes iela</t>
  </si>
  <si>
    <t>Saules iela</t>
  </si>
  <si>
    <t>Saulgriežu iela</t>
  </si>
  <si>
    <t>Senču iela</t>
  </si>
  <si>
    <t>Sēļu iela*</t>
  </si>
  <si>
    <t>Skolas iela</t>
  </si>
  <si>
    <t>Slēpotāju iela</t>
  </si>
  <si>
    <t>Smilgu iela</t>
  </si>
  <si>
    <t>Smilšu iela</t>
  </si>
  <si>
    <t>Stacijas iela</t>
  </si>
  <si>
    <t>Strēlnieku iela</t>
  </si>
  <si>
    <t>Šveices iela</t>
  </si>
  <si>
    <t>Tālavas iela</t>
  </si>
  <si>
    <t>Televīzijas iela</t>
  </si>
  <si>
    <t>Trimpus iela</t>
  </si>
  <si>
    <t>Tūristu iela</t>
  </si>
  <si>
    <t>Upeņu iela</t>
  </si>
  <si>
    <t>Vainagu iela</t>
  </si>
  <si>
    <t>Vālodzes iela</t>
  </si>
  <si>
    <t>Vārpas iela</t>
  </si>
  <si>
    <t>Velnalas iela</t>
  </si>
  <si>
    <t>Ventas iela</t>
  </si>
  <si>
    <t>Vēju iela</t>
  </si>
  <si>
    <t>Vētras iela</t>
  </si>
  <si>
    <t>Vidus iela</t>
  </si>
  <si>
    <t>Viestura iela</t>
  </si>
  <si>
    <t>Vildogas ceļš</t>
  </si>
  <si>
    <t>Vildogas iela</t>
  </si>
  <si>
    <t>Vizbuļu iela</t>
  </si>
  <si>
    <t>Vītolu iela</t>
  </si>
  <si>
    <t xml:space="preserve">80150020313; 80150020314 </t>
  </si>
  <si>
    <t>Zaru iela</t>
  </si>
  <si>
    <t>Zāļu iela</t>
  </si>
  <si>
    <t>Zemeņu iela</t>
  </si>
  <si>
    <t>Zemgales iela</t>
  </si>
  <si>
    <t>Ziedu iela</t>
  </si>
  <si>
    <t>Zigurda Zuzes iela</t>
  </si>
  <si>
    <t>Zvaigžņu iela</t>
  </si>
  <si>
    <t>Dainas - Bēršas</t>
  </si>
  <si>
    <t>80150012001014</t>
  </si>
  <si>
    <t>(ielai nav nosaukuma)</t>
  </si>
  <si>
    <t>*  ielas nav izbūvētas; iekļautas numerācijas saglabāšanai</t>
  </si>
  <si>
    <t>Nepiederoši ceļi</t>
  </si>
  <si>
    <t>Kopā Siguldas pilsētas ielas</t>
  </si>
  <si>
    <t>Kopā tilti</t>
  </si>
  <si>
    <t>Kopā</t>
  </si>
  <si>
    <t>Melnais segums</t>
  </si>
  <si>
    <t>Dubultā virsma</t>
  </si>
  <si>
    <t>Bruģa segums</t>
  </si>
  <si>
    <t>Grants segums</t>
  </si>
  <si>
    <t>Cits segums</t>
  </si>
  <si>
    <t>t.sk. ar dubultās virsmas segumu</t>
  </si>
  <si>
    <t>t.sk. ar melno segumu</t>
  </si>
  <si>
    <t>A</t>
  </si>
  <si>
    <t>t.sk. ar bruģa segumu</t>
  </si>
  <si>
    <t>t.sk. ar grants (šķembu) segumu</t>
  </si>
  <si>
    <t>t.sk. ar citu segumu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</si>
  <si>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Siguldas pilsētā (Peltēs)</t>
    </r>
  </si>
  <si>
    <t>1.šķērsiela</t>
  </si>
  <si>
    <t>Avotu iela</t>
  </si>
  <si>
    <t>Ābeļu iela</t>
  </si>
  <si>
    <t>Dailes iela</t>
  </si>
  <si>
    <t>Dārznieku iela</t>
  </si>
  <si>
    <t>Ganību iela</t>
  </si>
  <si>
    <t>Graudu iela</t>
  </si>
  <si>
    <t>Griezes iela</t>
  </si>
  <si>
    <t>Helmaņa iela</t>
  </si>
  <si>
    <t>80940040965001</t>
  </si>
  <si>
    <t>Institūta iela</t>
  </si>
  <si>
    <t>80940040979001</t>
  </si>
  <si>
    <t>Jasmīnu iela</t>
  </si>
  <si>
    <t>Klusā iela (patapinājuma līgumi)</t>
  </si>
  <si>
    <t>80940040676; 80940040771; 80940040772; 80940040774; 80940040773; 80940040776; 80940040775; 80940040778; 80940040777; 80940040780; 80940040779; 80940040782; 80940040784; 80940040781; 80940040786; 80940040783; 80940040788; 80940040785; 80940040790; 80940040787; 80940040967; 80940040789; 80940040968; 80940040791; 80940040969; 80940040810; 80940040970; 80940040971; 80940041204; 80940040972; 80940040973; 80940040974; 80940040975; 80940040976</t>
  </si>
  <si>
    <t>Lazdu iela</t>
  </si>
  <si>
    <t>Mākoņu iela*</t>
  </si>
  <si>
    <t>Mores iela</t>
  </si>
  <si>
    <t>Pīlādžu iela</t>
  </si>
  <si>
    <t>Pļavu iela</t>
  </si>
  <si>
    <t>Sapņu iela (patapinājuma līgumi)</t>
  </si>
  <si>
    <t>80940040793; 80940040795; 80940040797; 80940040799; 80940040801; 80940040792; 80940040794; 80940040805; 80940040807; 80940040796; 80940040809; 80940040798; 80940040811; 80940040800; 80940041141; 80940040802; 80940040804; 80940040814; 80940040806; 80940040815; 80940040808; 80940040817; 80940040818; 80940040810; 80940041204</t>
  </si>
  <si>
    <t>Strauta iela</t>
  </si>
  <si>
    <t>Zinātnes iela</t>
  </si>
  <si>
    <t>Vējupītes iela</t>
  </si>
  <si>
    <t>Nepiederošs</t>
  </si>
  <si>
    <t>80940041123; 80940040566</t>
  </si>
  <si>
    <t>Atzars</t>
  </si>
  <si>
    <t>Kopā Peltes ielas</t>
  </si>
  <si>
    <t>* Iela nav pašvaldības īpašumā un nav noslēgta līguma par ielas uzturēšanu; iekļauts numerācijas saglabāšanai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</si>
  <si>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Siguldas pilsētā (Ķiparos)</t>
    </r>
  </si>
  <si>
    <t>Daudu iela</t>
  </si>
  <si>
    <t>Gravas iela</t>
  </si>
  <si>
    <t>Ievu iela</t>
  </si>
  <si>
    <t>Ķiparu iela</t>
  </si>
  <si>
    <t>Līgo iela</t>
  </si>
  <si>
    <t>Meža iela</t>
  </si>
  <si>
    <t>Nākotnes iela</t>
  </si>
  <si>
    <t>Purva iela</t>
  </si>
  <si>
    <t>Riekstu iela</t>
  </si>
  <si>
    <t>Tilta iela</t>
  </si>
  <si>
    <t>Upes iela</t>
  </si>
  <si>
    <t>Vējdzirnavu iela</t>
  </si>
  <si>
    <t>Viršu iela</t>
  </si>
  <si>
    <t>Zīļu iela</t>
  </si>
  <si>
    <t>Kopā Ķiparu ielas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</si>
  <si>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Siguldas pilsētā (Kalnabeitēs)</t>
    </r>
  </si>
  <si>
    <t>Kalnabeišu aleja</t>
  </si>
  <si>
    <t>Seleksa iela</t>
  </si>
  <si>
    <t>Kopā Kalnabeišu ielas</t>
  </si>
  <si>
    <t>Kopā Siguldas pilsētā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</si>
  <si>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Matiņu ciemā</t>
    </r>
  </si>
  <si>
    <t>Saltavota iela</t>
  </si>
  <si>
    <t>Kopā Matiņu ciema ielas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</si>
  <si>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Vējupītes ciemā</t>
    </r>
  </si>
  <si>
    <t>Asteru iela</t>
  </si>
  <si>
    <t>Dāliju iela</t>
  </si>
  <si>
    <t>Kūdru ceļš</t>
  </si>
  <si>
    <t>Narcišu iela</t>
  </si>
  <si>
    <t>Tulpju iela</t>
  </si>
  <si>
    <t>Vijolīšu iela</t>
  </si>
  <si>
    <t>Kopā Vējupītes ciema ielas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</si>
  <si>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Jūdažu ciemā</t>
    </r>
  </si>
  <si>
    <t>Ezera iela</t>
  </si>
  <si>
    <t>Kopā Jūdažu ciema ielas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</si>
  <si>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Mores ciemā</t>
    </r>
  </si>
  <si>
    <t>Pļavas iela</t>
  </si>
  <si>
    <t>Siguldas ielas piebr.c.</t>
  </si>
  <si>
    <t>Kopā Mores ciema ielas</t>
  </si>
  <si>
    <r>
      <rPr>
        <b/>
        <sz val="10"/>
        <rFont val="Arial"/>
        <family val="2"/>
        <charset val="186"/>
      </rPr>
      <t xml:space="preserve">Siguldas novada pašvaldības ikdienas uzturēšanas ielu saraksts </t>
    </r>
    <r>
      <rPr>
        <b/>
        <sz val="10"/>
        <color rgb="FFFF0000"/>
        <rFont val="Arial"/>
        <family val="2"/>
        <charset val="186"/>
      </rPr>
      <t>Allažu ciemā</t>
    </r>
  </si>
  <si>
    <t>Birztalu iela</t>
  </si>
  <si>
    <t>Centra iela</t>
  </si>
  <si>
    <t>Klusā iela</t>
  </si>
  <si>
    <t>Atzars (patapinājuma līgums)</t>
  </si>
  <si>
    <t>80420040137; 80420040393; 80420040085</t>
  </si>
  <si>
    <t>Līvu iela</t>
  </si>
  <si>
    <t>Mežu iela</t>
  </si>
  <si>
    <t>Ošu iela</t>
  </si>
  <si>
    <t>Pasta laukums</t>
  </si>
  <si>
    <t>Stārķu iela</t>
  </si>
  <si>
    <t>Zaļā iela</t>
  </si>
  <si>
    <t>gar valsts ceļu</t>
  </si>
  <si>
    <t>Kopā Allažu ciema ielas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</si>
  <si>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Egļupes ciemā (Siguldas pagastā)</t>
    </r>
  </si>
  <si>
    <t>Bišu iela</t>
  </si>
  <si>
    <t>Garā iela</t>
  </si>
  <si>
    <t>Īsā iela</t>
  </si>
  <si>
    <t>Koplietošanas iela</t>
  </si>
  <si>
    <t>Mežmaļu iela</t>
  </si>
  <si>
    <t>Mētru iela</t>
  </si>
  <si>
    <t>Siguldas iela</t>
  </si>
  <si>
    <t>Sila iela</t>
  </si>
  <si>
    <t>Silciema iela</t>
  </si>
  <si>
    <t>Sūnu iela</t>
  </si>
  <si>
    <t>Kopā Egļupes ciema ielas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</si>
  <si>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Mālpils ciemā</t>
    </r>
  </si>
  <si>
    <t xml:space="preserve">Alejas iela </t>
  </si>
  <si>
    <t xml:space="preserve">Celtnieku iela </t>
  </si>
  <si>
    <t>atzars</t>
  </si>
  <si>
    <t xml:space="preserve">Dīķu iela </t>
  </si>
  <si>
    <t xml:space="preserve">Dzirnavu iela </t>
  </si>
  <si>
    <t xml:space="preserve">Enerģētikas iela </t>
  </si>
  <si>
    <t xml:space="preserve">Jaunā iela </t>
  </si>
  <si>
    <t>8074 00 30755</t>
  </si>
  <si>
    <t xml:space="preserve">Kalna iela </t>
  </si>
  <si>
    <t xml:space="preserve">Klusā iela </t>
  </si>
  <si>
    <t xml:space="preserve">Krasta iela </t>
  </si>
  <si>
    <t xml:space="preserve">Lapu iela </t>
  </si>
  <si>
    <t xml:space="preserve">Lejciema iela </t>
  </si>
  <si>
    <t xml:space="preserve">Liepu iela </t>
  </si>
  <si>
    <t xml:space="preserve">Mergupes iela </t>
  </si>
  <si>
    <t xml:space="preserve">Ozolu iela </t>
  </si>
  <si>
    <t xml:space="preserve">Parka iela </t>
  </si>
  <si>
    <t xml:space="preserve">Pils iela </t>
  </si>
  <si>
    <t xml:space="preserve">Pilskalna iela </t>
  </si>
  <si>
    <t xml:space="preserve">Pīpeņu iela </t>
  </si>
  <si>
    <t xml:space="preserve">Rītausmas iela </t>
  </si>
  <si>
    <t xml:space="preserve">Rūpniecības iela </t>
  </si>
  <si>
    <t xml:space="preserve">Saules iela </t>
  </si>
  <si>
    <t xml:space="preserve">Skolas iela </t>
  </si>
  <si>
    <t xml:space="preserve">Smilšu iela </t>
  </si>
  <si>
    <t xml:space="preserve">Sniedzes iela </t>
  </si>
  <si>
    <t>80740030775; 80740030805</t>
  </si>
  <si>
    <t xml:space="preserve">Sporta iela </t>
  </si>
  <si>
    <t xml:space="preserve">Sprīdīšu iela </t>
  </si>
  <si>
    <t xml:space="preserve">Sudas iela </t>
  </si>
  <si>
    <t>Nr.1</t>
  </si>
  <si>
    <t xml:space="preserve"> X=320003       Y=557580</t>
  </si>
  <si>
    <t xml:space="preserve">Torņa iela </t>
  </si>
  <si>
    <t>80740030778; 80740030707</t>
  </si>
  <si>
    <t xml:space="preserve">Torņkalna iela </t>
  </si>
  <si>
    <t xml:space="preserve">Vecpils iela </t>
  </si>
  <si>
    <t xml:space="preserve">Vibrokas iela </t>
  </si>
  <si>
    <t xml:space="preserve">Vidus iela </t>
  </si>
  <si>
    <t xml:space="preserve">Vīnkalna iela </t>
  </si>
  <si>
    <t xml:space="preserve">Vītolu iela </t>
  </si>
  <si>
    <t xml:space="preserve">Zaļā iela </t>
  </si>
  <si>
    <t xml:space="preserve">Zemeņu iela </t>
  </si>
  <si>
    <t xml:space="preserve">Ziedoņa iela </t>
  </si>
  <si>
    <t xml:space="preserve">Ziedu iela </t>
  </si>
  <si>
    <t xml:space="preserve">Muzeja iela </t>
  </si>
  <si>
    <t xml:space="preserve">Melioratoru iela </t>
  </si>
  <si>
    <t xml:space="preserve">Salas iela </t>
  </si>
  <si>
    <t xml:space="preserve">Peldu iela </t>
  </si>
  <si>
    <t xml:space="preserve">Puķu iela </t>
  </si>
  <si>
    <t>Kopā Mālpils ciema ielas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</si>
  <si>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Upmalu ciemā</t>
    </r>
  </si>
  <si>
    <t xml:space="preserve">Tīnes iela </t>
  </si>
  <si>
    <t xml:space="preserve">Vīzēnu iela </t>
  </si>
  <si>
    <t>Kopā Upmalu ciema ielas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</si>
  <si>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Sidgundas ciemā</t>
    </r>
  </si>
  <si>
    <t xml:space="preserve">Ābeļu iela </t>
  </si>
  <si>
    <t xml:space="preserve">Kristālu iela </t>
  </si>
  <si>
    <t xml:space="preserve">Kantora iela </t>
  </si>
  <si>
    <t xml:space="preserve">Melderu iela </t>
  </si>
  <si>
    <t xml:space="preserve">Piena iela </t>
  </si>
  <si>
    <t xml:space="preserve">Rikteres iela </t>
  </si>
  <si>
    <t>Grants</t>
  </si>
  <si>
    <t xml:space="preserve">Mēness iela </t>
  </si>
  <si>
    <t xml:space="preserve">Pavasara iela </t>
  </si>
  <si>
    <t>80740050546; 80740050133004</t>
  </si>
  <si>
    <t xml:space="preserve">Bišu iela </t>
  </si>
  <si>
    <t>Kopā Sidgundas ciema ielas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</si>
  <si>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Inčukalna ciemā</t>
    </r>
  </si>
  <si>
    <t>Plānupes iela</t>
  </si>
  <si>
    <t>Rūpniecības iela</t>
  </si>
  <si>
    <t>Vecais ceļš</t>
  </si>
  <si>
    <t>Laimes iela</t>
  </si>
  <si>
    <t xml:space="preserve">Ausmas iela </t>
  </si>
  <si>
    <t>Caunas iela</t>
  </si>
  <si>
    <t>Mazā Smilšu iela</t>
  </si>
  <si>
    <t>Dzelzceļa iela</t>
  </si>
  <si>
    <t>Medņu iela</t>
  </si>
  <si>
    <t>Ozolu iela</t>
  </si>
  <si>
    <t>Vāveres iela</t>
  </si>
  <si>
    <t>Kopmītņu iela</t>
  </si>
  <si>
    <t>Avotkalnu iela</t>
  </si>
  <si>
    <t>Pasta iela</t>
  </si>
  <si>
    <t>Zemes iela</t>
  </si>
  <si>
    <t>Mazā Priežu iela</t>
  </si>
  <si>
    <t xml:space="preserve">Mākoņu iela </t>
  </si>
  <si>
    <t>Kopā Inčukalna ciema ielas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</si>
  <si>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Gaujas ciemā</t>
    </r>
  </si>
  <si>
    <t>Gaujaslīču iela</t>
  </si>
  <si>
    <t>Darbnīcu iela</t>
  </si>
  <si>
    <t>Kopā Gaujas ciema ielas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</si>
  <si>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Egļupes ciemā (Inčukalna pagastā)</t>
    </r>
  </si>
  <si>
    <t>Asaru iela</t>
  </si>
  <si>
    <t>Baložu iela</t>
  </si>
  <si>
    <t>Baseina iela</t>
  </si>
  <si>
    <t>Centra pirmā iela</t>
  </si>
  <si>
    <t>Centra otrā iela</t>
  </si>
  <si>
    <t>Centra trešā iela</t>
  </si>
  <si>
    <t>Centra ceturtā iela</t>
  </si>
  <si>
    <t>Centra piektā iela</t>
  </si>
  <si>
    <t>Centra sestā iela</t>
  </si>
  <si>
    <t>Centra septītā iela</t>
  </si>
  <si>
    <t xml:space="preserve">Dārzciema iela </t>
  </si>
  <si>
    <t>Egļupes iela</t>
  </si>
  <si>
    <t xml:space="preserve">Garā iela </t>
  </si>
  <si>
    <t>Loka iela</t>
  </si>
  <si>
    <t>Loka pirmā iela</t>
  </si>
  <si>
    <t>Loka otrā iela</t>
  </si>
  <si>
    <t>Loka trešā iela</t>
  </si>
  <si>
    <t>Loka ceturtā iela</t>
  </si>
  <si>
    <t>Loka piektā iela</t>
  </si>
  <si>
    <t>Loka sestā iela</t>
  </si>
  <si>
    <t>Loka septītā iela</t>
  </si>
  <si>
    <t>Loka astotā iela</t>
  </si>
  <si>
    <t>Nomaļu iela</t>
  </si>
  <si>
    <t>Pūces iela</t>
  </si>
  <si>
    <t>Rietumu iela</t>
  </si>
  <si>
    <t>Silpureņu iela</t>
  </si>
  <si>
    <t>Skudru iela</t>
  </si>
  <si>
    <t>Strazdu iela</t>
  </si>
  <si>
    <t>Vārnu iela</t>
  </si>
  <si>
    <t>Uzbēruma iela</t>
  </si>
  <si>
    <t>Zušu iela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</si>
  <si>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Krustiņu ciemā</t>
    </r>
  </si>
  <si>
    <t>Silziedu iela</t>
  </si>
  <si>
    <t>Ķieģeļu velves tilts</t>
  </si>
  <si>
    <t>24.683104; 57.125071</t>
  </si>
  <si>
    <t>Ķieģeļu mūra velves</t>
  </si>
  <si>
    <t>Ievkalnu iela</t>
  </si>
  <si>
    <t>80640020786; 80640020220</t>
  </si>
  <si>
    <t>Mazā Ievkalnu iela</t>
  </si>
  <si>
    <t>Kopā Krustiņu ciema ielas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</si>
  <si>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Kļavu ciemā</t>
    </r>
  </si>
  <si>
    <t>Biešu iela</t>
  </si>
  <si>
    <t>Bumbieru iela</t>
  </si>
  <si>
    <t xml:space="preserve">Ceriņu iela </t>
  </si>
  <si>
    <t>Kļavas iela</t>
  </si>
  <si>
    <t>Liliju iela</t>
  </si>
  <si>
    <t>Neļķu iela</t>
  </si>
  <si>
    <t>Sēnītes iela</t>
  </si>
  <si>
    <t>Ūdens iela</t>
  </si>
  <si>
    <t>Kopā Kļavu ciema ielas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</si>
  <si>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Raganas ciemā</t>
    </r>
  </si>
  <si>
    <t>Aviekstes iela</t>
  </si>
  <si>
    <t>80680070755001</t>
  </si>
  <si>
    <t>Gavēņu iela</t>
  </si>
  <si>
    <t>Gājēju iela</t>
  </si>
  <si>
    <t>80680070349005</t>
  </si>
  <si>
    <t>Meistaru iela</t>
  </si>
  <si>
    <t>80680070416008</t>
  </si>
  <si>
    <t>Sējas iela</t>
  </si>
  <si>
    <t>80680070593001</t>
  </si>
  <si>
    <t>Tirgus iela</t>
  </si>
  <si>
    <t>Vārpu iela</t>
  </si>
  <si>
    <t>Zaļkalna iela</t>
  </si>
  <si>
    <t>Kopā Raganas ciema ielas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</si>
  <si>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Inciema ciemā</t>
    </r>
  </si>
  <si>
    <t>Anšlava Eglīša iela</t>
  </si>
  <si>
    <t>80680050332001</t>
  </si>
  <si>
    <t>Kastaņu iela</t>
  </si>
  <si>
    <t>Mazā Ošu iela</t>
  </si>
  <si>
    <t>Mazā Gaujas iela</t>
  </si>
  <si>
    <t>Straupes iela</t>
  </si>
  <si>
    <t>Kopā Inciema ciema ielas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</si>
  <si>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Sunīšu ciemā</t>
    </r>
  </si>
  <si>
    <t>80680100203</t>
  </si>
  <si>
    <t>Ernesta Sovera iela</t>
  </si>
  <si>
    <t>Hemaņa Liepiņa iela</t>
  </si>
  <si>
    <t>Kopā Sunīšu ciema ielas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</si>
  <si>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Turaidas ciemā</t>
    </r>
  </si>
  <si>
    <t>Gaujiešu iela</t>
  </si>
  <si>
    <t>Zelmeņu iela</t>
  </si>
  <si>
    <t>80680090403001</t>
  </si>
  <si>
    <t>Kopā Turaidas ciema ielas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</si>
  <si>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Lēdurgas ciemā</t>
    </r>
  </si>
  <si>
    <t>Emiļa Melngaiļa iela</t>
  </si>
  <si>
    <t>Lakstīgalu iela</t>
  </si>
  <si>
    <t>Mazā Krasta iela</t>
  </si>
  <si>
    <t>66560020162004</t>
  </si>
  <si>
    <t>Upeskalna iela</t>
  </si>
  <si>
    <t>66560020161005</t>
  </si>
  <si>
    <t>Kopā Lēdurgas ciema ielas</t>
  </si>
  <si>
    <r>
      <rPr>
        <b/>
        <sz val="10"/>
        <rFont val="Arial"/>
        <family val="2"/>
        <charset val="186"/>
      </rPr>
      <t>Siguldas novada pašvaldības ikdienas uzturēšanas ielu saraksts</t>
    </r>
    <r>
      <rPr>
        <b/>
        <sz val="10"/>
        <color rgb="FFFF0000"/>
        <rFont val="Arial"/>
        <family val="2"/>
        <charset val="186"/>
      </rPr>
      <t xml:space="preserve"> Lodes ciemā</t>
    </r>
  </si>
  <si>
    <t>Kopā Lodes ciema ielas</t>
  </si>
  <si>
    <t>Kopā Siguldas novada ielas</t>
  </si>
  <si>
    <t>Datums</t>
  </si>
  <si>
    <r>
      <t xml:space="preserve">Sagatavoja  </t>
    </r>
    <r>
      <rPr>
        <u/>
        <sz val="8"/>
        <rFont val="Arial"/>
        <family val="2"/>
        <charset val="186"/>
      </rPr>
      <t xml:space="preserve">                                                                                                                                                          </t>
    </r>
  </si>
  <si>
    <t>Ceļu būvinženieris Rihards Keišs</t>
  </si>
  <si>
    <t>(amats, vārds, uzvārds )</t>
  </si>
  <si>
    <t>(paraksts)</t>
  </si>
  <si>
    <t>Apstiprināja</t>
  </si>
  <si>
    <t>Siguldas novada domes izpilddirektors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</si>
</sst>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"/>
  </numFmts>
  <fonts count="2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b/>
      <sz val="8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name val="Arial"/>
      <family val="2"/>
      <charset val="186"/>
    </font>
    <font>
      <vertAlign val="superscript"/>
      <sz val="8"/>
      <name val="Arial"/>
      <family val="2"/>
      <charset val="186"/>
    </font>
    <font>
      <i/>
      <sz val="7"/>
      <name val="Arial"/>
      <family val="2"/>
      <charset val="186"/>
    </font>
    <font>
      <i/>
      <sz val="8"/>
      <name val="Arial"/>
      <family val="2"/>
      <charset val="186"/>
    </font>
    <font>
      <sz val="8"/>
      <name val="Calibri"/>
      <family val="2"/>
      <scheme val="minor"/>
    </font>
    <font>
      <sz val="8"/>
      <color theme="1"/>
      <name val="Calibri"/>
      <family val="2"/>
      <charset val="186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186"/>
      <scheme val="minor"/>
    </font>
    <font>
      <i/>
      <sz val="8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sz val="8"/>
      <color rgb="FFFF0000"/>
      <name val="Arial"/>
      <family val="2"/>
      <charset val="186"/>
    </font>
    <font>
      <sz val="8"/>
      <color theme="1"/>
      <name val="Arial"/>
      <family val="2"/>
      <charset val="186"/>
    </font>
    <font>
      <i/>
      <sz val="8"/>
      <name val="Calibri"/>
      <family val="2"/>
      <charset val="186"/>
      <scheme val="minor"/>
    </font>
    <font>
      <sz val="11"/>
      <color indexed="8"/>
      <name val="Calibri"/>
      <family val="2"/>
    </font>
    <font>
      <sz val="8"/>
      <color theme="1" tint="4.9989318521683403E-2"/>
      <name val="Calibri"/>
      <family val="2"/>
      <scheme val="minor"/>
    </font>
    <font>
      <u/>
      <sz val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0" fillId="0" borderId="0"/>
  </cellStyleXfs>
  <cellXfs count="318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left" vertical="center"/>
    </xf>
    <xf numFmtId="0" fontId="11" fillId="0" borderId="1" xfId="1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/>
    </xf>
    <xf numFmtId="1" fontId="11" fillId="0" borderId="1" xfId="1" applyNumberFormat="1" applyFont="1" applyBorder="1"/>
    <xf numFmtId="0" fontId="11" fillId="0" borderId="1" xfId="1" applyFont="1" applyBorder="1"/>
    <xf numFmtId="0" fontId="10" fillId="0" borderId="11" xfId="1" applyFont="1" applyBorder="1" applyAlignment="1">
      <alignment horizontal="center" vertical="center"/>
    </xf>
    <xf numFmtId="0" fontId="11" fillId="0" borderId="1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0" fillId="0" borderId="10" xfId="1" applyFont="1" applyBorder="1" applyAlignment="1">
      <alignment horizontal="center" vertical="center"/>
    </xf>
    <xf numFmtId="0" fontId="11" fillId="0" borderId="10" xfId="1" applyFont="1" applyBorder="1" applyAlignment="1">
      <alignment horizontal="left" vertical="center"/>
    </xf>
    <xf numFmtId="0" fontId="10" fillId="0" borderId="11" xfId="1" applyFont="1" applyBorder="1" applyAlignment="1">
      <alignment horizontal="center"/>
    </xf>
    <xf numFmtId="0" fontId="11" fillId="0" borderId="1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164" fontId="11" fillId="0" borderId="1" xfId="1" applyNumberFormat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0" fontId="11" fillId="0" borderId="12" xfId="1" applyFont="1" applyBorder="1" applyAlignment="1">
      <alignment horizontal="left" vertical="center"/>
    </xf>
    <xf numFmtId="1" fontId="11" fillId="0" borderId="1" xfId="1" applyNumberFormat="1" applyFont="1" applyBorder="1" applyAlignment="1">
      <alignment horizontal="center"/>
    </xf>
    <xf numFmtId="0" fontId="11" fillId="0" borderId="6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 wrapText="1"/>
    </xf>
    <xf numFmtId="1" fontId="12" fillId="0" borderId="1" xfId="1" applyNumberFormat="1" applyFont="1" applyBorder="1"/>
    <xf numFmtId="0" fontId="12" fillId="0" borderId="1" xfId="1" applyFont="1" applyBorder="1"/>
    <xf numFmtId="0" fontId="13" fillId="0" borderId="11" xfId="1" applyFont="1" applyBorder="1" applyAlignment="1">
      <alignment horizontal="right" vertical="center"/>
    </xf>
    <xf numFmtId="0" fontId="11" fillId="0" borderId="9" xfId="1" applyFont="1" applyBorder="1" applyAlignment="1">
      <alignment horizontal="left" vertical="center"/>
    </xf>
    <xf numFmtId="0" fontId="10" fillId="0" borderId="12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10" fillId="0" borderId="10" xfId="1" applyFont="1" applyBorder="1"/>
    <xf numFmtId="0" fontId="11" fillId="0" borderId="10" xfId="1" applyFont="1" applyBorder="1"/>
    <xf numFmtId="1" fontId="11" fillId="0" borderId="1" xfId="1" applyNumberFormat="1" applyFont="1" applyBorder="1" applyAlignment="1">
      <alignment horizontal="right"/>
    </xf>
    <xf numFmtId="0" fontId="10" fillId="0" borderId="10" xfId="1" applyFont="1" applyBorder="1" applyAlignment="1">
      <alignment horizontal="center"/>
    </xf>
    <xf numFmtId="0" fontId="14" fillId="0" borderId="11" xfId="1" applyFont="1" applyBorder="1" applyAlignment="1">
      <alignment horizontal="right" vertical="center"/>
    </xf>
    <xf numFmtId="1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 wrapText="1"/>
    </xf>
    <xf numFmtId="1" fontId="15" fillId="0" borderId="1" xfId="1" applyNumberFormat="1" applyFont="1" applyBorder="1" applyAlignment="1">
      <alignment horizontal="center"/>
    </xf>
    <xf numFmtId="1" fontId="16" fillId="0" borderId="1" xfId="1" applyNumberFormat="1" applyFont="1" applyBorder="1"/>
    <xf numFmtId="0" fontId="11" fillId="0" borderId="7" xfId="1" applyFont="1" applyBorder="1" applyAlignment="1">
      <alignment horizontal="left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3" xfId="1" applyFont="1" applyBorder="1" applyAlignment="1">
      <alignment horizontal="left" vertical="center"/>
    </xf>
    <xf numFmtId="0" fontId="10" fillId="0" borderId="14" xfId="1" applyFont="1" applyBorder="1" applyAlignment="1">
      <alignment horizontal="center"/>
    </xf>
    <xf numFmtId="1" fontId="11" fillId="0" borderId="1" xfId="1" applyNumberFormat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11" fillId="0" borderId="1" xfId="1" applyFont="1" applyBorder="1" applyAlignment="1">
      <alignment horizontal="center" wrapText="1"/>
    </xf>
    <xf numFmtId="0" fontId="10" fillId="0" borderId="11" xfId="1" applyFont="1" applyBorder="1"/>
    <xf numFmtId="0" fontId="12" fillId="0" borderId="11" xfId="1" applyFont="1" applyBorder="1"/>
    <xf numFmtId="0" fontId="12" fillId="0" borderId="1" xfId="1" applyFont="1" applyBorder="1" applyAlignment="1">
      <alignment horizontal="center"/>
    </xf>
    <xf numFmtId="0" fontId="13" fillId="0" borderId="11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vertical="top"/>
    </xf>
    <xf numFmtId="0" fontId="9" fillId="0" borderId="0" xfId="1" applyFont="1" applyAlignment="1">
      <alignment horizontal="center" vertical="center"/>
    </xf>
    <xf numFmtId="3" fontId="2" fillId="0" borderId="0" xfId="1" applyNumberFormat="1" applyFont="1"/>
    <xf numFmtId="164" fontId="2" fillId="0" borderId="0" xfId="1" applyNumberFormat="1" applyFont="1"/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165" fontId="4" fillId="0" borderId="1" xfId="1" applyNumberFormat="1" applyFont="1" applyBorder="1" applyAlignment="1">
      <alignment horizontal="center"/>
    </xf>
    <xf numFmtId="3" fontId="4" fillId="0" borderId="1" xfId="1" applyNumberFormat="1" applyFont="1" applyBorder="1" applyAlignment="1">
      <alignment horizontal="right"/>
    </xf>
    <xf numFmtId="3" fontId="4" fillId="0" borderId="0" xfId="1" applyNumberFormat="1" applyFont="1" applyAlignment="1">
      <alignment horizontal="center"/>
    </xf>
    <xf numFmtId="0" fontId="4" fillId="0" borderId="2" xfId="1" applyFont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3" fontId="4" fillId="0" borderId="0" xfId="1" applyNumberFormat="1" applyFont="1" applyAlignment="1">
      <alignment horizontal="right"/>
    </xf>
    <xf numFmtId="0" fontId="4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4" fontId="2" fillId="0" borderId="1" xfId="1" applyNumberFormat="1" applyFont="1" applyBorder="1" applyAlignment="1">
      <alignment horizontal="right"/>
    </xf>
    <xf numFmtId="1" fontId="2" fillId="0" borderId="1" xfId="1" applyNumberFormat="1" applyFont="1" applyBorder="1" applyAlignment="1">
      <alignment horizontal="right"/>
    </xf>
    <xf numFmtId="0" fontId="4" fillId="0" borderId="0" xfId="1" applyFont="1" applyAlignment="1">
      <alignment horizontal="center"/>
    </xf>
    <xf numFmtId="1" fontId="4" fillId="0" borderId="0" xfId="1" applyNumberFormat="1" applyFont="1" applyAlignment="1">
      <alignment horizont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3" fontId="2" fillId="0" borderId="1" xfId="1" applyNumberFormat="1" applyFont="1" applyBorder="1"/>
    <xf numFmtId="166" fontId="2" fillId="0" borderId="0" xfId="1" applyNumberFormat="1" applyFont="1" applyAlignment="1">
      <alignment horizontal="center" vertical="center"/>
    </xf>
    <xf numFmtId="165" fontId="4" fillId="0" borderId="1" xfId="1" applyNumberFormat="1" applyFont="1" applyBorder="1" applyAlignment="1">
      <alignment horizontal="right"/>
    </xf>
    <xf numFmtId="165" fontId="2" fillId="0" borderId="1" xfId="1" applyNumberFormat="1" applyFont="1" applyBorder="1"/>
    <xf numFmtId="165" fontId="2" fillId="0" borderId="1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1" fontId="4" fillId="0" borderId="1" xfId="1" applyNumberFormat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165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165" fontId="2" fillId="0" borderId="0" xfId="1" applyNumberFormat="1" applyFont="1"/>
    <xf numFmtId="165" fontId="18" fillId="0" borderId="1" xfId="0" applyNumberFormat="1" applyFont="1" applyBorder="1"/>
    <xf numFmtId="0" fontId="6" fillId="0" borderId="0" xfId="1" applyFont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7" xfId="1" applyFont="1" applyBorder="1" applyAlignment="1">
      <alignment horizontal="left" vertical="center"/>
    </xf>
    <xf numFmtId="0" fontId="15" fillId="0" borderId="1" xfId="1" applyFont="1" applyBorder="1" applyAlignment="1">
      <alignment horizontal="center" vertical="center"/>
    </xf>
    <xf numFmtId="164" fontId="15" fillId="0" borderId="1" xfId="1" applyNumberFormat="1" applyFont="1" applyBorder="1" applyAlignment="1">
      <alignment horizontal="center"/>
    </xf>
    <xf numFmtId="1" fontId="15" fillId="0" borderId="1" xfId="1" applyNumberFormat="1" applyFont="1" applyBorder="1" applyAlignment="1">
      <alignment horizontal="right"/>
    </xf>
    <xf numFmtId="0" fontId="15" fillId="0" borderId="1" xfId="1" applyFont="1" applyBorder="1"/>
    <xf numFmtId="0" fontId="15" fillId="0" borderId="10" xfId="1" applyFont="1" applyBorder="1" applyAlignment="1">
      <alignment horizontal="center" vertical="center"/>
    </xf>
    <xf numFmtId="0" fontId="15" fillId="0" borderId="10" xfId="1" applyFont="1" applyBorder="1" applyAlignment="1">
      <alignment horizontal="left" vertical="center"/>
    </xf>
    <xf numFmtId="0" fontId="15" fillId="0" borderId="11" xfId="1" applyFont="1" applyBorder="1" applyAlignment="1">
      <alignment horizontal="center" vertical="center"/>
    </xf>
    <xf numFmtId="0" fontId="15" fillId="0" borderId="11" xfId="1" applyFont="1" applyBorder="1" applyAlignment="1">
      <alignment horizontal="left" vertical="center"/>
    </xf>
    <xf numFmtId="0" fontId="15" fillId="0" borderId="1" xfId="1" applyFont="1" applyBorder="1" applyAlignment="1">
      <alignment horizontal="left" vertical="center"/>
    </xf>
    <xf numFmtId="0" fontId="15" fillId="0" borderId="1" xfId="1" applyFont="1" applyBorder="1" applyAlignment="1">
      <alignment horizontal="center"/>
    </xf>
    <xf numFmtId="0" fontId="15" fillId="0" borderId="7" xfId="1" applyFont="1" applyBorder="1" applyAlignment="1">
      <alignment horizontal="center"/>
    </xf>
    <xf numFmtId="0" fontId="15" fillId="0" borderId="10" xfId="1" applyFont="1" applyBorder="1" applyAlignment="1">
      <alignment horizontal="center"/>
    </xf>
    <xf numFmtId="0" fontId="15" fillId="0" borderId="1" xfId="1" applyFont="1" applyBorder="1" applyAlignment="1">
      <alignment horizontal="right" vertical="center"/>
    </xf>
    <xf numFmtId="0" fontId="15" fillId="0" borderId="7" xfId="1" applyFont="1" applyBorder="1" applyAlignment="1">
      <alignment horizontal="left" vertical="center" wrapText="1"/>
    </xf>
    <xf numFmtId="0" fontId="15" fillId="0" borderId="7" xfId="1" applyFont="1" applyBorder="1" applyAlignment="1">
      <alignment horizontal="center" vertical="center" wrapText="1"/>
    </xf>
    <xf numFmtId="164" fontId="15" fillId="0" borderId="1" xfId="1" applyNumberFormat="1" applyFont="1" applyBorder="1" applyAlignment="1">
      <alignment horizontal="center" vertical="center"/>
    </xf>
    <xf numFmtId="1" fontId="15" fillId="0" borderId="1" xfId="1" applyNumberFormat="1" applyFont="1" applyBorder="1" applyAlignment="1">
      <alignment horizontal="right" vertical="center"/>
    </xf>
    <xf numFmtId="0" fontId="15" fillId="0" borderId="1" xfId="1" applyFont="1" applyBorder="1" applyAlignment="1">
      <alignment vertical="center"/>
    </xf>
    <xf numFmtId="0" fontId="15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left" vertical="center"/>
    </xf>
    <xf numFmtId="0" fontId="15" fillId="2" borderId="1" xfId="1" applyFont="1" applyFill="1" applyBorder="1" applyAlignment="1">
      <alignment horizontal="center" vertical="center" wrapText="1"/>
    </xf>
    <xf numFmtId="0" fontId="15" fillId="0" borderId="15" xfId="1" applyFont="1" applyBorder="1" applyAlignment="1">
      <alignment horizontal="left" vertical="center"/>
    </xf>
    <xf numFmtId="0" fontId="19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vertical="center"/>
    </xf>
    <xf numFmtId="0" fontId="4" fillId="0" borderId="16" xfId="1" applyFont="1" applyBorder="1" applyAlignment="1">
      <alignment vertical="center"/>
    </xf>
    <xf numFmtId="0" fontId="4" fillId="0" borderId="16" xfId="1" applyFont="1" applyBorder="1" applyAlignment="1">
      <alignment horizontal="center" vertical="center"/>
    </xf>
    <xf numFmtId="0" fontId="4" fillId="0" borderId="9" xfId="1" applyFont="1" applyBorder="1" applyAlignment="1">
      <alignment vertical="center"/>
    </xf>
    <xf numFmtId="165" fontId="4" fillId="0" borderId="11" xfId="1" applyNumberFormat="1" applyFont="1" applyBorder="1" applyAlignment="1">
      <alignment horizontal="center"/>
    </xf>
    <xf numFmtId="3" fontId="4" fillId="0" borderId="11" xfId="1" applyNumberFormat="1" applyFont="1" applyBorder="1" applyAlignment="1">
      <alignment horizontal="right"/>
    </xf>
    <xf numFmtId="3" fontId="4" fillId="0" borderId="0" xfId="1" applyNumberFormat="1" applyFont="1"/>
    <xf numFmtId="0" fontId="4" fillId="0" borderId="8" xfId="1" applyFont="1" applyBorder="1" applyAlignment="1">
      <alignment horizontal="center"/>
    </xf>
    <xf numFmtId="1" fontId="4" fillId="0" borderId="11" xfId="1" applyNumberFormat="1" applyFont="1" applyBorder="1" applyAlignment="1">
      <alignment horizontal="center"/>
    </xf>
    <xf numFmtId="165" fontId="4" fillId="0" borderId="0" xfId="1" applyNumberFormat="1" applyFont="1"/>
    <xf numFmtId="1" fontId="2" fillId="0" borderId="0" xfId="1" applyNumberFormat="1" applyFont="1" applyAlignment="1">
      <alignment horizontal="right"/>
    </xf>
    <xf numFmtId="0" fontId="2" fillId="3" borderId="0" xfId="1" applyFont="1" applyFill="1" applyAlignment="1">
      <alignment vertical="center"/>
    </xf>
    <xf numFmtId="165" fontId="2" fillId="0" borderId="0" xfId="1" applyNumberFormat="1" applyFont="1" applyAlignment="1">
      <alignment vertical="center"/>
    </xf>
    <xf numFmtId="1" fontId="15" fillId="0" borderId="1" xfId="1" applyNumberFormat="1" applyFont="1" applyBorder="1"/>
    <xf numFmtId="0" fontId="15" fillId="0" borderId="11" xfId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2" fillId="0" borderId="1" xfId="1" applyFont="1" applyBorder="1" applyAlignment="1">
      <alignment horizontal="center" vertical="center"/>
    </xf>
    <xf numFmtId="0" fontId="0" fillId="3" borderId="0" xfId="0" applyFill="1"/>
    <xf numFmtId="0" fontId="8" fillId="0" borderId="7" xfId="1" applyFont="1" applyBorder="1" applyAlignment="1">
      <alignment horizontal="center" vertical="center"/>
    </xf>
    <xf numFmtId="1" fontId="8" fillId="0" borderId="7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/>
    </xf>
    <xf numFmtId="1" fontId="2" fillId="0" borderId="0" xfId="1" applyNumberFormat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2" fillId="0" borderId="0" xfId="1" applyNumberFormat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horizontal="center" vertical="center"/>
    </xf>
    <xf numFmtId="165" fontId="15" fillId="0" borderId="0" xfId="1" applyNumberFormat="1" applyFont="1"/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 vertical="center"/>
    </xf>
    <xf numFmtId="164" fontId="15" fillId="0" borderId="0" xfId="1" applyNumberFormat="1" applyFont="1" applyAlignment="1">
      <alignment horizontal="center"/>
    </xf>
    <xf numFmtId="164" fontId="15" fillId="0" borderId="12" xfId="1" applyNumberFormat="1" applyFont="1" applyBorder="1" applyAlignment="1">
      <alignment horizontal="center" vertical="center"/>
    </xf>
    <xf numFmtId="164" fontId="15" fillId="0" borderId="12" xfId="1" applyNumberFormat="1" applyFont="1" applyBorder="1" applyAlignment="1">
      <alignment horizontal="center"/>
    </xf>
    <xf numFmtId="0" fontId="15" fillId="0" borderId="12" xfId="1" applyFont="1" applyBorder="1"/>
    <xf numFmtId="0" fontId="15" fillId="0" borderId="12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0" xfId="1" applyFont="1" applyBorder="1" applyAlignment="1">
      <alignment horizontal="left"/>
    </xf>
    <xf numFmtId="164" fontId="15" fillId="0" borderId="11" xfId="1" applyNumberFormat="1" applyFont="1" applyBorder="1" applyAlignment="1">
      <alignment horizontal="center" vertical="center"/>
    </xf>
    <xf numFmtId="164" fontId="11" fillId="0" borderId="11" xfId="1" applyNumberFormat="1" applyFont="1" applyBorder="1" applyAlignment="1">
      <alignment horizontal="center"/>
    </xf>
    <xf numFmtId="0" fontId="15" fillId="0" borderId="13" xfId="1" applyFont="1" applyBorder="1"/>
    <xf numFmtId="0" fontId="12" fillId="0" borderId="11" xfId="1" applyFont="1" applyBorder="1" applyAlignment="1">
      <alignment horizontal="center" vertical="center"/>
    </xf>
    <xf numFmtId="0" fontId="11" fillId="0" borderId="4" xfId="1" applyFont="1" applyBorder="1" applyAlignment="1">
      <alignment horizontal="left"/>
    </xf>
    <xf numFmtId="0" fontId="11" fillId="0" borderId="4" xfId="1" applyFont="1" applyBorder="1" applyAlignment="1">
      <alignment horizontal="center" vertical="center"/>
    </xf>
    <xf numFmtId="0" fontId="11" fillId="0" borderId="11" xfId="1" applyFont="1" applyBorder="1" applyAlignment="1">
      <alignment horizontal="left"/>
    </xf>
    <xf numFmtId="0" fontId="15" fillId="0" borderId="1" xfId="1" applyFont="1" applyBorder="1" applyAlignment="1">
      <alignment horizontal="left"/>
    </xf>
    <xf numFmtId="0" fontId="15" fillId="0" borderId="7" xfId="3" applyFont="1" applyBorder="1" applyAlignment="1">
      <alignment horizontal="center" vertical="center" wrapText="1"/>
    </xf>
    <xf numFmtId="0" fontId="15" fillId="0" borderId="6" xfId="3" applyFont="1" applyBorder="1" applyAlignment="1">
      <alignment vertical="center" wrapText="1"/>
    </xf>
    <xf numFmtId="0" fontId="15" fillId="0" borderId="1" xfId="3" applyFont="1" applyBorder="1" applyAlignment="1">
      <alignment horizontal="center" vertical="center" wrapText="1"/>
    </xf>
    <xf numFmtId="164" fontId="15" fillId="0" borderId="1" xfId="3" applyNumberFormat="1" applyFont="1" applyBorder="1" applyAlignment="1">
      <alignment horizontal="center" vertical="center"/>
    </xf>
    <xf numFmtId="0" fontId="15" fillId="0" borderId="1" xfId="3" applyFont="1" applyBorder="1" applyAlignment="1">
      <alignment horizontal="right" vertical="center" wrapText="1"/>
    </xf>
    <xf numFmtId="0" fontId="15" fillId="0" borderId="1" xfId="3" applyFont="1" applyBorder="1" applyAlignment="1">
      <alignment horizontal="left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15" xfId="3" applyFont="1" applyBorder="1" applyAlignment="1">
      <alignment vertical="center" wrapText="1"/>
    </xf>
    <xf numFmtId="0" fontId="15" fillId="0" borderId="11" xfId="3" applyFont="1" applyBorder="1" applyAlignment="1">
      <alignment horizontal="center" vertical="center" wrapText="1"/>
    </xf>
    <xf numFmtId="0" fontId="15" fillId="0" borderId="9" xfId="3" applyFont="1" applyBorder="1" applyAlignment="1">
      <alignment vertical="center" wrapText="1"/>
    </xf>
    <xf numFmtId="0" fontId="15" fillId="0" borderId="13" xfId="3" applyFont="1" applyBorder="1" applyAlignment="1">
      <alignment horizontal="left" vertical="center" wrapText="1"/>
    </xf>
    <xf numFmtId="0" fontId="15" fillId="0" borderId="9" xfId="3" applyFont="1" applyBorder="1" applyAlignment="1">
      <alignment horizontal="right" vertical="center" wrapText="1"/>
    </xf>
    <xf numFmtId="0" fontId="15" fillId="0" borderId="10" xfId="3" applyFont="1" applyBorder="1" applyAlignment="1">
      <alignment vertical="center" wrapText="1"/>
    </xf>
    <xf numFmtId="0" fontId="15" fillId="0" borderId="5" xfId="3" applyFont="1" applyBorder="1" applyAlignment="1">
      <alignment horizontal="center" vertical="center" wrapText="1"/>
    </xf>
    <xf numFmtId="0" fontId="15" fillId="0" borderId="7" xfId="3" applyFont="1" applyBorder="1" applyAlignment="1">
      <alignment vertical="center" wrapText="1"/>
    </xf>
    <xf numFmtId="0" fontId="15" fillId="0" borderId="8" xfId="3" applyFont="1" applyBorder="1" applyAlignment="1">
      <alignment horizontal="center" vertical="center" wrapText="1"/>
    </xf>
    <xf numFmtId="0" fontId="19" fillId="0" borderId="11" xfId="3" applyFont="1" applyBorder="1" applyAlignment="1">
      <alignment horizontal="right" vertical="center" wrapText="1"/>
    </xf>
    <xf numFmtId="0" fontId="11" fillId="0" borderId="11" xfId="3" applyFont="1" applyBorder="1" applyAlignment="1">
      <alignment vertical="center" wrapText="1"/>
    </xf>
    <xf numFmtId="0" fontId="15" fillId="0" borderId="12" xfId="3" applyFont="1" applyBorder="1" applyAlignment="1">
      <alignment horizontal="center" vertical="center" wrapText="1"/>
    </xf>
    <xf numFmtId="0" fontId="15" fillId="0" borderId="12" xfId="3" applyFont="1" applyBorder="1" applyAlignment="1">
      <alignment vertical="center" wrapText="1"/>
    </xf>
    <xf numFmtId="0" fontId="15" fillId="0" borderId="1" xfId="3" applyFont="1" applyBorder="1" applyAlignment="1">
      <alignment vertical="center" wrapText="1"/>
    </xf>
    <xf numFmtId="0" fontId="15" fillId="0" borderId="11" xfId="3" applyFont="1" applyBorder="1" applyAlignment="1">
      <alignment vertical="center" wrapText="1"/>
    </xf>
    <xf numFmtId="3" fontId="2" fillId="0" borderId="0" xfId="1" applyNumberFormat="1" applyFont="1" applyAlignment="1">
      <alignment vertical="center"/>
    </xf>
    <xf numFmtId="0" fontId="15" fillId="0" borderId="7" xfId="1" applyFont="1" applyBorder="1"/>
    <xf numFmtId="165" fontId="15" fillId="0" borderId="1" xfId="1" applyNumberFormat="1" applyFont="1" applyBorder="1" applyAlignment="1">
      <alignment horizontal="center"/>
    </xf>
    <xf numFmtId="165" fontId="15" fillId="0" borderId="1" xfId="1" applyNumberFormat="1" applyFont="1" applyBorder="1" applyAlignment="1">
      <alignment horizontal="center" vertical="center"/>
    </xf>
    <xf numFmtId="3" fontId="15" fillId="0" borderId="1" xfId="1" applyNumberFormat="1" applyFont="1" applyBorder="1"/>
    <xf numFmtId="164" fontId="15" fillId="0" borderId="4" xfId="1" applyNumberFormat="1" applyFont="1" applyBorder="1"/>
    <xf numFmtId="0" fontId="15" fillId="0" borderId="6" xfId="1" applyFont="1" applyBorder="1"/>
    <xf numFmtId="165" fontId="15" fillId="0" borderId="4" xfId="1" applyNumberFormat="1" applyFont="1" applyBorder="1" applyAlignment="1">
      <alignment horizontal="center"/>
    </xf>
    <xf numFmtId="0" fontId="19" fillId="0" borderId="9" xfId="1" applyFont="1" applyBorder="1" applyAlignment="1">
      <alignment horizontal="right"/>
    </xf>
    <xf numFmtId="0" fontId="15" fillId="0" borderId="10" xfId="1" applyFont="1" applyBorder="1"/>
    <xf numFmtId="0" fontId="15" fillId="0" borderId="9" xfId="1" applyFont="1" applyBorder="1"/>
    <xf numFmtId="0" fontId="15" fillId="0" borderId="11" xfId="1" applyFont="1" applyBorder="1"/>
    <xf numFmtId="0" fontId="15" fillId="0" borderId="15" xfId="1" applyFont="1" applyBorder="1"/>
    <xf numFmtId="164" fontId="15" fillId="0" borderId="1" xfId="1" applyNumberFormat="1" applyFont="1" applyBorder="1"/>
    <xf numFmtId="3" fontId="15" fillId="0" borderId="1" xfId="1" applyNumberFormat="1" applyFont="1" applyBorder="1" applyAlignment="1">
      <alignment vertical="center"/>
    </xf>
    <xf numFmtId="1" fontId="15" fillId="0" borderId="1" xfId="1" applyNumberFormat="1" applyFont="1" applyBorder="1" applyAlignment="1">
      <alignment horizontal="center" wrapText="1"/>
    </xf>
    <xf numFmtId="164" fontId="15" fillId="0" borderId="1" xfId="1" applyNumberFormat="1" applyFont="1" applyBorder="1" applyAlignment="1">
      <alignment horizontal="center" wrapText="1"/>
    </xf>
    <xf numFmtId="2" fontId="15" fillId="0" borderId="1" xfId="1" applyNumberFormat="1" applyFont="1" applyBorder="1" applyAlignment="1">
      <alignment horizontal="center"/>
    </xf>
    <xf numFmtId="1" fontId="15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right"/>
    </xf>
    <xf numFmtId="164" fontId="2" fillId="0" borderId="1" xfId="1" applyNumberFormat="1" applyFont="1" applyBorder="1"/>
    <xf numFmtId="164" fontId="2" fillId="0" borderId="1" xfId="1" applyNumberFormat="1" applyFont="1" applyBorder="1" applyAlignment="1">
      <alignment horizontal="center"/>
    </xf>
    <xf numFmtId="164" fontId="15" fillId="0" borderId="4" xfId="1" applyNumberFormat="1" applyFont="1" applyBorder="1" applyAlignment="1">
      <alignment horizontal="center"/>
    </xf>
    <xf numFmtId="0" fontId="15" fillId="0" borderId="1" xfId="1" applyFont="1" applyBorder="1" applyAlignment="1">
      <alignment horizontal="center" wrapText="1"/>
    </xf>
    <xf numFmtId="3" fontId="15" fillId="0" borderId="1" xfId="1" applyNumberFormat="1" applyFont="1" applyBorder="1" applyAlignment="1">
      <alignment horizontal="right"/>
    </xf>
    <xf numFmtId="1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 wrapText="1"/>
    </xf>
    <xf numFmtId="0" fontId="12" fillId="2" borderId="17" xfId="0" applyFont="1" applyFill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164" fontId="15" fillId="0" borderId="1" xfId="1" applyNumberFormat="1" applyFont="1" applyBorder="1" applyAlignment="1">
      <alignment wrapText="1"/>
    </xf>
    <xf numFmtId="0" fontId="15" fillId="0" borderId="6" xfId="1" applyFont="1" applyBorder="1" applyAlignment="1">
      <alignment horizontal="center" vertical="center"/>
    </xf>
    <xf numFmtId="0" fontId="12" fillId="0" borderId="12" xfId="2" applyFont="1" applyBorder="1" applyAlignment="1">
      <alignment horizontal="center"/>
    </xf>
    <xf numFmtId="0" fontId="12" fillId="0" borderId="12" xfId="2" applyFont="1" applyBorder="1"/>
    <xf numFmtId="0" fontId="12" fillId="0" borderId="7" xfId="2" applyFont="1" applyBorder="1" applyAlignment="1">
      <alignment horizontal="center" vertical="center"/>
    </xf>
    <xf numFmtId="164" fontId="12" fillId="0" borderId="1" xfId="2" applyNumberFormat="1" applyFont="1" applyBorder="1" applyAlignment="1">
      <alignment horizontal="center"/>
    </xf>
    <xf numFmtId="1" fontId="12" fillId="0" borderId="1" xfId="2" applyNumberFormat="1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0" fontId="12" fillId="0" borderId="1" xfId="2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2" fillId="0" borderId="7" xfId="2" applyFont="1" applyBorder="1"/>
    <xf numFmtId="49" fontId="12" fillId="0" borderId="1" xfId="2" applyNumberFormat="1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11" xfId="2" applyFont="1" applyBorder="1"/>
    <xf numFmtId="0" fontId="12" fillId="0" borderId="1" xfId="2" applyFont="1" applyBorder="1"/>
    <xf numFmtId="0" fontId="12" fillId="0" borderId="1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/>
    </xf>
    <xf numFmtId="0" fontId="13" fillId="0" borderId="10" xfId="2" applyFont="1" applyBorder="1" applyAlignment="1">
      <alignment horizontal="right"/>
    </xf>
    <xf numFmtId="0" fontId="11" fillId="0" borderId="1" xfId="2" applyFont="1" applyBorder="1" applyAlignment="1">
      <alignment horizontal="left"/>
    </xf>
    <xf numFmtId="0" fontId="11" fillId="0" borderId="1" xfId="2" applyFont="1" applyBorder="1" applyAlignment="1">
      <alignment horizontal="center" vertical="center"/>
    </xf>
    <xf numFmtId="0" fontId="21" fillId="0" borderId="1" xfId="2" applyFont="1" applyBorder="1"/>
    <xf numFmtId="0" fontId="21" fillId="0" borderId="1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top"/>
    </xf>
    <xf numFmtId="0" fontId="12" fillId="0" borderId="7" xfId="2" applyFont="1" applyBorder="1" applyAlignment="1">
      <alignment horizontal="left" vertical="top"/>
    </xf>
    <xf numFmtId="0" fontId="12" fillId="0" borderId="10" xfId="2" applyFont="1" applyBorder="1" applyAlignment="1">
      <alignment horizontal="center" vertical="top"/>
    </xf>
    <xf numFmtId="0" fontId="12" fillId="0" borderId="10" xfId="2" applyFont="1" applyBorder="1" applyAlignment="1">
      <alignment horizontal="left" vertical="top"/>
    </xf>
    <xf numFmtId="0" fontId="12" fillId="0" borderId="11" xfId="2" applyFont="1" applyBorder="1" applyAlignment="1">
      <alignment horizontal="center" vertical="top"/>
    </xf>
    <xf numFmtId="0" fontId="12" fillId="0" borderId="11" xfId="2" applyFont="1" applyBorder="1" applyAlignment="1">
      <alignment horizontal="left" vertical="top"/>
    </xf>
    <xf numFmtId="0" fontId="21" fillId="0" borderId="12" xfId="2" applyFont="1" applyBorder="1"/>
    <xf numFmtId="0" fontId="21" fillId="0" borderId="7" xfId="2" applyFont="1" applyBorder="1" applyAlignment="1">
      <alignment horizontal="center" vertical="center"/>
    </xf>
    <xf numFmtId="0" fontId="12" fillId="0" borderId="6" xfId="2" applyFont="1" applyBorder="1"/>
    <xf numFmtId="0" fontId="12" fillId="0" borderId="9" xfId="2" applyFont="1" applyBorder="1"/>
    <xf numFmtId="0" fontId="12" fillId="0" borderId="10" xfId="2" applyFont="1" applyBorder="1"/>
    <xf numFmtId="0" fontId="12" fillId="0" borderId="1" xfId="2" applyFont="1" applyBorder="1" applyAlignment="1">
      <alignment horizontal="center" wrapText="1"/>
    </xf>
    <xf numFmtId="0" fontId="21" fillId="0" borderId="7" xfId="2" applyFont="1" applyBorder="1" applyAlignment="1">
      <alignment horizontal="left" vertical="top"/>
    </xf>
    <xf numFmtId="0" fontId="21" fillId="0" borderId="11" xfId="2" applyFont="1" applyBorder="1" applyAlignment="1">
      <alignment horizontal="left" vertical="top"/>
    </xf>
    <xf numFmtId="0" fontId="21" fillId="0" borderId="7" xfId="2" applyFont="1" applyBorder="1"/>
    <xf numFmtId="0" fontId="2" fillId="0" borderId="11" xfId="1" applyFont="1" applyBorder="1"/>
    <xf numFmtId="0" fontId="21" fillId="0" borderId="10" xfId="2" applyFont="1" applyBorder="1"/>
    <xf numFmtId="0" fontId="12" fillId="0" borderId="1" xfId="2" applyFont="1" applyBorder="1" applyAlignment="1">
      <alignment horizontal="center" vertical="top"/>
    </xf>
    <xf numFmtId="164" fontId="12" fillId="0" borderId="4" xfId="2" applyNumberFormat="1" applyFont="1" applyBorder="1" applyAlignment="1">
      <alignment horizontal="center"/>
    </xf>
    <xf numFmtId="0" fontId="21" fillId="0" borderId="11" xfId="2" applyFont="1" applyBorder="1"/>
    <xf numFmtId="0" fontId="12" fillId="0" borderId="7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21" fillId="0" borderId="10" xfId="2" applyFont="1" applyBorder="1" applyAlignment="1">
      <alignment horizontal="left" vertical="top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wrapText="1"/>
    </xf>
    <xf numFmtId="0" fontId="11" fillId="0" borderId="11" xfId="2" applyFont="1" applyBorder="1" applyAlignment="1">
      <alignment horizontal="center" vertical="center" wrapText="1"/>
    </xf>
    <xf numFmtId="0" fontId="12" fillId="0" borderId="17" xfId="2" applyFont="1" applyBorder="1" applyAlignment="1">
      <alignment horizontal="center"/>
    </xf>
    <xf numFmtId="0" fontId="11" fillId="0" borderId="17" xfId="2" applyFont="1" applyBorder="1" applyAlignment="1">
      <alignment horizontal="left" wrapText="1"/>
    </xf>
    <xf numFmtId="0" fontId="12" fillId="0" borderId="14" xfId="2" applyFont="1" applyBorder="1" applyAlignment="1">
      <alignment horizontal="center"/>
    </xf>
    <xf numFmtId="49" fontId="12" fillId="0" borderId="17" xfId="2" applyNumberFormat="1" applyFont="1" applyBorder="1" applyAlignment="1">
      <alignment horizontal="center"/>
    </xf>
    <xf numFmtId="0" fontId="12" fillId="0" borderId="13" xfId="2" applyFont="1" applyBorder="1" applyAlignment="1">
      <alignment horizontal="center"/>
    </xf>
    <xf numFmtId="4" fontId="2" fillId="0" borderId="1" xfId="1" applyNumberFormat="1" applyFont="1" applyBorder="1" applyAlignment="1">
      <alignment horizontal="right"/>
    </xf>
    <xf numFmtId="0" fontId="2" fillId="0" borderId="18" xfId="1" applyFont="1" applyBorder="1" applyAlignment="1">
      <alignment horizontal="left"/>
    </xf>
    <xf numFmtId="164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18" xfId="1" applyFont="1" applyBorder="1"/>
    <xf numFmtId="164" fontId="2" fillId="0" borderId="18" xfId="2" applyNumberFormat="1" applyFont="1" applyBorder="1" applyAlignment="1">
      <alignment horizontal="center"/>
    </xf>
    <xf numFmtId="0" fontId="8" fillId="0" borderId="19" xfId="1" applyFont="1" applyBorder="1" applyAlignment="1">
      <alignment horizontal="center"/>
    </xf>
    <xf numFmtId="164" fontId="9" fillId="0" borderId="19" xfId="2" applyNumberFormat="1" applyFont="1" applyBorder="1" applyAlignment="1">
      <alignment horizontal="center"/>
    </xf>
  </cellXfs>
  <cellStyles count="4">
    <cellStyle name="Normal 2" xfId="1" xr:uid="{850C4D67-DB6D-40BD-80EE-F6E7EBB0D6AA}"/>
    <cellStyle name="Parasts" xfId="0" builtinId="0"/>
    <cellStyle name="Parasts 2" xfId="2" xr:uid="{5D73E9F8-8B5A-47B9-8AF0-BA948AC6E015}"/>
    <cellStyle name="Parasts 2 2" xfId="3" xr:uid="{A8D818F2-B297-42EA-AEE7-9B7D713934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B54C9-B0FD-4E22-8238-9C7353FDABC6}">
  <dimension ref="A1:AF1011"/>
  <sheetViews>
    <sheetView tabSelected="1" workbookViewId="0">
      <selection sqref="A1:XFD1048576"/>
    </sheetView>
  </sheetViews>
  <sheetFormatPr defaultColWidth="9.140625" defaultRowHeight="11.25" x14ac:dyDescent="0.2"/>
  <cols>
    <col min="1" max="1" width="3.5703125" style="1" customWidth="1"/>
    <col min="2" max="2" width="15.7109375" style="16" customWidth="1"/>
    <col min="3" max="3" width="10.7109375" style="16" customWidth="1"/>
    <col min="4" max="5" width="5.7109375" style="16" customWidth="1"/>
    <col min="6" max="6" width="9" style="224" customWidth="1"/>
    <col min="7" max="7" width="9.85546875" style="89" customWidth="1"/>
    <col min="8" max="8" width="11.28515625" style="16" customWidth="1"/>
    <col min="9" max="9" width="8.7109375" style="90" customWidth="1"/>
    <col min="10" max="10" width="5.7109375" style="91" customWidth="1"/>
    <col min="11" max="11" width="9.7109375" style="91" customWidth="1"/>
    <col min="12" max="12" width="6" style="91" customWidth="1"/>
    <col min="13" max="13" width="8.5703125" style="91" customWidth="1"/>
    <col min="14" max="14" width="10.140625" style="91" customWidth="1"/>
    <col min="15" max="15" width="9.7109375" style="91" customWidth="1"/>
    <col min="16" max="16" width="8.5703125" style="91" customWidth="1"/>
    <col min="17" max="17" width="13.7109375" style="91" customWidth="1"/>
    <col min="18" max="18" width="13" style="92" customWidth="1"/>
    <col min="19" max="16384" width="9.140625" style="16"/>
  </cols>
  <sheetData>
    <row r="1" spans="1:18" s="2" customFormat="1" ht="15" customHeight="1" x14ac:dyDescent="0.2">
      <c r="A1" s="1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5"/>
    </row>
    <row r="2" spans="1:18" s="2" customFormat="1" ht="15" customHeight="1" x14ac:dyDescent="0.25">
      <c r="A2" s="1"/>
      <c r="D2" s="6" t="s">
        <v>1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4"/>
      <c r="R2" s="7"/>
    </row>
    <row r="3" spans="1:18" ht="12.75" customHeight="1" x14ac:dyDescent="0.2">
      <c r="A3" s="8" t="s">
        <v>2</v>
      </c>
      <c r="B3" s="9" t="s">
        <v>3</v>
      </c>
      <c r="C3" s="10"/>
      <c r="D3" s="11" t="s">
        <v>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4" t="s">
        <v>5</v>
      </c>
      <c r="R3" s="15"/>
    </row>
    <row r="4" spans="1:18" ht="12.75" customHeight="1" x14ac:dyDescent="0.2">
      <c r="A4" s="8"/>
      <c r="B4" s="9"/>
      <c r="C4" s="17"/>
      <c r="D4" s="9" t="s">
        <v>6</v>
      </c>
      <c r="E4" s="9"/>
      <c r="F4" s="9"/>
      <c r="G4" s="9"/>
      <c r="H4" s="9"/>
      <c r="I4" s="18" t="s">
        <v>7</v>
      </c>
      <c r="J4" s="18"/>
      <c r="K4" s="18"/>
      <c r="L4" s="18"/>
      <c r="M4" s="18"/>
      <c r="N4" s="18"/>
      <c r="O4" s="18"/>
      <c r="P4" s="19" t="s">
        <v>8</v>
      </c>
      <c r="Q4" s="20"/>
      <c r="R4" s="21"/>
    </row>
    <row r="5" spans="1:18" ht="15.2" customHeight="1" x14ac:dyDescent="0.2">
      <c r="A5" s="8"/>
      <c r="B5" s="9"/>
      <c r="C5" s="17"/>
      <c r="D5" s="9" t="s">
        <v>9</v>
      </c>
      <c r="E5" s="9"/>
      <c r="F5" s="8" t="s">
        <v>10</v>
      </c>
      <c r="G5" s="8" t="s">
        <v>11</v>
      </c>
      <c r="H5" s="8" t="s">
        <v>12</v>
      </c>
      <c r="I5" s="18" t="s">
        <v>13</v>
      </c>
      <c r="J5" s="18" t="s">
        <v>14</v>
      </c>
      <c r="K5" s="18"/>
      <c r="L5" s="22" t="s">
        <v>15</v>
      </c>
      <c r="M5" s="22" t="s">
        <v>11</v>
      </c>
      <c r="N5" s="22" t="s">
        <v>16</v>
      </c>
      <c r="O5" s="22" t="s">
        <v>17</v>
      </c>
      <c r="P5" s="23"/>
      <c r="Q5" s="23" t="s">
        <v>18</v>
      </c>
      <c r="R5" s="24" t="s">
        <v>19</v>
      </c>
    </row>
    <row r="6" spans="1:18" ht="33.75" customHeight="1" x14ac:dyDescent="0.2">
      <c r="A6" s="8"/>
      <c r="B6" s="9"/>
      <c r="C6" s="25" t="s">
        <v>20</v>
      </c>
      <c r="D6" s="26" t="s">
        <v>21</v>
      </c>
      <c r="E6" s="26" t="s">
        <v>22</v>
      </c>
      <c r="F6" s="8"/>
      <c r="G6" s="8"/>
      <c r="H6" s="8"/>
      <c r="I6" s="18"/>
      <c r="J6" s="27" t="s">
        <v>23</v>
      </c>
      <c r="K6" s="27" t="s">
        <v>24</v>
      </c>
      <c r="L6" s="22"/>
      <c r="M6" s="22"/>
      <c r="N6" s="22"/>
      <c r="O6" s="22"/>
      <c r="P6" s="28"/>
      <c r="Q6" s="28"/>
      <c r="R6" s="29"/>
    </row>
    <row r="7" spans="1:18" s="32" customFormat="1" ht="12" customHeight="1" x14ac:dyDescent="0.25">
      <c r="A7" s="30">
        <v>1</v>
      </c>
      <c r="B7" s="30">
        <v>2</v>
      </c>
      <c r="C7" s="30"/>
      <c r="D7" s="30">
        <v>3</v>
      </c>
      <c r="E7" s="30">
        <v>4</v>
      </c>
      <c r="F7" s="30">
        <v>5</v>
      </c>
      <c r="G7" s="30">
        <v>6</v>
      </c>
      <c r="H7" s="30">
        <v>7</v>
      </c>
      <c r="I7" s="31">
        <v>8</v>
      </c>
      <c r="J7" s="31">
        <v>9</v>
      </c>
      <c r="K7" s="31">
        <v>10</v>
      </c>
      <c r="L7" s="31">
        <v>11</v>
      </c>
      <c r="M7" s="31">
        <v>12</v>
      </c>
      <c r="N7" s="31">
        <v>13</v>
      </c>
      <c r="O7" s="31">
        <v>14</v>
      </c>
      <c r="P7" s="31">
        <v>15</v>
      </c>
      <c r="Q7" s="31">
        <v>16</v>
      </c>
      <c r="R7" s="30">
        <v>17</v>
      </c>
    </row>
    <row r="8" spans="1:18" x14ac:dyDescent="0.2">
      <c r="A8" s="33">
        <v>1</v>
      </c>
      <c r="B8" s="34" t="s">
        <v>25</v>
      </c>
      <c r="C8" s="35" t="s">
        <v>26</v>
      </c>
      <c r="D8" s="36">
        <v>0</v>
      </c>
      <c r="E8" s="36">
        <f>D8+F8</f>
        <v>4.4999999999999998E-2</v>
      </c>
      <c r="F8" s="36">
        <v>4.4999999999999998E-2</v>
      </c>
      <c r="G8" s="37">
        <v>135</v>
      </c>
      <c r="H8" s="38" t="s">
        <v>27</v>
      </c>
      <c r="I8" s="37"/>
      <c r="J8" s="37"/>
      <c r="K8" s="37"/>
      <c r="L8" s="37"/>
      <c r="M8" s="37"/>
      <c r="N8" s="37"/>
      <c r="O8" s="37"/>
      <c r="P8" s="37"/>
      <c r="Q8" s="35">
        <v>80150021720</v>
      </c>
      <c r="R8" s="35">
        <v>80150021720</v>
      </c>
    </row>
    <row r="9" spans="1:18" x14ac:dyDescent="0.2">
      <c r="A9" s="39"/>
      <c r="B9" s="40"/>
      <c r="C9" s="35" t="s">
        <v>26</v>
      </c>
      <c r="D9" s="36">
        <f>E8</f>
        <v>4.4999999999999998E-2</v>
      </c>
      <c r="E9" s="36">
        <f>D9+F9</f>
        <v>0.13500000000000001</v>
      </c>
      <c r="F9" s="36">
        <v>0.09</v>
      </c>
      <c r="G9" s="37">
        <v>270</v>
      </c>
      <c r="H9" s="38" t="s">
        <v>27</v>
      </c>
      <c r="I9" s="37"/>
      <c r="J9" s="37"/>
      <c r="K9" s="37"/>
      <c r="L9" s="37"/>
      <c r="M9" s="37"/>
      <c r="N9" s="37"/>
      <c r="O9" s="37"/>
      <c r="P9" s="37"/>
      <c r="Q9" s="35">
        <v>80150021728</v>
      </c>
      <c r="R9" s="35">
        <v>80150021728</v>
      </c>
    </row>
    <row r="10" spans="1:18" x14ac:dyDescent="0.2">
      <c r="A10" s="41">
        <v>2</v>
      </c>
      <c r="B10" s="42" t="s">
        <v>28</v>
      </c>
      <c r="C10" s="35" t="s">
        <v>26</v>
      </c>
      <c r="D10" s="36">
        <v>0</v>
      </c>
      <c r="E10" s="36">
        <f t="shared" ref="E10:E73" si="0">D10+F10</f>
        <v>7.4999999999999997E-2</v>
      </c>
      <c r="F10" s="36">
        <v>7.4999999999999997E-2</v>
      </c>
      <c r="G10" s="37">
        <v>375</v>
      </c>
      <c r="H10" s="38" t="s">
        <v>29</v>
      </c>
      <c r="I10" s="37"/>
      <c r="J10" s="37"/>
      <c r="K10" s="37"/>
      <c r="L10" s="37"/>
      <c r="M10" s="37"/>
      <c r="N10" s="37"/>
      <c r="O10" s="37"/>
      <c r="P10" s="37">
        <v>81</v>
      </c>
      <c r="Q10" s="35">
        <v>80150031558</v>
      </c>
      <c r="R10" s="35">
        <v>80150031558</v>
      </c>
    </row>
    <row r="11" spans="1:18" x14ac:dyDescent="0.2">
      <c r="A11" s="41">
        <v>3</v>
      </c>
      <c r="B11" s="42" t="s">
        <v>30</v>
      </c>
      <c r="C11" s="35" t="s">
        <v>26</v>
      </c>
      <c r="D11" s="36">
        <v>0</v>
      </c>
      <c r="E11" s="36">
        <f t="shared" si="0"/>
        <v>0.21</v>
      </c>
      <c r="F11" s="36">
        <v>0.21</v>
      </c>
      <c r="G11" s="37">
        <v>1050</v>
      </c>
      <c r="H11" s="38" t="s">
        <v>27</v>
      </c>
      <c r="I11" s="37"/>
      <c r="J11" s="37"/>
      <c r="K11" s="37"/>
      <c r="L11" s="37"/>
      <c r="M11" s="37"/>
      <c r="N11" s="37"/>
      <c r="O11" s="37"/>
      <c r="P11" s="37"/>
      <c r="Q11" s="35">
        <v>80150030660</v>
      </c>
      <c r="R11" s="35">
        <v>80150030660</v>
      </c>
    </row>
    <row r="12" spans="1:18" x14ac:dyDescent="0.2">
      <c r="A12" s="33">
        <v>4</v>
      </c>
      <c r="B12" s="34" t="s">
        <v>31</v>
      </c>
      <c r="C12" s="35" t="s">
        <v>26</v>
      </c>
      <c r="D12" s="43">
        <v>0</v>
      </c>
      <c r="E12" s="43">
        <f t="shared" si="0"/>
        <v>0.17499999999999999</v>
      </c>
      <c r="F12" s="43">
        <v>0.17499999999999999</v>
      </c>
      <c r="G12" s="37">
        <v>700</v>
      </c>
      <c r="H12" s="38" t="s">
        <v>32</v>
      </c>
      <c r="I12" s="37"/>
      <c r="J12" s="37"/>
      <c r="K12" s="37"/>
      <c r="L12" s="37"/>
      <c r="M12" s="37"/>
      <c r="N12" s="37"/>
      <c r="O12" s="37"/>
      <c r="P12" s="37"/>
      <c r="Q12" s="35">
        <v>80150032142</v>
      </c>
      <c r="R12" s="35">
        <v>80150032142</v>
      </c>
    </row>
    <row r="13" spans="1:18" x14ac:dyDescent="0.2">
      <c r="A13" s="41">
        <v>5</v>
      </c>
      <c r="B13" s="42" t="s">
        <v>33</v>
      </c>
      <c r="C13" s="35" t="s">
        <v>34</v>
      </c>
      <c r="D13" s="36">
        <v>0</v>
      </c>
      <c r="E13" s="36">
        <f t="shared" si="0"/>
        <v>0.57499999999999996</v>
      </c>
      <c r="F13" s="36">
        <v>0.57499999999999996</v>
      </c>
      <c r="G13" s="37">
        <v>2875</v>
      </c>
      <c r="H13" s="38" t="s">
        <v>29</v>
      </c>
      <c r="I13" s="37"/>
      <c r="J13" s="37"/>
      <c r="K13" s="37"/>
      <c r="L13" s="37"/>
      <c r="M13" s="37"/>
      <c r="N13" s="37"/>
      <c r="O13" s="37"/>
      <c r="P13" s="37"/>
      <c r="Q13" s="44">
        <v>80150030142</v>
      </c>
      <c r="R13" s="44">
        <v>80150030142</v>
      </c>
    </row>
    <row r="14" spans="1:18" x14ac:dyDescent="0.2">
      <c r="A14" s="41">
        <v>6</v>
      </c>
      <c r="B14" s="42" t="s">
        <v>35</v>
      </c>
      <c r="C14" s="35" t="s">
        <v>26</v>
      </c>
      <c r="D14" s="36">
        <v>0</v>
      </c>
      <c r="E14" s="36">
        <f t="shared" si="0"/>
        <v>0.27500000000000002</v>
      </c>
      <c r="F14" s="36">
        <v>0.27500000000000002</v>
      </c>
      <c r="G14" s="37">
        <v>1238</v>
      </c>
      <c r="H14" s="38" t="s">
        <v>27</v>
      </c>
      <c r="I14" s="37"/>
      <c r="J14" s="37"/>
      <c r="K14" s="37"/>
      <c r="L14" s="37"/>
      <c r="M14" s="37"/>
      <c r="N14" s="37"/>
      <c r="O14" s="37"/>
      <c r="P14" s="37"/>
      <c r="Q14" s="35">
        <v>80150032140</v>
      </c>
      <c r="R14" s="35">
        <v>80150032140</v>
      </c>
    </row>
    <row r="15" spans="1:18" x14ac:dyDescent="0.2">
      <c r="A15" s="33">
        <v>7</v>
      </c>
      <c r="B15" s="34" t="s">
        <v>36</v>
      </c>
      <c r="C15" s="35" t="s">
        <v>26</v>
      </c>
      <c r="D15" s="36">
        <v>0</v>
      </c>
      <c r="E15" s="36">
        <f t="shared" si="0"/>
        <v>4.4999999999999998E-2</v>
      </c>
      <c r="F15" s="36">
        <v>4.4999999999999998E-2</v>
      </c>
      <c r="G15" s="37">
        <v>158</v>
      </c>
      <c r="H15" s="38" t="s">
        <v>27</v>
      </c>
      <c r="I15" s="37"/>
      <c r="J15" s="37"/>
      <c r="K15" s="37"/>
      <c r="L15" s="37"/>
      <c r="M15" s="37"/>
      <c r="N15" s="37"/>
      <c r="O15" s="37"/>
      <c r="P15" s="37"/>
      <c r="Q15" s="35">
        <v>80150030140</v>
      </c>
      <c r="R15" s="35">
        <v>80150030147</v>
      </c>
    </row>
    <row r="16" spans="1:18" x14ac:dyDescent="0.2">
      <c r="A16" s="45"/>
      <c r="B16" s="46"/>
      <c r="C16" s="35" t="s">
        <v>26</v>
      </c>
      <c r="D16" s="36">
        <f t="shared" ref="D16:D61" si="1">E15</f>
        <v>4.4999999999999998E-2</v>
      </c>
      <c r="E16" s="36">
        <f t="shared" si="0"/>
        <v>0.29499999999999998</v>
      </c>
      <c r="F16" s="36">
        <v>0.25</v>
      </c>
      <c r="G16" s="37">
        <v>1125</v>
      </c>
      <c r="H16" s="38" t="s">
        <v>29</v>
      </c>
      <c r="I16" s="37"/>
      <c r="J16" s="37"/>
      <c r="K16" s="37"/>
      <c r="L16" s="37"/>
      <c r="M16" s="37"/>
      <c r="N16" s="37"/>
      <c r="O16" s="37"/>
      <c r="P16" s="37"/>
      <c r="Q16" s="35">
        <v>80150030140</v>
      </c>
      <c r="R16" s="35">
        <v>80150030147</v>
      </c>
    </row>
    <row r="17" spans="1:18" x14ac:dyDescent="0.2">
      <c r="A17" s="47"/>
      <c r="B17" s="40"/>
      <c r="C17" s="35" t="s">
        <v>26</v>
      </c>
      <c r="D17" s="36">
        <f t="shared" si="1"/>
        <v>0.29499999999999998</v>
      </c>
      <c r="E17" s="36">
        <f t="shared" si="0"/>
        <v>0.64999999999999991</v>
      </c>
      <c r="F17" s="36">
        <v>0.35499999999999998</v>
      </c>
      <c r="G17" s="37">
        <v>1420</v>
      </c>
      <c r="H17" s="38" t="s">
        <v>27</v>
      </c>
      <c r="I17" s="37"/>
      <c r="J17" s="37"/>
      <c r="K17" s="37"/>
      <c r="L17" s="37"/>
      <c r="M17" s="37"/>
      <c r="N17" s="37"/>
      <c r="O17" s="37"/>
      <c r="P17" s="37"/>
      <c r="Q17" s="35">
        <v>80150030140</v>
      </c>
      <c r="R17" s="35">
        <v>80150030140</v>
      </c>
    </row>
    <row r="18" spans="1:18" x14ac:dyDescent="0.2">
      <c r="A18" s="33">
        <v>8</v>
      </c>
      <c r="B18" s="34" t="s">
        <v>37</v>
      </c>
      <c r="C18" s="35" t="s">
        <v>26</v>
      </c>
      <c r="D18" s="36">
        <v>0</v>
      </c>
      <c r="E18" s="36">
        <f t="shared" si="0"/>
        <v>0.155</v>
      </c>
      <c r="F18" s="36">
        <v>0.155</v>
      </c>
      <c r="G18" s="37">
        <v>620</v>
      </c>
      <c r="H18" s="38" t="s">
        <v>29</v>
      </c>
      <c r="I18" s="37"/>
      <c r="J18" s="37"/>
      <c r="K18" s="37"/>
      <c r="L18" s="37"/>
      <c r="M18" s="37"/>
      <c r="N18" s="37"/>
      <c r="O18" s="37"/>
      <c r="P18" s="37"/>
      <c r="Q18" s="35">
        <v>80150031189</v>
      </c>
      <c r="R18" s="35">
        <v>80150031189</v>
      </c>
    </row>
    <row r="19" spans="1:18" x14ac:dyDescent="0.2">
      <c r="A19" s="39"/>
      <c r="B19" s="40"/>
      <c r="C19" s="35" t="s">
        <v>26</v>
      </c>
      <c r="D19" s="36">
        <f t="shared" si="1"/>
        <v>0.155</v>
      </c>
      <c r="E19" s="36">
        <f t="shared" si="0"/>
        <v>0.32</v>
      </c>
      <c r="F19" s="36">
        <v>0.16500000000000001</v>
      </c>
      <c r="G19" s="37">
        <v>660</v>
      </c>
      <c r="H19" s="38" t="s">
        <v>29</v>
      </c>
      <c r="I19" s="37"/>
      <c r="J19" s="37"/>
      <c r="K19" s="37"/>
      <c r="L19" s="37"/>
      <c r="M19" s="37"/>
      <c r="N19" s="37"/>
      <c r="O19" s="37"/>
      <c r="P19" s="37"/>
      <c r="Q19" s="35">
        <v>80150031189</v>
      </c>
      <c r="R19" s="35">
        <v>80150031198</v>
      </c>
    </row>
    <row r="20" spans="1:18" x14ac:dyDescent="0.2">
      <c r="A20" s="39">
        <v>9</v>
      </c>
      <c r="B20" s="40" t="s">
        <v>38</v>
      </c>
      <c r="C20" s="48" t="s">
        <v>39</v>
      </c>
      <c r="D20" s="36">
        <v>0</v>
      </c>
      <c r="E20" s="36">
        <f t="shared" si="0"/>
        <v>0.47</v>
      </c>
      <c r="F20" s="36">
        <v>0.47</v>
      </c>
      <c r="G20" s="37">
        <v>3072</v>
      </c>
      <c r="H20" s="38" t="s">
        <v>29</v>
      </c>
      <c r="I20" s="37"/>
      <c r="J20" s="37"/>
      <c r="K20" s="37"/>
      <c r="L20" s="37"/>
      <c r="M20" s="37"/>
      <c r="N20" s="37"/>
      <c r="O20" s="37"/>
      <c r="P20" s="37">
        <v>1334</v>
      </c>
      <c r="Q20" s="35">
        <v>80150023439</v>
      </c>
      <c r="R20" s="35">
        <v>80150023439</v>
      </c>
    </row>
    <row r="21" spans="1:18" x14ac:dyDescent="0.2">
      <c r="A21" s="33">
        <v>10</v>
      </c>
      <c r="B21" s="34" t="s">
        <v>40</v>
      </c>
      <c r="C21" s="35" t="s">
        <v>39</v>
      </c>
      <c r="D21" s="36">
        <v>0</v>
      </c>
      <c r="E21" s="36">
        <f t="shared" si="0"/>
        <v>0.46500000000000002</v>
      </c>
      <c r="F21" s="36">
        <v>0.46500000000000002</v>
      </c>
      <c r="G21" s="37">
        <v>2558</v>
      </c>
      <c r="H21" s="38" t="s">
        <v>27</v>
      </c>
      <c r="I21" s="37"/>
      <c r="J21" s="37"/>
      <c r="K21" s="37"/>
      <c r="L21" s="37"/>
      <c r="M21" s="37"/>
      <c r="N21" s="37"/>
      <c r="O21" s="37"/>
      <c r="P21" s="37"/>
      <c r="Q21" s="35">
        <v>80150023438</v>
      </c>
      <c r="R21" s="35">
        <v>80150023438</v>
      </c>
    </row>
    <row r="22" spans="1:18" x14ac:dyDescent="0.2">
      <c r="A22" s="39"/>
      <c r="B22" s="40"/>
      <c r="C22" s="35" t="s">
        <v>39</v>
      </c>
      <c r="D22" s="36">
        <f>E21</f>
        <v>0.46500000000000002</v>
      </c>
      <c r="E22" s="36">
        <f t="shared" si="0"/>
        <v>1.5</v>
      </c>
      <c r="F22" s="36">
        <v>1.0349999999999999</v>
      </c>
      <c r="G22" s="37">
        <v>5995</v>
      </c>
      <c r="H22" s="38" t="s">
        <v>29</v>
      </c>
      <c r="I22" s="37"/>
      <c r="J22" s="37"/>
      <c r="K22" s="37"/>
      <c r="L22" s="37"/>
      <c r="M22" s="37"/>
      <c r="N22" s="37"/>
      <c r="O22" s="37"/>
      <c r="P22" s="37"/>
      <c r="Q22" s="35">
        <v>80150023438</v>
      </c>
      <c r="R22" s="35">
        <v>80150023438</v>
      </c>
    </row>
    <row r="23" spans="1:18" x14ac:dyDescent="0.2">
      <c r="A23" s="41">
        <v>11</v>
      </c>
      <c r="B23" s="42" t="s">
        <v>41</v>
      </c>
      <c r="C23" s="35" t="s">
        <v>26</v>
      </c>
      <c r="D23" s="36">
        <v>0</v>
      </c>
      <c r="E23" s="36">
        <f t="shared" si="0"/>
        <v>0.14000000000000001</v>
      </c>
      <c r="F23" s="36">
        <v>0.14000000000000001</v>
      </c>
      <c r="G23" s="37">
        <v>700</v>
      </c>
      <c r="H23" s="38" t="s">
        <v>32</v>
      </c>
      <c r="I23" s="37"/>
      <c r="J23" s="37"/>
      <c r="K23" s="37"/>
      <c r="L23" s="37"/>
      <c r="M23" s="37"/>
      <c r="N23" s="37"/>
      <c r="O23" s="37"/>
      <c r="P23" s="37"/>
      <c r="Q23" s="35">
        <v>80150031640</v>
      </c>
      <c r="R23" s="35">
        <v>80150031640</v>
      </c>
    </row>
    <row r="24" spans="1:18" x14ac:dyDescent="0.2">
      <c r="A24" s="41">
        <v>12</v>
      </c>
      <c r="B24" s="42" t="s">
        <v>42</v>
      </c>
      <c r="C24" s="35" t="s">
        <v>26</v>
      </c>
      <c r="D24" s="36">
        <v>0</v>
      </c>
      <c r="E24" s="36">
        <f t="shared" si="0"/>
        <v>0.23499999999999999</v>
      </c>
      <c r="F24" s="36">
        <v>0.23499999999999999</v>
      </c>
      <c r="G24" s="37">
        <v>705</v>
      </c>
      <c r="H24" s="38" t="s">
        <v>27</v>
      </c>
      <c r="I24" s="37"/>
      <c r="J24" s="37"/>
      <c r="K24" s="37"/>
      <c r="L24" s="37"/>
      <c r="M24" s="37"/>
      <c r="N24" s="37"/>
      <c r="O24" s="37"/>
      <c r="P24" s="37"/>
      <c r="Q24" s="44">
        <v>80150020968</v>
      </c>
      <c r="R24" s="44">
        <v>80150020968</v>
      </c>
    </row>
    <row r="25" spans="1:18" x14ac:dyDescent="0.2">
      <c r="A25" s="49">
        <v>13</v>
      </c>
      <c r="B25" s="42" t="s">
        <v>43</v>
      </c>
      <c r="C25" s="35" t="s">
        <v>26</v>
      </c>
      <c r="D25" s="36">
        <v>0</v>
      </c>
      <c r="E25" s="36">
        <f t="shared" si="0"/>
        <v>0.41</v>
      </c>
      <c r="F25" s="36">
        <v>0.41</v>
      </c>
      <c r="G25" s="37">
        <v>2460</v>
      </c>
      <c r="H25" s="38" t="s">
        <v>29</v>
      </c>
      <c r="I25" s="37"/>
      <c r="J25" s="37"/>
      <c r="K25" s="37"/>
      <c r="L25" s="37"/>
      <c r="M25" s="37"/>
      <c r="N25" s="37"/>
      <c r="O25" s="37"/>
      <c r="P25" s="37"/>
      <c r="Q25" s="35">
        <v>80150040444</v>
      </c>
      <c r="R25" s="35">
        <v>80150040444</v>
      </c>
    </row>
    <row r="26" spans="1:18" x14ac:dyDescent="0.2">
      <c r="A26" s="33">
        <v>14</v>
      </c>
      <c r="B26" s="34" t="s">
        <v>44</v>
      </c>
      <c r="C26" s="35" t="s">
        <v>39</v>
      </c>
      <c r="D26" s="36">
        <v>0</v>
      </c>
      <c r="E26" s="36">
        <f t="shared" si="0"/>
        <v>0.16</v>
      </c>
      <c r="F26" s="36">
        <v>0.16</v>
      </c>
      <c r="G26" s="37">
        <v>960</v>
      </c>
      <c r="H26" s="38" t="s">
        <v>29</v>
      </c>
      <c r="I26" s="37"/>
      <c r="J26" s="37"/>
      <c r="K26" s="37"/>
      <c r="L26" s="37"/>
      <c r="M26" s="37"/>
      <c r="N26" s="37"/>
      <c r="O26" s="37"/>
      <c r="P26" s="37">
        <v>277</v>
      </c>
      <c r="Q26" s="35">
        <v>80150024042</v>
      </c>
      <c r="R26" s="35">
        <v>80150024042</v>
      </c>
    </row>
    <row r="27" spans="1:18" x14ac:dyDescent="0.2">
      <c r="A27" s="39"/>
      <c r="B27" s="40"/>
      <c r="C27" s="35" t="s">
        <v>39</v>
      </c>
      <c r="D27" s="36">
        <f>E26+0.52</f>
        <v>0.68</v>
      </c>
      <c r="E27" s="36">
        <f t="shared" si="0"/>
        <v>0.92500000000000004</v>
      </c>
      <c r="F27" s="36">
        <v>0.245</v>
      </c>
      <c r="G27" s="37">
        <v>1470</v>
      </c>
      <c r="H27" s="38" t="s">
        <v>29</v>
      </c>
      <c r="I27" s="37"/>
      <c r="J27" s="37"/>
      <c r="K27" s="37"/>
      <c r="L27" s="37"/>
      <c r="M27" s="37"/>
      <c r="N27" s="37"/>
      <c r="O27" s="37"/>
      <c r="P27" s="37">
        <v>284</v>
      </c>
      <c r="Q27" s="35">
        <v>80150023737</v>
      </c>
      <c r="R27" s="35">
        <v>80150023737</v>
      </c>
    </row>
    <row r="28" spans="1:18" x14ac:dyDescent="0.2">
      <c r="A28" s="41">
        <v>15</v>
      </c>
      <c r="B28" s="42" t="s">
        <v>45</v>
      </c>
      <c r="C28" s="35" t="s">
        <v>26</v>
      </c>
      <c r="D28" s="36">
        <v>0</v>
      </c>
      <c r="E28" s="36">
        <f t="shared" si="0"/>
        <v>0.185</v>
      </c>
      <c r="F28" s="36">
        <v>0.185</v>
      </c>
      <c r="G28" s="37">
        <v>740</v>
      </c>
      <c r="H28" s="38" t="s">
        <v>27</v>
      </c>
      <c r="I28" s="37"/>
      <c r="J28" s="37"/>
      <c r="K28" s="37"/>
      <c r="L28" s="37"/>
      <c r="M28" s="37"/>
      <c r="N28" s="37"/>
      <c r="O28" s="37"/>
      <c r="P28" s="37"/>
      <c r="Q28" s="35">
        <v>80150032141</v>
      </c>
      <c r="R28" s="35">
        <v>80150032141</v>
      </c>
    </row>
    <row r="29" spans="1:18" x14ac:dyDescent="0.2">
      <c r="A29" s="41">
        <v>16</v>
      </c>
      <c r="B29" s="42" t="s">
        <v>46</v>
      </c>
      <c r="C29" s="35" t="s">
        <v>26</v>
      </c>
      <c r="D29" s="36">
        <v>0</v>
      </c>
      <c r="E29" s="36">
        <f t="shared" si="0"/>
        <v>0.18</v>
      </c>
      <c r="F29" s="36">
        <v>0.18</v>
      </c>
      <c r="G29" s="37">
        <v>810</v>
      </c>
      <c r="H29" s="38" t="s">
        <v>27</v>
      </c>
      <c r="I29" s="37"/>
      <c r="J29" s="37"/>
      <c r="K29" s="37"/>
      <c r="L29" s="37"/>
      <c r="M29" s="37"/>
      <c r="N29" s="37"/>
      <c r="O29" s="37"/>
      <c r="P29" s="37"/>
      <c r="Q29" s="35">
        <v>80150022977</v>
      </c>
      <c r="R29" s="35">
        <v>80150022977</v>
      </c>
    </row>
    <row r="30" spans="1:18" x14ac:dyDescent="0.2">
      <c r="A30" s="41">
        <v>17</v>
      </c>
      <c r="B30" s="42" t="s">
        <v>47</v>
      </c>
      <c r="C30" s="35" t="s">
        <v>26</v>
      </c>
      <c r="D30" s="36">
        <v>0</v>
      </c>
      <c r="E30" s="36">
        <f t="shared" si="0"/>
        <v>0.41</v>
      </c>
      <c r="F30" s="36">
        <v>0.41</v>
      </c>
      <c r="G30" s="37">
        <v>2050</v>
      </c>
      <c r="H30" s="38" t="s">
        <v>29</v>
      </c>
      <c r="I30" s="37"/>
      <c r="J30" s="37"/>
      <c r="K30" s="37"/>
      <c r="L30" s="37"/>
      <c r="M30" s="37"/>
      <c r="N30" s="37"/>
      <c r="O30" s="37"/>
      <c r="P30" s="37"/>
      <c r="Q30" s="35">
        <v>80150024773</v>
      </c>
      <c r="R30" s="35">
        <v>80150024773</v>
      </c>
    </row>
    <row r="31" spans="1:18" x14ac:dyDescent="0.2">
      <c r="A31" s="33">
        <v>18</v>
      </c>
      <c r="B31" s="34" t="s">
        <v>48</v>
      </c>
      <c r="C31" s="35" t="s">
        <v>26</v>
      </c>
      <c r="D31" s="36">
        <v>0</v>
      </c>
      <c r="E31" s="36">
        <f t="shared" si="0"/>
        <v>0.08</v>
      </c>
      <c r="F31" s="36">
        <v>0.08</v>
      </c>
      <c r="G31" s="37">
        <v>280</v>
      </c>
      <c r="H31" s="38" t="s">
        <v>27</v>
      </c>
      <c r="I31" s="37"/>
      <c r="J31" s="37"/>
      <c r="K31" s="37"/>
      <c r="L31" s="37"/>
      <c r="M31" s="37"/>
      <c r="N31" s="37"/>
      <c r="O31" s="37"/>
      <c r="P31" s="37"/>
      <c r="Q31" s="35">
        <v>80150010905</v>
      </c>
      <c r="R31" s="35">
        <v>80150010006</v>
      </c>
    </row>
    <row r="32" spans="1:18" x14ac:dyDescent="0.2">
      <c r="A32" s="39"/>
      <c r="B32" s="40"/>
      <c r="C32" s="35" t="s">
        <v>26</v>
      </c>
      <c r="D32" s="36">
        <v>0.13</v>
      </c>
      <c r="E32" s="36">
        <f t="shared" si="0"/>
        <v>0.30000000000000004</v>
      </c>
      <c r="F32" s="36">
        <v>0.17</v>
      </c>
      <c r="G32" s="37">
        <v>595</v>
      </c>
      <c r="H32" s="38" t="s">
        <v>27</v>
      </c>
      <c r="I32" s="37"/>
      <c r="J32" s="37"/>
      <c r="K32" s="37"/>
      <c r="L32" s="37"/>
      <c r="M32" s="37"/>
      <c r="N32" s="37"/>
      <c r="O32" s="37"/>
      <c r="P32" s="37"/>
      <c r="Q32" s="35">
        <v>80150010905</v>
      </c>
      <c r="R32" s="35">
        <v>80150010905</v>
      </c>
    </row>
    <row r="33" spans="1:18" x14ac:dyDescent="0.2">
      <c r="A33" s="33">
        <v>19</v>
      </c>
      <c r="B33" s="34" t="s">
        <v>49</v>
      </c>
      <c r="C33" s="35" t="s">
        <v>26</v>
      </c>
      <c r="D33" s="36">
        <v>0</v>
      </c>
      <c r="E33" s="36">
        <f t="shared" si="0"/>
        <v>2.5000000000000001E-2</v>
      </c>
      <c r="F33" s="36">
        <v>2.5000000000000001E-2</v>
      </c>
      <c r="G33" s="37">
        <v>90</v>
      </c>
      <c r="H33" s="38" t="s">
        <v>29</v>
      </c>
      <c r="I33" s="37"/>
      <c r="J33" s="37"/>
      <c r="K33" s="37"/>
      <c r="L33" s="37"/>
      <c r="M33" s="37"/>
      <c r="N33" s="37"/>
      <c r="O33" s="37"/>
      <c r="P33" s="37"/>
      <c r="Q33" s="35">
        <v>80150021726</v>
      </c>
      <c r="R33" s="35">
        <v>80150021726</v>
      </c>
    </row>
    <row r="34" spans="1:18" x14ac:dyDescent="0.2">
      <c r="A34" s="39"/>
      <c r="B34" s="40"/>
      <c r="C34" s="35" t="s">
        <v>26</v>
      </c>
      <c r="D34" s="36">
        <f>E33</f>
        <v>2.5000000000000001E-2</v>
      </c>
      <c r="E34" s="36">
        <f t="shared" si="0"/>
        <v>0.24299999999999999</v>
      </c>
      <c r="F34" s="36">
        <v>0.218</v>
      </c>
      <c r="G34" s="37">
        <v>982</v>
      </c>
      <c r="H34" s="38" t="s">
        <v>29</v>
      </c>
      <c r="I34" s="37"/>
      <c r="J34" s="37"/>
      <c r="K34" s="37"/>
      <c r="L34" s="37"/>
      <c r="M34" s="37"/>
      <c r="N34" s="37"/>
      <c r="O34" s="37"/>
      <c r="P34" s="37">
        <v>77</v>
      </c>
      <c r="Q34" s="35">
        <v>80150021822</v>
      </c>
      <c r="R34" s="35">
        <v>80150021822</v>
      </c>
    </row>
    <row r="35" spans="1:18" x14ac:dyDescent="0.2">
      <c r="A35" s="41">
        <v>20</v>
      </c>
      <c r="B35" s="42" t="s">
        <v>50</v>
      </c>
      <c r="C35" s="35" t="s">
        <v>26</v>
      </c>
      <c r="D35" s="36">
        <v>0</v>
      </c>
      <c r="E35" s="36">
        <f t="shared" si="0"/>
        <v>9.5000000000000001E-2</v>
      </c>
      <c r="F35" s="36">
        <v>9.5000000000000001E-2</v>
      </c>
      <c r="G35" s="37">
        <v>342</v>
      </c>
      <c r="H35" s="38" t="s">
        <v>29</v>
      </c>
      <c r="I35" s="37"/>
      <c r="J35" s="37"/>
      <c r="K35" s="37"/>
      <c r="L35" s="37"/>
      <c r="M35" s="37"/>
      <c r="N35" s="37"/>
      <c r="O35" s="37"/>
      <c r="P35" s="37"/>
      <c r="Q35" s="35">
        <v>80150024031</v>
      </c>
      <c r="R35" s="35">
        <v>80150024031</v>
      </c>
    </row>
    <row r="36" spans="1:18" x14ac:dyDescent="0.2">
      <c r="A36" s="33">
        <v>21</v>
      </c>
      <c r="B36" s="34" t="s">
        <v>51</v>
      </c>
      <c r="C36" s="35" t="s">
        <v>26</v>
      </c>
      <c r="D36" s="36">
        <v>0</v>
      </c>
      <c r="E36" s="36">
        <f t="shared" si="0"/>
        <v>3.5000000000000003E-2</v>
      </c>
      <c r="F36" s="36">
        <v>3.5000000000000003E-2</v>
      </c>
      <c r="G36" s="37">
        <v>210</v>
      </c>
      <c r="H36" s="38" t="s">
        <v>27</v>
      </c>
      <c r="I36" s="37"/>
      <c r="J36" s="37"/>
      <c r="K36" s="37"/>
      <c r="L36" s="37"/>
      <c r="M36" s="37"/>
      <c r="N36" s="37"/>
      <c r="O36" s="37"/>
      <c r="P36" s="37"/>
      <c r="Q36" s="35">
        <v>80150040317</v>
      </c>
      <c r="R36" s="35">
        <v>80150040129</v>
      </c>
    </row>
    <row r="37" spans="1:18" x14ac:dyDescent="0.2">
      <c r="A37" s="39"/>
      <c r="B37" s="40"/>
      <c r="C37" s="35" t="s">
        <v>26</v>
      </c>
      <c r="D37" s="36">
        <f t="shared" si="1"/>
        <v>3.5000000000000003E-2</v>
      </c>
      <c r="E37" s="36">
        <f t="shared" si="0"/>
        <v>0.33499999999999996</v>
      </c>
      <c r="F37" s="36">
        <v>0.3</v>
      </c>
      <c r="G37" s="37">
        <v>1800</v>
      </c>
      <c r="H37" s="38" t="s">
        <v>27</v>
      </c>
      <c r="I37" s="37"/>
      <c r="J37" s="37"/>
      <c r="K37" s="37"/>
      <c r="L37" s="37"/>
      <c r="M37" s="37"/>
      <c r="N37" s="37"/>
      <c r="O37" s="37"/>
      <c r="P37" s="37"/>
      <c r="Q37" s="35">
        <v>80150040317</v>
      </c>
      <c r="R37" s="35">
        <v>80150040317</v>
      </c>
    </row>
    <row r="38" spans="1:18" x14ac:dyDescent="0.2">
      <c r="A38" s="41">
        <v>22</v>
      </c>
      <c r="B38" s="42" t="s">
        <v>52</v>
      </c>
      <c r="C38" s="35" t="s">
        <v>26</v>
      </c>
      <c r="D38" s="50">
        <v>0</v>
      </c>
      <c r="E38" s="50">
        <f t="shared" si="0"/>
        <v>0.22500000000000001</v>
      </c>
      <c r="F38" s="50">
        <v>0.22500000000000001</v>
      </c>
      <c r="G38" s="37">
        <v>1013</v>
      </c>
      <c r="H38" s="38" t="s">
        <v>27</v>
      </c>
      <c r="I38" s="37"/>
      <c r="J38" s="37"/>
      <c r="K38" s="37"/>
      <c r="L38" s="37"/>
      <c r="M38" s="37"/>
      <c r="N38" s="37"/>
      <c r="O38" s="37"/>
      <c r="P38" s="37"/>
      <c r="Q38" s="35">
        <v>80150022259</v>
      </c>
      <c r="R38" s="35">
        <v>80150022259</v>
      </c>
    </row>
    <row r="39" spans="1:18" x14ac:dyDescent="0.2">
      <c r="A39" s="41">
        <v>23</v>
      </c>
      <c r="B39" s="42" t="s">
        <v>53</v>
      </c>
      <c r="C39" s="35" t="s">
        <v>26</v>
      </c>
      <c r="D39" s="36">
        <v>0</v>
      </c>
      <c r="E39" s="36">
        <f t="shared" si="0"/>
        <v>0.26</v>
      </c>
      <c r="F39" s="36">
        <v>0.26</v>
      </c>
      <c r="G39" s="37">
        <v>884</v>
      </c>
      <c r="H39" s="38" t="s">
        <v>29</v>
      </c>
      <c r="I39" s="37"/>
      <c r="J39" s="37"/>
      <c r="K39" s="37"/>
      <c r="L39" s="37"/>
      <c r="M39" s="37"/>
      <c r="N39" s="37"/>
      <c r="O39" s="37"/>
      <c r="P39" s="37"/>
      <c r="Q39" s="35">
        <v>80150030934</v>
      </c>
      <c r="R39" s="35">
        <v>80150030934</v>
      </c>
    </row>
    <row r="40" spans="1:18" x14ac:dyDescent="0.2">
      <c r="A40" s="41">
        <v>24</v>
      </c>
      <c r="B40" s="42" t="s">
        <v>54</v>
      </c>
      <c r="C40" s="35" t="s">
        <v>26</v>
      </c>
      <c r="D40" s="36">
        <v>0</v>
      </c>
      <c r="E40" s="36">
        <f t="shared" si="0"/>
        <v>0.27</v>
      </c>
      <c r="F40" s="36">
        <v>0.27</v>
      </c>
      <c r="G40" s="37">
        <v>1350</v>
      </c>
      <c r="H40" s="38" t="s">
        <v>32</v>
      </c>
      <c r="I40" s="37"/>
      <c r="J40" s="37"/>
      <c r="K40" s="37"/>
      <c r="L40" s="37"/>
      <c r="M40" s="37"/>
      <c r="N40" s="37"/>
      <c r="O40" s="37"/>
      <c r="P40" s="37"/>
      <c r="Q40" s="35">
        <v>80150024770</v>
      </c>
      <c r="R40" s="35">
        <v>80150024770</v>
      </c>
    </row>
    <row r="41" spans="1:18" x14ac:dyDescent="0.2">
      <c r="A41" s="41">
        <v>25</v>
      </c>
      <c r="B41" s="42" t="s">
        <v>55</v>
      </c>
      <c r="C41" s="35" t="s">
        <v>26</v>
      </c>
      <c r="D41" s="36">
        <v>0</v>
      </c>
      <c r="E41" s="36">
        <f t="shared" si="0"/>
        <v>0.27500000000000002</v>
      </c>
      <c r="F41" s="36">
        <v>0.27500000000000002</v>
      </c>
      <c r="G41" s="37">
        <v>1100</v>
      </c>
      <c r="H41" s="38" t="s">
        <v>27</v>
      </c>
      <c r="I41" s="37"/>
      <c r="J41" s="37"/>
      <c r="K41" s="37"/>
      <c r="L41" s="37"/>
      <c r="M41" s="37"/>
      <c r="N41" s="37"/>
      <c r="O41" s="37"/>
      <c r="P41" s="37"/>
      <c r="Q41" s="35">
        <v>80150022976</v>
      </c>
      <c r="R41" s="35">
        <v>80150022976</v>
      </c>
    </row>
    <row r="42" spans="1:18" x14ac:dyDescent="0.2">
      <c r="A42" s="41">
        <v>26</v>
      </c>
      <c r="B42" s="42" t="s">
        <v>56</v>
      </c>
      <c r="C42" s="35" t="s">
        <v>26</v>
      </c>
      <c r="D42" s="36">
        <v>0</v>
      </c>
      <c r="E42" s="36">
        <f t="shared" si="0"/>
        <v>0.18</v>
      </c>
      <c r="F42" s="36">
        <v>0.18</v>
      </c>
      <c r="G42" s="37">
        <v>720</v>
      </c>
      <c r="H42" s="38" t="s">
        <v>27</v>
      </c>
      <c r="I42" s="37"/>
      <c r="J42" s="37"/>
      <c r="K42" s="37"/>
      <c r="L42" s="37"/>
      <c r="M42" s="37"/>
      <c r="N42" s="37"/>
      <c r="O42" s="37"/>
      <c r="P42" s="37"/>
      <c r="Q42" s="35">
        <v>80940040874</v>
      </c>
      <c r="R42" s="35">
        <v>80940040874</v>
      </c>
    </row>
    <row r="43" spans="1:18" x14ac:dyDescent="0.2">
      <c r="A43" s="41">
        <v>27</v>
      </c>
      <c r="B43" s="42" t="s">
        <v>57</v>
      </c>
      <c r="C43" s="35" t="s">
        <v>26</v>
      </c>
      <c r="D43" s="36">
        <v>0</v>
      </c>
      <c r="E43" s="36">
        <f t="shared" si="0"/>
        <v>0.23499999999999999</v>
      </c>
      <c r="F43" s="36">
        <v>0.23499999999999999</v>
      </c>
      <c r="G43" s="37">
        <v>823</v>
      </c>
      <c r="H43" s="38" t="s">
        <v>27</v>
      </c>
      <c r="I43" s="37"/>
      <c r="J43" s="37"/>
      <c r="K43" s="37"/>
      <c r="L43" s="37"/>
      <c r="M43" s="37"/>
      <c r="N43" s="37"/>
      <c r="O43" s="37"/>
      <c r="P43" s="37"/>
      <c r="Q43" s="35">
        <v>80150023741</v>
      </c>
      <c r="R43" s="35">
        <v>80150023741</v>
      </c>
    </row>
    <row r="44" spans="1:18" x14ac:dyDescent="0.2">
      <c r="A44" s="41">
        <v>28</v>
      </c>
      <c r="B44" s="42" t="s">
        <v>58</v>
      </c>
      <c r="C44" s="35" t="s">
        <v>39</v>
      </c>
      <c r="D44" s="36">
        <v>0</v>
      </c>
      <c r="E44" s="36">
        <f t="shared" si="0"/>
        <v>0.55000000000000004</v>
      </c>
      <c r="F44" s="36">
        <v>0.55000000000000004</v>
      </c>
      <c r="G44" s="37">
        <v>3300</v>
      </c>
      <c r="H44" s="38" t="s">
        <v>29</v>
      </c>
      <c r="I44" s="37"/>
      <c r="J44" s="37"/>
      <c r="K44" s="37"/>
      <c r="L44" s="37"/>
      <c r="M44" s="37"/>
      <c r="N44" s="37"/>
      <c r="O44" s="37"/>
      <c r="P44" s="37">
        <v>1836</v>
      </c>
      <c r="Q44" s="35">
        <v>80150021821</v>
      </c>
      <c r="R44" s="35">
        <v>80150021821</v>
      </c>
    </row>
    <row r="45" spans="1:18" x14ac:dyDescent="0.2">
      <c r="A45" s="41">
        <v>29</v>
      </c>
      <c r="B45" s="42" t="s">
        <v>59</v>
      </c>
      <c r="C45" s="35" t="s">
        <v>26</v>
      </c>
      <c r="D45" s="36">
        <v>0</v>
      </c>
      <c r="E45" s="36">
        <f t="shared" si="0"/>
        <v>0.22500000000000001</v>
      </c>
      <c r="F45" s="36">
        <v>0.22500000000000001</v>
      </c>
      <c r="G45" s="37">
        <v>945</v>
      </c>
      <c r="H45" s="38" t="s">
        <v>29</v>
      </c>
      <c r="I45" s="37"/>
      <c r="J45" s="37"/>
      <c r="K45" s="37"/>
      <c r="L45" s="37"/>
      <c r="M45" s="37"/>
      <c r="N45" s="37"/>
      <c r="O45" s="37"/>
      <c r="P45" s="37"/>
      <c r="Q45" s="35">
        <v>80150022258</v>
      </c>
      <c r="R45" s="35">
        <v>80150022258</v>
      </c>
    </row>
    <row r="46" spans="1:18" x14ac:dyDescent="0.2">
      <c r="A46" s="41">
        <v>30</v>
      </c>
      <c r="B46" s="42" t="s">
        <v>60</v>
      </c>
      <c r="C46" s="35" t="s">
        <v>26</v>
      </c>
      <c r="D46" s="36">
        <v>0</v>
      </c>
      <c r="E46" s="36">
        <f t="shared" si="0"/>
        <v>0.65</v>
      </c>
      <c r="F46" s="36">
        <v>0.65</v>
      </c>
      <c r="G46" s="37">
        <v>2275</v>
      </c>
      <c r="H46" s="38" t="s">
        <v>32</v>
      </c>
      <c r="I46" s="37"/>
      <c r="J46" s="37"/>
      <c r="K46" s="37"/>
      <c r="L46" s="37"/>
      <c r="M46" s="37"/>
      <c r="N46" s="37"/>
      <c r="O46" s="37"/>
      <c r="P46" s="37"/>
      <c r="Q46" s="35">
        <v>80150022127</v>
      </c>
      <c r="R46" s="35">
        <v>80150022127</v>
      </c>
    </row>
    <row r="47" spans="1:18" x14ac:dyDescent="0.2">
      <c r="A47" s="41">
        <v>31</v>
      </c>
      <c r="B47" s="42" t="s">
        <v>61</v>
      </c>
      <c r="C47" s="35" t="s">
        <v>26</v>
      </c>
      <c r="D47" s="36">
        <v>0</v>
      </c>
      <c r="E47" s="36">
        <f t="shared" si="0"/>
        <v>0.44500000000000001</v>
      </c>
      <c r="F47" s="36">
        <v>0.44500000000000001</v>
      </c>
      <c r="G47" s="37">
        <v>2448</v>
      </c>
      <c r="H47" s="38" t="s">
        <v>32</v>
      </c>
      <c r="I47" s="37"/>
      <c r="J47" s="37"/>
      <c r="K47" s="37"/>
      <c r="L47" s="37"/>
      <c r="M47" s="37"/>
      <c r="N47" s="37"/>
      <c r="O47" s="37"/>
      <c r="P47" s="37"/>
      <c r="Q47" s="35">
        <v>80150032358</v>
      </c>
      <c r="R47" s="35">
        <v>80150032358</v>
      </c>
    </row>
    <row r="48" spans="1:18" x14ac:dyDescent="0.2">
      <c r="A48" s="41">
        <v>32</v>
      </c>
      <c r="B48" s="34" t="s">
        <v>62</v>
      </c>
      <c r="C48" s="51" t="s">
        <v>26</v>
      </c>
      <c r="D48" s="36">
        <v>0</v>
      </c>
      <c r="E48" s="36">
        <f t="shared" si="0"/>
        <v>0.29399999999999998</v>
      </c>
      <c r="F48" s="36">
        <v>0.29399999999999998</v>
      </c>
      <c r="G48" s="37">
        <v>1470</v>
      </c>
      <c r="H48" s="38" t="s">
        <v>63</v>
      </c>
      <c r="I48" s="37"/>
      <c r="J48" s="37"/>
      <c r="K48" s="37"/>
      <c r="L48" s="37"/>
      <c r="M48" s="37"/>
      <c r="N48" s="37"/>
      <c r="O48" s="37"/>
      <c r="P48" s="37">
        <v>318</v>
      </c>
      <c r="Q48" s="35">
        <v>80150021426</v>
      </c>
      <c r="R48" s="52" t="s">
        <v>64</v>
      </c>
    </row>
    <row r="49" spans="1:18" x14ac:dyDescent="0.2">
      <c r="A49" s="41">
        <v>33</v>
      </c>
      <c r="B49" s="53" t="s">
        <v>65</v>
      </c>
      <c r="C49" s="51" t="s">
        <v>39</v>
      </c>
      <c r="D49" s="36">
        <v>0</v>
      </c>
      <c r="E49" s="36">
        <f t="shared" si="0"/>
        <v>1.5</v>
      </c>
      <c r="F49" s="36">
        <v>1.5</v>
      </c>
      <c r="G49" s="37">
        <v>9000</v>
      </c>
      <c r="H49" s="38" t="s">
        <v>29</v>
      </c>
      <c r="I49" s="37"/>
      <c r="J49" s="37"/>
      <c r="K49" s="37"/>
      <c r="L49" s="37"/>
      <c r="M49" s="37"/>
      <c r="N49" s="37"/>
      <c r="O49" s="37"/>
      <c r="P49" s="37">
        <v>4214</v>
      </c>
      <c r="Q49" s="35">
        <v>80150023737</v>
      </c>
      <c r="R49" s="35">
        <v>80150023737</v>
      </c>
    </row>
    <row r="50" spans="1:18" x14ac:dyDescent="0.2">
      <c r="A50" s="41">
        <v>34</v>
      </c>
      <c r="B50" s="34" t="s">
        <v>66</v>
      </c>
      <c r="C50" s="51" t="s">
        <v>26</v>
      </c>
      <c r="D50" s="36">
        <v>0</v>
      </c>
      <c r="E50" s="36">
        <v>0.217</v>
      </c>
      <c r="F50" s="36">
        <v>0.217</v>
      </c>
      <c r="G50" s="37">
        <v>950</v>
      </c>
      <c r="H50" s="38" t="s">
        <v>32</v>
      </c>
      <c r="I50" s="37"/>
      <c r="J50" s="37"/>
      <c r="K50" s="37"/>
      <c r="L50" s="37"/>
      <c r="M50" s="37"/>
      <c r="N50" s="37"/>
      <c r="O50" s="37"/>
      <c r="P50" s="37"/>
      <c r="Q50" s="54">
        <v>80150031849</v>
      </c>
      <c r="R50" s="54">
        <v>80150031849</v>
      </c>
    </row>
    <row r="51" spans="1:18" x14ac:dyDescent="0.2">
      <c r="A51" s="41">
        <v>35</v>
      </c>
      <c r="B51" s="42" t="s">
        <v>67</v>
      </c>
      <c r="C51" s="35" t="s">
        <v>26</v>
      </c>
      <c r="D51" s="36">
        <v>0</v>
      </c>
      <c r="E51" s="36">
        <f t="shared" si="0"/>
        <v>0.16500000000000001</v>
      </c>
      <c r="F51" s="36">
        <v>0.16500000000000001</v>
      </c>
      <c r="G51" s="37">
        <v>660</v>
      </c>
      <c r="H51" s="38" t="s">
        <v>32</v>
      </c>
      <c r="I51" s="37"/>
      <c r="J51" s="37"/>
      <c r="K51" s="37"/>
      <c r="L51" s="37"/>
      <c r="M51" s="37"/>
      <c r="N51" s="37"/>
      <c r="O51" s="37"/>
      <c r="P51" s="37"/>
      <c r="Q51" s="35">
        <v>80150031641</v>
      </c>
      <c r="R51" s="35">
        <v>80150031641</v>
      </c>
    </row>
    <row r="52" spans="1:18" x14ac:dyDescent="0.2">
      <c r="A52" s="41">
        <v>36</v>
      </c>
      <c r="B52" s="34" t="s">
        <v>68</v>
      </c>
      <c r="C52" s="51" t="s">
        <v>26</v>
      </c>
      <c r="D52" s="36">
        <v>0</v>
      </c>
      <c r="E52" s="36">
        <v>0.43099999999999999</v>
      </c>
      <c r="F52" s="36">
        <v>0.43099999999999999</v>
      </c>
      <c r="G52" s="37">
        <v>3452</v>
      </c>
      <c r="H52" s="38" t="s">
        <v>63</v>
      </c>
      <c r="I52" s="37"/>
      <c r="J52" s="37"/>
      <c r="K52" s="37"/>
      <c r="L52" s="37"/>
      <c r="M52" s="37"/>
      <c r="N52" s="37"/>
      <c r="O52" s="37"/>
      <c r="P52" s="37"/>
      <c r="Q52" s="35">
        <v>80150022436</v>
      </c>
      <c r="R52" s="35">
        <v>80150022436</v>
      </c>
    </row>
    <row r="53" spans="1:18" x14ac:dyDescent="0.2">
      <c r="A53" s="41">
        <v>37</v>
      </c>
      <c r="B53" s="53" t="s">
        <v>69</v>
      </c>
      <c r="C53" s="51" t="s">
        <v>26</v>
      </c>
      <c r="D53" s="36">
        <v>0</v>
      </c>
      <c r="E53" s="36">
        <f t="shared" si="0"/>
        <v>7.4999999999999997E-2</v>
      </c>
      <c r="F53" s="36">
        <v>7.4999999999999997E-2</v>
      </c>
      <c r="G53" s="37">
        <v>225</v>
      </c>
      <c r="H53" s="38" t="s">
        <v>70</v>
      </c>
      <c r="I53" s="37"/>
      <c r="J53" s="37"/>
      <c r="K53" s="37"/>
      <c r="L53" s="37"/>
      <c r="M53" s="37"/>
      <c r="N53" s="37"/>
      <c r="O53" s="37"/>
      <c r="P53" s="37"/>
      <c r="Q53" s="35">
        <v>80150030935</v>
      </c>
      <c r="R53" s="35">
        <v>80150030935</v>
      </c>
    </row>
    <row r="54" spans="1:18" x14ac:dyDescent="0.2">
      <c r="A54" s="41">
        <v>38</v>
      </c>
      <c r="B54" s="42" t="s">
        <v>71</v>
      </c>
      <c r="C54" s="35" t="s">
        <v>26</v>
      </c>
      <c r="D54" s="36">
        <v>0</v>
      </c>
      <c r="E54" s="36">
        <f t="shared" si="0"/>
        <v>0.13</v>
      </c>
      <c r="F54" s="36">
        <v>0.13</v>
      </c>
      <c r="G54" s="37">
        <v>429</v>
      </c>
      <c r="H54" s="38" t="s">
        <v>27</v>
      </c>
      <c r="I54" s="37"/>
      <c r="J54" s="37"/>
      <c r="K54" s="37"/>
      <c r="L54" s="37"/>
      <c r="M54" s="37"/>
      <c r="N54" s="37"/>
      <c r="O54" s="37"/>
      <c r="P54" s="37"/>
      <c r="Q54" s="35">
        <v>80150023742</v>
      </c>
      <c r="R54" s="35">
        <v>80150023742</v>
      </c>
    </row>
    <row r="55" spans="1:18" x14ac:dyDescent="0.2">
      <c r="A55" s="41">
        <v>39</v>
      </c>
      <c r="B55" s="34" t="s">
        <v>72</v>
      </c>
      <c r="C55" s="51" t="s">
        <v>26</v>
      </c>
      <c r="D55" s="36">
        <v>0</v>
      </c>
      <c r="E55" s="36">
        <v>0.34499999999999997</v>
      </c>
      <c r="F55" s="36">
        <v>0.34499999999999997</v>
      </c>
      <c r="G55" s="37">
        <v>2163</v>
      </c>
      <c r="H55" s="38" t="s">
        <v>29</v>
      </c>
      <c r="I55" s="37"/>
      <c r="J55" s="37"/>
      <c r="K55" s="37"/>
      <c r="L55" s="37"/>
      <c r="M55" s="37"/>
      <c r="N55" s="37"/>
      <c r="O55" s="37"/>
      <c r="P55" s="37"/>
      <c r="Q55" s="35">
        <v>80150020031</v>
      </c>
      <c r="R55" s="35">
        <v>80150020225</v>
      </c>
    </row>
    <row r="56" spans="1:18" x14ac:dyDescent="0.2">
      <c r="A56" s="41">
        <v>40</v>
      </c>
      <c r="B56" s="55" t="s">
        <v>73</v>
      </c>
      <c r="C56" s="51" t="s">
        <v>26</v>
      </c>
      <c r="D56" s="36">
        <v>0</v>
      </c>
      <c r="E56" s="36">
        <f t="shared" ref="E56" si="2">D56+F56</f>
        <v>0.255</v>
      </c>
      <c r="F56" s="36">
        <v>0.255</v>
      </c>
      <c r="G56" s="37">
        <v>1275</v>
      </c>
      <c r="H56" s="38" t="s">
        <v>32</v>
      </c>
      <c r="I56" s="37"/>
      <c r="J56" s="37"/>
      <c r="K56" s="37"/>
      <c r="L56" s="37"/>
      <c r="M56" s="37"/>
      <c r="N56" s="37"/>
      <c r="O56" s="37"/>
      <c r="P56" s="37"/>
      <c r="Q56" s="35">
        <v>80150024769</v>
      </c>
      <c r="R56" s="35">
        <v>80150024769</v>
      </c>
    </row>
    <row r="57" spans="1:18" ht="22.5" x14ac:dyDescent="0.2">
      <c r="A57" s="39">
        <v>41</v>
      </c>
      <c r="B57" s="56" t="s">
        <v>74</v>
      </c>
      <c r="C57" s="51" t="s">
        <v>26</v>
      </c>
      <c r="D57" s="36">
        <v>0</v>
      </c>
      <c r="E57" s="36">
        <f t="shared" si="0"/>
        <v>0.28000000000000003</v>
      </c>
      <c r="F57" s="36">
        <v>0.28000000000000003</v>
      </c>
      <c r="G57" s="37">
        <v>840</v>
      </c>
      <c r="H57" s="38" t="s">
        <v>27</v>
      </c>
      <c r="I57" s="37"/>
      <c r="J57" s="37"/>
      <c r="K57" s="37"/>
      <c r="L57" s="37"/>
      <c r="M57" s="37"/>
      <c r="N57" s="37"/>
      <c r="O57" s="37"/>
      <c r="P57" s="37"/>
      <c r="Q57" s="35">
        <v>80150023235</v>
      </c>
      <c r="R57" s="35">
        <v>80150023235</v>
      </c>
    </row>
    <row r="58" spans="1:18" x14ac:dyDescent="0.2">
      <c r="A58" s="33">
        <v>42</v>
      </c>
      <c r="B58" s="34" t="s">
        <v>75</v>
      </c>
      <c r="C58" s="51" t="s">
        <v>26</v>
      </c>
      <c r="D58" s="43">
        <v>0</v>
      </c>
      <c r="E58" s="43">
        <f t="shared" si="0"/>
        <v>0.28000000000000003</v>
      </c>
      <c r="F58" s="43">
        <v>0.28000000000000003</v>
      </c>
      <c r="G58" s="57">
        <v>1140</v>
      </c>
      <c r="H58" s="38" t="s">
        <v>32</v>
      </c>
      <c r="I58" s="58"/>
      <c r="J58" s="58"/>
      <c r="K58" s="58"/>
      <c r="L58" s="58"/>
      <c r="M58" s="58"/>
      <c r="N58" s="58"/>
      <c r="O58" s="58"/>
      <c r="P58" s="58"/>
      <c r="Q58" s="35">
        <v>80150031359</v>
      </c>
      <c r="R58" s="35">
        <v>80150031359</v>
      </c>
    </row>
    <row r="59" spans="1:18" x14ac:dyDescent="0.2">
      <c r="A59" s="33">
        <v>43</v>
      </c>
      <c r="B59" s="34" t="s">
        <v>76</v>
      </c>
      <c r="C59" s="51" t="s">
        <v>26</v>
      </c>
      <c r="D59" s="36">
        <v>0</v>
      </c>
      <c r="E59" s="36">
        <f t="shared" si="0"/>
        <v>0.15</v>
      </c>
      <c r="F59" s="36">
        <v>0.15</v>
      </c>
      <c r="G59" s="37">
        <v>750</v>
      </c>
      <c r="H59" s="38" t="s">
        <v>29</v>
      </c>
      <c r="I59" s="37"/>
      <c r="J59" s="37"/>
      <c r="K59" s="37"/>
      <c r="L59" s="37"/>
      <c r="M59" s="37"/>
      <c r="N59" s="37"/>
      <c r="O59" s="37"/>
      <c r="P59" s="37"/>
      <c r="Q59" s="35">
        <v>80150030144</v>
      </c>
      <c r="R59" s="35">
        <v>80150030144</v>
      </c>
    </row>
    <row r="60" spans="1:18" x14ac:dyDescent="0.2">
      <c r="A60" s="45"/>
      <c r="B60" s="46"/>
      <c r="C60" s="51" t="s">
        <v>26</v>
      </c>
      <c r="D60" s="36">
        <f t="shared" si="1"/>
        <v>0.15</v>
      </c>
      <c r="E60" s="36">
        <f t="shared" si="0"/>
        <v>0.30499999999999999</v>
      </c>
      <c r="F60" s="36">
        <v>0.155</v>
      </c>
      <c r="G60" s="37">
        <v>775</v>
      </c>
      <c r="H60" s="38" t="s">
        <v>29</v>
      </c>
      <c r="I60" s="37"/>
      <c r="J60" s="37"/>
      <c r="K60" s="37"/>
      <c r="L60" s="37"/>
      <c r="M60" s="37"/>
      <c r="N60" s="37"/>
      <c r="O60" s="37"/>
      <c r="P60" s="37"/>
      <c r="Q60" s="35">
        <v>80150030144</v>
      </c>
      <c r="R60" s="35">
        <v>80150031196</v>
      </c>
    </row>
    <row r="61" spans="1:18" x14ac:dyDescent="0.2">
      <c r="A61" s="47"/>
      <c r="B61" s="40"/>
      <c r="C61" s="51" t="s">
        <v>26</v>
      </c>
      <c r="D61" s="36">
        <f t="shared" si="1"/>
        <v>0.30499999999999999</v>
      </c>
      <c r="E61" s="36">
        <f t="shared" si="0"/>
        <v>0.48499999999999999</v>
      </c>
      <c r="F61" s="36">
        <v>0.18</v>
      </c>
      <c r="G61" s="37">
        <v>900</v>
      </c>
      <c r="H61" s="38" t="s">
        <v>29</v>
      </c>
      <c r="I61" s="37"/>
      <c r="J61" s="37"/>
      <c r="K61" s="37"/>
      <c r="L61" s="37"/>
      <c r="M61" s="37"/>
      <c r="N61" s="37"/>
      <c r="O61" s="37"/>
      <c r="P61" s="37"/>
      <c r="Q61" s="35">
        <v>80150030144</v>
      </c>
      <c r="R61" s="35">
        <v>80150031197</v>
      </c>
    </row>
    <row r="62" spans="1:18" x14ac:dyDescent="0.2">
      <c r="A62" s="49">
        <v>44</v>
      </c>
      <c r="B62" s="42" t="s">
        <v>77</v>
      </c>
      <c r="C62" s="35" t="s">
        <v>26</v>
      </c>
      <c r="D62" s="36">
        <v>0</v>
      </c>
      <c r="E62" s="36">
        <f t="shared" si="0"/>
        <v>0.61499999999999999</v>
      </c>
      <c r="F62" s="36">
        <v>0.61499999999999999</v>
      </c>
      <c r="G62" s="37">
        <v>1845</v>
      </c>
      <c r="H62" s="38" t="s">
        <v>27</v>
      </c>
      <c r="I62" s="37"/>
      <c r="J62" s="37"/>
      <c r="K62" s="37"/>
      <c r="L62" s="37"/>
      <c r="M62" s="37"/>
      <c r="N62" s="37"/>
      <c r="O62" s="37"/>
      <c r="P62" s="37"/>
      <c r="Q62" s="35">
        <v>80150020204</v>
      </c>
      <c r="R62" s="35">
        <v>80150020204</v>
      </c>
    </row>
    <row r="63" spans="1:18" x14ac:dyDescent="0.2">
      <c r="A63" s="49">
        <v>45</v>
      </c>
      <c r="B63" s="42" t="s">
        <v>78</v>
      </c>
      <c r="C63" s="35" t="s">
        <v>26</v>
      </c>
      <c r="D63" s="36">
        <v>0</v>
      </c>
      <c r="E63" s="36">
        <f t="shared" si="0"/>
        <v>0.1</v>
      </c>
      <c r="F63" s="36">
        <v>0.1</v>
      </c>
      <c r="G63" s="37">
        <v>300</v>
      </c>
      <c r="H63" s="38" t="s">
        <v>32</v>
      </c>
      <c r="I63" s="37"/>
      <c r="J63" s="37"/>
      <c r="K63" s="37"/>
      <c r="L63" s="37"/>
      <c r="M63" s="37"/>
      <c r="N63" s="37"/>
      <c r="O63" s="37"/>
      <c r="P63" s="37"/>
      <c r="Q63" s="35">
        <v>80150024772</v>
      </c>
      <c r="R63" s="35">
        <v>80150024772</v>
      </c>
    </row>
    <row r="64" spans="1:18" x14ac:dyDescent="0.2">
      <c r="A64" s="49">
        <v>46</v>
      </c>
      <c r="B64" s="42" t="s">
        <v>79</v>
      </c>
      <c r="C64" s="35" t="s">
        <v>26</v>
      </c>
      <c r="D64" s="36">
        <v>0</v>
      </c>
      <c r="E64" s="36">
        <f t="shared" si="0"/>
        <v>0.315</v>
      </c>
      <c r="F64" s="36">
        <v>0.315</v>
      </c>
      <c r="G64" s="37">
        <v>1103</v>
      </c>
      <c r="H64" s="38" t="s">
        <v>32</v>
      </c>
      <c r="I64" s="37"/>
      <c r="J64" s="37"/>
      <c r="K64" s="37"/>
      <c r="L64" s="37"/>
      <c r="M64" s="37"/>
      <c r="N64" s="37"/>
      <c r="O64" s="37"/>
      <c r="P64" s="37"/>
      <c r="Q64" s="35">
        <v>80150024527</v>
      </c>
      <c r="R64" s="35">
        <v>80150024527</v>
      </c>
    </row>
    <row r="65" spans="1:18" x14ac:dyDescent="0.2">
      <c r="A65" s="49">
        <v>47</v>
      </c>
      <c r="B65" s="42" t="s">
        <v>80</v>
      </c>
      <c r="C65" s="35" t="s">
        <v>26</v>
      </c>
      <c r="D65" s="36">
        <v>0</v>
      </c>
      <c r="E65" s="36">
        <f t="shared" si="0"/>
        <v>0.115</v>
      </c>
      <c r="F65" s="36">
        <v>0.115</v>
      </c>
      <c r="G65" s="37">
        <v>460</v>
      </c>
      <c r="H65" s="38" t="s">
        <v>27</v>
      </c>
      <c r="I65" s="37"/>
      <c r="J65" s="37"/>
      <c r="K65" s="37"/>
      <c r="L65" s="37"/>
      <c r="M65" s="37"/>
      <c r="N65" s="37"/>
      <c r="O65" s="37"/>
      <c r="P65" s="37"/>
      <c r="Q65" s="35">
        <v>80150022438</v>
      </c>
      <c r="R65" s="35">
        <v>80150022438</v>
      </c>
    </row>
    <row r="66" spans="1:18" x14ac:dyDescent="0.2">
      <c r="A66" s="49">
        <v>48</v>
      </c>
      <c r="B66" s="42" t="s">
        <v>81</v>
      </c>
      <c r="C66" s="51" t="s">
        <v>26</v>
      </c>
      <c r="D66" s="36">
        <v>0</v>
      </c>
      <c r="E66" s="36">
        <f t="shared" si="0"/>
        <v>0.255</v>
      </c>
      <c r="F66" s="36">
        <v>0.255</v>
      </c>
      <c r="G66" s="37">
        <v>1275</v>
      </c>
      <c r="H66" s="38" t="s">
        <v>29</v>
      </c>
      <c r="I66" s="37"/>
      <c r="J66" s="37"/>
      <c r="K66" s="37"/>
      <c r="L66" s="37"/>
      <c r="M66" s="37"/>
      <c r="N66" s="37"/>
      <c r="O66" s="37"/>
      <c r="P66" s="37">
        <v>316</v>
      </c>
      <c r="Q66" s="35">
        <v>80150031545</v>
      </c>
      <c r="R66" s="35">
        <v>80150031545</v>
      </c>
    </row>
    <row r="67" spans="1:18" x14ac:dyDescent="0.2">
      <c r="A67" s="39"/>
      <c r="B67" s="59" t="s">
        <v>82</v>
      </c>
      <c r="C67" s="51" t="s">
        <v>26</v>
      </c>
      <c r="D67" s="36">
        <v>0</v>
      </c>
      <c r="E67" s="36">
        <f t="shared" si="0"/>
        <v>8.5000000000000006E-2</v>
      </c>
      <c r="F67" s="36">
        <v>8.5000000000000006E-2</v>
      </c>
      <c r="G67" s="37">
        <v>255</v>
      </c>
      <c r="H67" s="38" t="s">
        <v>27</v>
      </c>
      <c r="I67" s="37"/>
      <c r="J67" s="37"/>
      <c r="K67" s="37"/>
      <c r="L67" s="37"/>
      <c r="M67" s="37"/>
      <c r="N67" s="37"/>
      <c r="O67" s="37"/>
      <c r="P67" s="37"/>
      <c r="Q67" s="35">
        <v>80150031545</v>
      </c>
      <c r="R67" s="35">
        <v>80150031545</v>
      </c>
    </row>
    <row r="68" spans="1:18" x14ac:dyDescent="0.2">
      <c r="A68" s="49">
        <v>49</v>
      </c>
      <c r="B68" s="42" t="s">
        <v>83</v>
      </c>
      <c r="C68" s="35" t="s">
        <v>26</v>
      </c>
      <c r="D68" s="36">
        <v>0</v>
      </c>
      <c r="E68" s="36">
        <f t="shared" si="0"/>
        <v>0.23499999999999999</v>
      </c>
      <c r="F68" s="36">
        <v>0.23499999999999999</v>
      </c>
      <c r="G68" s="37">
        <v>1716</v>
      </c>
      <c r="H68" s="38" t="s">
        <v>29</v>
      </c>
      <c r="I68" s="37"/>
      <c r="J68" s="37"/>
      <c r="K68" s="37"/>
      <c r="L68" s="37"/>
      <c r="M68" s="37"/>
      <c r="N68" s="37"/>
      <c r="O68" s="37"/>
      <c r="P68" s="37">
        <v>201</v>
      </c>
      <c r="Q68" s="35">
        <v>80150031638</v>
      </c>
      <c r="R68" s="35">
        <v>80150031638</v>
      </c>
    </row>
    <row r="69" spans="1:18" x14ac:dyDescent="0.2">
      <c r="A69" s="49">
        <v>50</v>
      </c>
      <c r="B69" s="42" t="s">
        <v>84</v>
      </c>
      <c r="C69" s="35" t="s">
        <v>26</v>
      </c>
      <c r="D69" s="36">
        <v>0</v>
      </c>
      <c r="E69" s="36">
        <f t="shared" si="0"/>
        <v>0.3</v>
      </c>
      <c r="F69" s="36">
        <v>0.3</v>
      </c>
      <c r="G69" s="37">
        <v>1500</v>
      </c>
      <c r="H69" s="38" t="s">
        <v>27</v>
      </c>
      <c r="I69" s="37"/>
      <c r="J69" s="37"/>
      <c r="K69" s="37"/>
      <c r="L69" s="37"/>
      <c r="M69" s="37"/>
      <c r="N69" s="37"/>
      <c r="O69" s="37"/>
      <c r="P69" s="37"/>
      <c r="Q69" s="35">
        <v>80150031939</v>
      </c>
      <c r="R69" s="35">
        <v>80150031939</v>
      </c>
    </row>
    <row r="70" spans="1:18" x14ac:dyDescent="0.2">
      <c r="A70" s="33">
        <v>51</v>
      </c>
      <c r="B70" s="34" t="s">
        <v>85</v>
      </c>
      <c r="C70" s="35" t="s">
        <v>26</v>
      </c>
      <c r="D70" s="36">
        <v>0</v>
      </c>
      <c r="E70" s="36">
        <f t="shared" si="0"/>
        <v>0.11</v>
      </c>
      <c r="F70" s="36">
        <v>0.11</v>
      </c>
      <c r="G70" s="37">
        <v>330</v>
      </c>
      <c r="H70" s="38" t="s">
        <v>27</v>
      </c>
      <c r="I70" s="37"/>
      <c r="J70" s="37"/>
      <c r="K70" s="37"/>
      <c r="L70" s="37"/>
      <c r="M70" s="37"/>
      <c r="N70" s="37"/>
      <c r="O70" s="37"/>
      <c r="P70" s="37"/>
      <c r="Q70" s="35">
        <v>80150023837</v>
      </c>
      <c r="R70" s="35">
        <v>80150023837</v>
      </c>
    </row>
    <row r="71" spans="1:18" x14ac:dyDescent="0.2">
      <c r="A71" s="45"/>
      <c r="B71" s="46"/>
      <c r="C71" s="35" t="s">
        <v>26</v>
      </c>
      <c r="D71" s="36">
        <f t="shared" ref="D71:D116" si="3">E70</f>
        <v>0.11</v>
      </c>
      <c r="E71" s="36">
        <f t="shared" si="0"/>
        <v>0.19500000000000001</v>
      </c>
      <c r="F71" s="36">
        <v>8.5000000000000006E-2</v>
      </c>
      <c r="G71" s="37">
        <v>255</v>
      </c>
      <c r="H71" s="38" t="s">
        <v>32</v>
      </c>
      <c r="I71" s="37"/>
      <c r="J71" s="37"/>
      <c r="K71" s="37"/>
      <c r="L71" s="37"/>
      <c r="M71" s="37"/>
      <c r="N71" s="37"/>
      <c r="O71" s="37"/>
      <c r="P71" s="37"/>
      <c r="Q71" s="35">
        <v>80150023837</v>
      </c>
      <c r="R71" s="35">
        <v>80150030428</v>
      </c>
    </row>
    <row r="72" spans="1:18" x14ac:dyDescent="0.2">
      <c r="A72" s="47"/>
      <c r="B72" s="40"/>
      <c r="C72" s="35" t="s">
        <v>26</v>
      </c>
      <c r="D72" s="36">
        <f t="shared" si="3"/>
        <v>0.19500000000000001</v>
      </c>
      <c r="E72" s="36">
        <f t="shared" si="0"/>
        <v>0.43</v>
      </c>
      <c r="F72" s="36">
        <v>0.23499999999999999</v>
      </c>
      <c r="G72" s="37">
        <v>1250</v>
      </c>
      <c r="H72" s="38" t="s">
        <v>32</v>
      </c>
      <c r="I72" s="37"/>
      <c r="J72" s="37"/>
      <c r="K72" s="37"/>
      <c r="L72" s="37"/>
      <c r="M72" s="37"/>
      <c r="N72" s="37"/>
      <c r="O72" s="37"/>
      <c r="P72" s="37"/>
      <c r="Q72" s="35">
        <v>80150023837</v>
      </c>
      <c r="R72" s="35">
        <v>80150030562</v>
      </c>
    </row>
    <row r="73" spans="1:18" x14ac:dyDescent="0.2">
      <c r="A73" s="49">
        <v>52</v>
      </c>
      <c r="B73" s="42" t="s">
        <v>86</v>
      </c>
      <c r="C73" s="35" t="s">
        <v>39</v>
      </c>
      <c r="D73" s="36">
        <v>0</v>
      </c>
      <c r="E73" s="36">
        <f t="shared" si="0"/>
        <v>0.27</v>
      </c>
      <c r="F73" s="36">
        <v>0.27</v>
      </c>
      <c r="G73" s="37">
        <v>1755</v>
      </c>
      <c r="H73" s="38" t="s">
        <v>29</v>
      </c>
      <c r="I73" s="37"/>
      <c r="J73" s="37"/>
      <c r="K73" s="37"/>
      <c r="L73" s="37"/>
      <c r="M73" s="37"/>
      <c r="N73" s="37"/>
      <c r="O73" s="37"/>
      <c r="P73" s="37">
        <v>893</v>
      </c>
      <c r="Q73" s="35">
        <v>80150023146</v>
      </c>
      <c r="R73" s="35">
        <v>80150023146</v>
      </c>
    </row>
    <row r="74" spans="1:18" x14ac:dyDescent="0.2">
      <c r="A74" s="49">
        <v>53</v>
      </c>
      <c r="B74" s="42" t="s">
        <v>87</v>
      </c>
      <c r="C74" s="35" t="s">
        <v>26</v>
      </c>
      <c r="D74" s="36">
        <v>0</v>
      </c>
      <c r="E74" s="36">
        <f t="shared" ref="E74:E136" si="4">D74+F74</f>
        <v>0.35</v>
      </c>
      <c r="F74" s="36">
        <v>0.35</v>
      </c>
      <c r="G74" s="37">
        <v>2100</v>
      </c>
      <c r="H74" s="38" t="s">
        <v>63</v>
      </c>
      <c r="I74" s="37"/>
      <c r="J74" s="37"/>
      <c r="K74" s="37"/>
      <c r="L74" s="37"/>
      <c r="M74" s="37"/>
      <c r="N74" s="37"/>
      <c r="O74" s="37"/>
      <c r="P74" s="37">
        <v>1121</v>
      </c>
      <c r="Q74" s="35">
        <v>80150021727</v>
      </c>
      <c r="R74" s="35">
        <v>80150021727</v>
      </c>
    </row>
    <row r="75" spans="1:18" x14ac:dyDescent="0.2">
      <c r="A75" s="49">
        <v>54</v>
      </c>
      <c r="B75" s="42" t="s">
        <v>88</v>
      </c>
      <c r="C75" s="35" t="s">
        <v>26</v>
      </c>
      <c r="D75" s="36">
        <v>0</v>
      </c>
      <c r="E75" s="36">
        <f t="shared" si="4"/>
        <v>0.24</v>
      </c>
      <c r="F75" s="36">
        <v>0.24</v>
      </c>
      <c r="G75" s="37">
        <v>1080</v>
      </c>
      <c r="H75" s="38" t="s">
        <v>27</v>
      </c>
      <c r="I75" s="37"/>
      <c r="J75" s="37"/>
      <c r="K75" s="37"/>
      <c r="L75" s="37"/>
      <c r="M75" s="37"/>
      <c r="N75" s="37"/>
      <c r="O75" s="37"/>
      <c r="P75" s="37"/>
      <c r="Q75" s="35">
        <v>80150022827</v>
      </c>
      <c r="R75" s="35">
        <v>80150022827</v>
      </c>
    </row>
    <row r="76" spans="1:18" x14ac:dyDescent="0.2">
      <c r="A76" s="49">
        <v>55</v>
      </c>
      <c r="B76" s="55" t="s">
        <v>89</v>
      </c>
      <c r="C76" s="35" t="s">
        <v>39</v>
      </c>
      <c r="D76" s="36">
        <v>0</v>
      </c>
      <c r="E76" s="36">
        <f t="shared" si="4"/>
        <v>0.13500000000000001</v>
      </c>
      <c r="F76" s="36">
        <v>0.13500000000000001</v>
      </c>
      <c r="G76" s="37">
        <v>972</v>
      </c>
      <c r="H76" s="38" t="s">
        <v>29</v>
      </c>
      <c r="I76" s="37"/>
      <c r="J76" s="37"/>
      <c r="K76" s="37"/>
      <c r="L76" s="37"/>
      <c r="M76" s="37"/>
      <c r="N76" s="37"/>
      <c r="O76" s="37"/>
      <c r="P76" s="37"/>
      <c r="Q76" s="35">
        <v>80150023440</v>
      </c>
      <c r="R76" s="35">
        <v>80150023440</v>
      </c>
    </row>
    <row r="77" spans="1:18" x14ac:dyDescent="0.2">
      <c r="A77" s="39"/>
      <c r="B77" s="60"/>
      <c r="C77" s="35" t="s">
        <v>39</v>
      </c>
      <c r="D77" s="36">
        <f t="shared" si="3"/>
        <v>0.13500000000000001</v>
      </c>
      <c r="E77" s="36">
        <f t="shared" si="4"/>
        <v>0.32500000000000001</v>
      </c>
      <c r="F77" s="36">
        <v>0.19</v>
      </c>
      <c r="G77" s="37">
        <v>1558</v>
      </c>
      <c r="H77" s="38" t="s">
        <v>29</v>
      </c>
      <c r="I77" s="37"/>
      <c r="J77" s="37"/>
      <c r="K77" s="37"/>
      <c r="L77" s="37"/>
      <c r="M77" s="37"/>
      <c r="N77" s="37"/>
      <c r="O77" s="37"/>
      <c r="P77" s="37">
        <v>396</v>
      </c>
      <c r="Q77" s="35">
        <v>80150023440</v>
      </c>
      <c r="R77" s="35">
        <v>80150023445</v>
      </c>
    </row>
    <row r="78" spans="1:18" x14ac:dyDescent="0.2">
      <c r="A78" s="47">
        <v>56</v>
      </c>
      <c r="B78" s="42" t="s">
        <v>90</v>
      </c>
      <c r="C78" s="35" t="s">
        <v>26</v>
      </c>
      <c r="D78" s="36">
        <v>0</v>
      </c>
      <c r="E78" s="36">
        <v>0.51100000000000001</v>
      </c>
      <c r="F78" s="36">
        <v>0.51100000000000001</v>
      </c>
      <c r="G78" s="37">
        <v>2126</v>
      </c>
      <c r="H78" s="38" t="s">
        <v>32</v>
      </c>
      <c r="I78" s="37"/>
      <c r="J78" s="37"/>
      <c r="K78" s="37"/>
      <c r="L78" s="37"/>
      <c r="M78" s="37"/>
      <c r="N78" s="37"/>
      <c r="O78" s="37"/>
      <c r="P78" s="37"/>
      <c r="Q78" s="35">
        <v>80150030659</v>
      </c>
      <c r="R78" s="35">
        <v>80150030659</v>
      </c>
    </row>
    <row r="79" spans="1:18" x14ac:dyDescent="0.2">
      <c r="A79" s="33">
        <v>57</v>
      </c>
      <c r="B79" s="34" t="s">
        <v>91</v>
      </c>
      <c r="C79" s="35" t="s">
        <v>26</v>
      </c>
      <c r="D79" s="36">
        <v>0</v>
      </c>
      <c r="E79" s="36">
        <f t="shared" si="4"/>
        <v>7.4999999999999997E-2</v>
      </c>
      <c r="F79" s="36">
        <v>7.4999999999999997E-2</v>
      </c>
      <c r="G79" s="37">
        <v>525</v>
      </c>
      <c r="H79" s="38" t="s">
        <v>29</v>
      </c>
      <c r="I79" s="37"/>
      <c r="J79" s="37"/>
      <c r="K79" s="37"/>
      <c r="L79" s="37"/>
      <c r="M79" s="37"/>
      <c r="N79" s="37"/>
      <c r="O79" s="37"/>
      <c r="P79" s="37"/>
      <c r="Q79" s="35">
        <v>80150040445</v>
      </c>
      <c r="R79" s="35">
        <v>80150040445</v>
      </c>
    </row>
    <row r="80" spans="1:18" x14ac:dyDescent="0.2">
      <c r="A80" s="39"/>
      <c r="B80" s="40"/>
      <c r="C80" s="35" t="s">
        <v>26</v>
      </c>
      <c r="D80" s="36">
        <f t="shared" si="3"/>
        <v>7.4999999999999997E-2</v>
      </c>
      <c r="E80" s="36">
        <f t="shared" si="4"/>
        <v>0.32500000000000001</v>
      </c>
      <c r="F80" s="36">
        <v>0.25</v>
      </c>
      <c r="G80" s="37">
        <v>1875</v>
      </c>
      <c r="H80" s="38" t="s">
        <v>27</v>
      </c>
      <c r="I80" s="37"/>
      <c r="J80" s="37"/>
      <c r="K80" s="37"/>
      <c r="L80" s="37"/>
      <c r="M80" s="37"/>
      <c r="N80" s="37"/>
      <c r="O80" s="37"/>
      <c r="P80" s="37"/>
      <c r="Q80" s="35">
        <v>80150040445</v>
      </c>
      <c r="R80" s="35">
        <v>80150040445</v>
      </c>
    </row>
    <row r="81" spans="1:18" x14ac:dyDescent="0.2">
      <c r="A81" s="49">
        <v>58</v>
      </c>
      <c r="B81" s="42" t="s">
        <v>92</v>
      </c>
      <c r="C81" s="35" t="s">
        <v>26</v>
      </c>
      <c r="D81" s="36">
        <v>0</v>
      </c>
      <c r="E81" s="36">
        <f t="shared" si="4"/>
        <v>0.13</v>
      </c>
      <c r="F81" s="36">
        <v>0.13</v>
      </c>
      <c r="G81" s="37">
        <v>585</v>
      </c>
      <c r="H81" s="38" t="s">
        <v>27</v>
      </c>
      <c r="I81" s="37"/>
      <c r="J81" s="37"/>
      <c r="K81" s="37"/>
      <c r="L81" s="37"/>
      <c r="M81" s="37"/>
      <c r="N81" s="37"/>
      <c r="O81" s="37"/>
      <c r="P81" s="37"/>
      <c r="Q81" s="35">
        <v>80150030332</v>
      </c>
      <c r="R81" s="35">
        <v>80150030332</v>
      </c>
    </row>
    <row r="82" spans="1:18" x14ac:dyDescent="0.2">
      <c r="A82" s="61">
        <v>59</v>
      </c>
      <c r="B82" s="53" t="s">
        <v>93</v>
      </c>
      <c r="C82" s="35" t="s">
        <v>26</v>
      </c>
      <c r="D82" s="36">
        <v>0</v>
      </c>
      <c r="E82" s="36">
        <f t="shared" si="4"/>
        <v>0.22500000000000001</v>
      </c>
      <c r="F82" s="36">
        <v>0.22500000000000001</v>
      </c>
      <c r="G82" s="37">
        <v>903</v>
      </c>
      <c r="H82" s="38" t="s">
        <v>63</v>
      </c>
      <c r="I82" s="37"/>
      <c r="J82" s="37"/>
      <c r="K82" s="37"/>
      <c r="L82" s="37"/>
      <c r="M82" s="37"/>
      <c r="N82" s="37"/>
      <c r="O82" s="37"/>
      <c r="P82" s="37">
        <v>194</v>
      </c>
      <c r="Q82" s="35">
        <v>80150031534</v>
      </c>
      <c r="R82" s="35">
        <v>80150031534</v>
      </c>
    </row>
    <row r="83" spans="1:18" x14ac:dyDescent="0.2">
      <c r="A83" s="49">
        <v>60</v>
      </c>
      <c r="B83" s="34" t="s">
        <v>94</v>
      </c>
      <c r="C83" s="35" t="s">
        <v>26</v>
      </c>
      <c r="D83" s="36">
        <v>0</v>
      </c>
      <c r="E83" s="36">
        <f t="shared" si="4"/>
        <v>0.06</v>
      </c>
      <c r="F83" s="36">
        <v>0.06</v>
      </c>
      <c r="G83" s="37">
        <v>180</v>
      </c>
      <c r="H83" s="38" t="s">
        <v>27</v>
      </c>
      <c r="I83" s="37"/>
      <c r="J83" s="37"/>
      <c r="K83" s="37"/>
      <c r="L83" s="37"/>
      <c r="M83" s="37"/>
      <c r="N83" s="37"/>
      <c r="O83" s="37"/>
      <c r="P83" s="37"/>
      <c r="Q83" s="35">
        <v>80150022367</v>
      </c>
      <c r="R83" s="35">
        <v>80150022367</v>
      </c>
    </row>
    <row r="84" spans="1:18" x14ac:dyDescent="0.2">
      <c r="A84" s="39"/>
      <c r="B84" s="40"/>
      <c r="C84" s="35" t="s">
        <v>26</v>
      </c>
      <c r="D84" s="36">
        <v>0.108</v>
      </c>
      <c r="E84" s="36">
        <f t="shared" si="4"/>
        <v>0.39799999999999996</v>
      </c>
      <c r="F84" s="36">
        <v>0.28999999999999998</v>
      </c>
      <c r="G84" s="37">
        <v>1160</v>
      </c>
      <c r="H84" s="38" t="s">
        <v>27</v>
      </c>
      <c r="I84" s="37"/>
      <c r="J84" s="37"/>
      <c r="K84" s="37"/>
      <c r="L84" s="37"/>
      <c r="M84" s="37"/>
      <c r="N84" s="37"/>
      <c r="O84" s="37"/>
      <c r="P84" s="37"/>
      <c r="Q84" s="35">
        <v>80150022367</v>
      </c>
      <c r="R84" s="35">
        <v>80150022367</v>
      </c>
    </row>
    <row r="85" spans="1:18" x14ac:dyDescent="0.2">
      <c r="A85" s="49">
        <v>61</v>
      </c>
      <c r="B85" s="42" t="s">
        <v>95</v>
      </c>
      <c r="C85" s="35" t="s">
        <v>39</v>
      </c>
      <c r="D85" s="36">
        <v>0</v>
      </c>
      <c r="E85" s="36">
        <f t="shared" si="4"/>
        <v>1.1299999999999999</v>
      </c>
      <c r="F85" s="36">
        <v>1.1299999999999999</v>
      </c>
      <c r="G85" s="37">
        <v>6780</v>
      </c>
      <c r="H85" s="38" t="s">
        <v>29</v>
      </c>
      <c r="I85" s="37"/>
      <c r="J85" s="37"/>
      <c r="K85" s="37"/>
      <c r="L85" s="37"/>
      <c r="M85" s="37"/>
      <c r="N85" s="37"/>
      <c r="O85" s="37"/>
      <c r="P85" s="37">
        <v>2964</v>
      </c>
      <c r="Q85" s="35">
        <v>80150024607</v>
      </c>
      <c r="R85" s="35">
        <v>80150024607</v>
      </c>
    </row>
    <row r="86" spans="1:18" x14ac:dyDescent="0.2">
      <c r="A86" s="61">
        <v>62</v>
      </c>
      <c r="B86" s="53" t="s">
        <v>96</v>
      </c>
      <c r="C86" s="51" t="s">
        <v>26</v>
      </c>
      <c r="D86" s="36">
        <v>0</v>
      </c>
      <c r="E86" s="36">
        <f t="shared" si="4"/>
        <v>0.54600000000000004</v>
      </c>
      <c r="F86" s="36">
        <v>0.54600000000000004</v>
      </c>
      <c r="G86" s="37">
        <v>3173</v>
      </c>
      <c r="H86" s="38" t="s">
        <v>63</v>
      </c>
      <c r="I86" s="37"/>
      <c r="J86" s="37"/>
      <c r="K86" s="37"/>
      <c r="L86" s="37"/>
      <c r="M86" s="37"/>
      <c r="N86" s="37"/>
      <c r="O86" s="37"/>
      <c r="P86" s="37">
        <v>968</v>
      </c>
      <c r="Q86" s="35">
        <v>80150021414</v>
      </c>
      <c r="R86" s="52" t="s">
        <v>97</v>
      </c>
    </row>
    <row r="87" spans="1:18" x14ac:dyDescent="0.2">
      <c r="A87" s="49">
        <v>63</v>
      </c>
      <c r="B87" s="42" t="s">
        <v>98</v>
      </c>
      <c r="C87" s="35" t="s">
        <v>26</v>
      </c>
      <c r="D87" s="36">
        <v>0</v>
      </c>
      <c r="E87" s="36">
        <f t="shared" si="4"/>
        <v>0.185</v>
      </c>
      <c r="F87" s="36">
        <v>0.185</v>
      </c>
      <c r="G87" s="37">
        <v>703</v>
      </c>
      <c r="H87" s="38" t="s">
        <v>32</v>
      </c>
      <c r="I87" s="37"/>
      <c r="J87" s="37"/>
      <c r="K87" s="37"/>
      <c r="L87" s="37"/>
      <c r="M87" s="37"/>
      <c r="N87" s="37"/>
      <c r="O87" s="37"/>
      <c r="P87" s="37"/>
      <c r="Q87" s="35">
        <v>80150022121</v>
      </c>
      <c r="R87" s="35">
        <v>80150022121</v>
      </c>
    </row>
    <row r="88" spans="1:18" x14ac:dyDescent="0.2">
      <c r="A88" s="61">
        <v>64</v>
      </c>
      <c r="B88" s="42" t="s">
        <v>99</v>
      </c>
      <c r="C88" s="35" t="s">
        <v>26</v>
      </c>
      <c r="D88" s="36">
        <v>0</v>
      </c>
      <c r="E88" s="36">
        <f t="shared" si="4"/>
        <v>0.33500000000000002</v>
      </c>
      <c r="F88" s="36">
        <v>0.33500000000000002</v>
      </c>
      <c r="G88" s="37">
        <v>1508</v>
      </c>
      <c r="H88" s="38" t="s">
        <v>27</v>
      </c>
      <c r="I88" s="37"/>
      <c r="J88" s="37"/>
      <c r="K88" s="37"/>
      <c r="L88" s="37"/>
      <c r="M88" s="37"/>
      <c r="N88" s="37"/>
      <c r="O88" s="37"/>
      <c r="P88" s="37"/>
      <c r="Q88" s="35">
        <v>80150031090</v>
      </c>
      <c r="R88" s="35">
        <v>80150031090</v>
      </c>
    </row>
    <row r="89" spans="1:18" x14ac:dyDescent="0.2">
      <c r="A89" s="49">
        <v>65</v>
      </c>
      <c r="B89" s="55" t="s">
        <v>100</v>
      </c>
      <c r="C89" s="35" t="s">
        <v>26</v>
      </c>
      <c r="D89" s="36">
        <v>0</v>
      </c>
      <c r="E89" s="36">
        <f t="shared" si="4"/>
        <v>9.5000000000000001E-2</v>
      </c>
      <c r="F89" s="36">
        <v>9.5000000000000001E-2</v>
      </c>
      <c r="G89" s="37">
        <v>475</v>
      </c>
      <c r="H89" s="38" t="s">
        <v>32</v>
      </c>
      <c r="I89" s="37"/>
      <c r="J89" s="37"/>
      <c r="K89" s="37"/>
      <c r="L89" s="37"/>
      <c r="M89" s="37"/>
      <c r="N89" s="37"/>
      <c r="O89" s="37"/>
      <c r="P89" s="37"/>
      <c r="Q89" s="35">
        <v>80150024609</v>
      </c>
      <c r="R89" s="35">
        <v>80150020062</v>
      </c>
    </row>
    <row r="90" spans="1:18" x14ac:dyDescent="0.2">
      <c r="A90" s="39"/>
      <c r="B90" s="60"/>
      <c r="C90" s="35" t="s">
        <v>26</v>
      </c>
      <c r="D90" s="36">
        <f t="shared" si="3"/>
        <v>9.5000000000000001E-2</v>
      </c>
      <c r="E90" s="36">
        <f t="shared" si="4"/>
        <v>0.43500000000000005</v>
      </c>
      <c r="F90" s="36">
        <v>0.34</v>
      </c>
      <c r="G90" s="37">
        <v>1700</v>
      </c>
      <c r="H90" s="38" t="s">
        <v>27</v>
      </c>
      <c r="I90" s="37"/>
      <c r="J90" s="37"/>
      <c r="K90" s="37"/>
      <c r="L90" s="37"/>
      <c r="M90" s="37"/>
      <c r="N90" s="37"/>
      <c r="O90" s="37"/>
      <c r="P90" s="37"/>
      <c r="Q90" s="35">
        <v>80150024609</v>
      </c>
      <c r="R90" s="35">
        <v>80150024609</v>
      </c>
    </row>
    <row r="91" spans="1:18" x14ac:dyDescent="0.2">
      <c r="A91" s="47">
        <v>66</v>
      </c>
      <c r="B91" s="42" t="s">
        <v>101</v>
      </c>
      <c r="C91" s="35" t="s">
        <v>26</v>
      </c>
      <c r="D91" s="36">
        <v>0</v>
      </c>
      <c r="E91" s="36">
        <f t="shared" si="4"/>
        <v>0.245</v>
      </c>
      <c r="F91" s="36">
        <v>0.245</v>
      </c>
      <c r="G91" s="37">
        <v>1225</v>
      </c>
      <c r="H91" s="38" t="s">
        <v>27</v>
      </c>
      <c r="I91" s="37"/>
      <c r="J91" s="37"/>
      <c r="K91" s="37"/>
      <c r="L91" s="37"/>
      <c r="M91" s="37"/>
      <c r="N91" s="37"/>
      <c r="O91" s="37"/>
      <c r="P91" s="37"/>
      <c r="Q91" s="35">
        <v>80150020966</v>
      </c>
      <c r="R91" s="35">
        <v>80150020966</v>
      </c>
    </row>
    <row r="92" spans="1:18" x14ac:dyDescent="0.2">
      <c r="A92" s="62">
        <v>67</v>
      </c>
      <c r="B92" s="34" t="s">
        <v>102</v>
      </c>
      <c r="C92" s="35" t="s">
        <v>26</v>
      </c>
      <c r="D92" s="36">
        <v>0</v>
      </c>
      <c r="E92" s="36">
        <f t="shared" si="4"/>
        <v>8.5999999999999993E-2</v>
      </c>
      <c r="F92" s="36">
        <v>8.5999999999999993E-2</v>
      </c>
      <c r="G92" s="37">
        <v>421</v>
      </c>
      <c r="H92" s="38" t="s">
        <v>29</v>
      </c>
      <c r="I92" s="37"/>
      <c r="J92" s="37"/>
      <c r="K92" s="37"/>
      <c r="L92" s="37"/>
      <c r="M92" s="37"/>
      <c r="N92" s="37"/>
      <c r="O92" s="37"/>
      <c r="P92" s="37"/>
      <c r="Q92" s="35">
        <v>80150010904</v>
      </c>
      <c r="R92" s="35">
        <v>80150010904</v>
      </c>
    </row>
    <row r="93" spans="1:18" x14ac:dyDescent="0.2">
      <c r="A93" s="63"/>
      <c r="B93" s="64"/>
      <c r="C93" s="35" t="s">
        <v>26</v>
      </c>
      <c r="D93" s="36">
        <f t="shared" si="3"/>
        <v>8.5999999999999993E-2</v>
      </c>
      <c r="E93" s="36">
        <f t="shared" si="4"/>
        <v>0.35599999999999998</v>
      </c>
      <c r="F93" s="36">
        <v>0.27</v>
      </c>
      <c r="G93" s="37">
        <v>1080</v>
      </c>
      <c r="H93" s="38" t="s">
        <v>27</v>
      </c>
      <c r="I93" s="37"/>
      <c r="J93" s="37"/>
      <c r="K93" s="37"/>
      <c r="L93" s="37"/>
      <c r="M93" s="37"/>
      <c r="N93" s="37"/>
      <c r="O93" s="37"/>
      <c r="P93" s="37"/>
      <c r="Q93" s="35">
        <v>80150010904</v>
      </c>
      <c r="R93" s="35">
        <v>80150010904</v>
      </c>
    </row>
    <row r="94" spans="1:18" x14ac:dyDescent="0.2">
      <c r="A94" s="63"/>
      <c r="B94" s="64"/>
      <c r="C94" s="35" t="s">
        <v>26</v>
      </c>
      <c r="D94" s="36">
        <f t="shared" si="3"/>
        <v>0.35599999999999998</v>
      </c>
      <c r="E94" s="36">
        <f t="shared" si="4"/>
        <v>0.40599999999999997</v>
      </c>
      <c r="F94" s="36">
        <v>0.05</v>
      </c>
      <c r="G94" s="37">
        <v>150</v>
      </c>
      <c r="H94" s="38" t="s">
        <v>29</v>
      </c>
      <c r="I94" s="37"/>
      <c r="J94" s="37"/>
      <c r="K94" s="37"/>
      <c r="L94" s="37"/>
      <c r="M94" s="37"/>
      <c r="N94" s="37"/>
      <c r="O94" s="37"/>
      <c r="P94" s="37"/>
      <c r="Q94" s="35">
        <v>80150010904</v>
      </c>
      <c r="R94" s="35">
        <v>80150010904</v>
      </c>
    </row>
    <row r="95" spans="1:18" x14ac:dyDescent="0.2">
      <c r="A95" s="63"/>
      <c r="B95" s="64"/>
      <c r="C95" s="35" t="s">
        <v>26</v>
      </c>
      <c r="D95" s="36">
        <f t="shared" si="3"/>
        <v>0.40599999999999997</v>
      </c>
      <c r="E95" s="36">
        <f t="shared" si="4"/>
        <v>1.196</v>
      </c>
      <c r="F95" s="36">
        <v>0.79</v>
      </c>
      <c r="G95" s="37">
        <v>2449</v>
      </c>
      <c r="H95" s="38" t="s">
        <v>63</v>
      </c>
      <c r="I95" s="37"/>
      <c r="J95" s="37"/>
      <c r="K95" s="37"/>
      <c r="L95" s="37"/>
      <c r="M95" s="37"/>
      <c r="N95" s="37"/>
      <c r="O95" s="37"/>
      <c r="P95" s="37"/>
      <c r="Q95" s="35">
        <v>80150010904</v>
      </c>
      <c r="R95" s="35">
        <v>80150010904</v>
      </c>
    </row>
    <row r="96" spans="1:18" x14ac:dyDescent="0.2">
      <c r="A96" s="47"/>
      <c r="B96" s="40"/>
      <c r="C96" s="35" t="s">
        <v>26</v>
      </c>
      <c r="D96" s="36">
        <f t="shared" si="3"/>
        <v>1.196</v>
      </c>
      <c r="E96" s="36">
        <f t="shared" si="4"/>
        <v>1.236</v>
      </c>
      <c r="F96" s="36">
        <v>0.04</v>
      </c>
      <c r="G96" s="37">
        <v>196</v>
      </c>
      <c r="H96" s="38" t="s">
        <v>29</v>
      </c>
      <c r="I96" s="37"/>
      <c r="J96" s="37"/>
      <c r="K96" s="37"/>
      <c r="L96" s="37"/>
      <c r="M96" s="37"/>
      <c r="N96" s="37"/>
      <c r="O96" s="37"/>
      <c r="P96" s="37"/>
      <c r="Q96" s="35">
        <v>80150010904</v>
      </c>
      <c r="R96" s="35">
        <v>80150010904</v>
      </c>
    </row>
    <row r="97" spans="1:18" x14ac:dyDescent="0.2">
      <c r="A97" s="33">
        <v>68</v>
      </c>
      <c r="B97" s="34" t="s">
        <v>103</v>
      </c>
      <c r="C97" s="35" t="s">
        <v>39</v>
      </c>
      <c r="D97" s="36">
        <v>0</v>
      </c>
      <c r="E97" s="36">
        <f t="shared" si="4"/>
        <v>0.46</v>
      </c>
      <c r="F97" s="36">
        <v>0.46</v>
      </c>
      <c r="G97" s="37">
        <v>3220</v>
      </c>
      <c r="H97" s="38" t="s">
        <v>29</v>
      </c>
      <c r="I97" s="37"/>
      <c r="J97" s="37"/>
      <c r="K97" s="37"/>
      <c r="L97" s="37"/>
      <c r="M97" s="37"/>
      <c r="N97" s="37"/>
      <c r="O97" s="37"/>
      <c r="P97" s="37">
        <v>1290</v>
      </c>
      <c r="Q97" s="35">
        <v>80150023738</v>
      </c>
      <c r="R97" s="35">
        <v>80150023738</v>
      </c>
    </row>
    <row r="98" spans="1:18" x14ac:dyDescent="0.2">
      <c r="A98" s="39"/>
      <c r="B98" s="40"/>
      <c r="C98" s="35" t="s">
        <v>39</v>
      </c>
      <c r="D98" s="36">
        <f t="shared" si="3"/>
        <v>0.46</v>
      </c>
      <c r="E98" s="36">
        <f t="shared" si="4"/>
        <v>1.08</v>
      </c>
      <c r="F98" s="36">
        <v>0.62</v>
      </c>
      <c r="G98" s="37">
        <v>4340</v>
      </c>
      <c r="H98" s="38" t="s">
        <v>29</v>
      </c>
      <c r="I98" s="37"/>
      <c r="J98" s="37"/>
      <c r="K98" s="37"/>
      <c r="L98" s="37"/>
      <c r="M98" s="37"/>
      <c r="N98" s="37"/>
      <c r="O98" s="37"/>
      <c r="P98" s="37">
        <v>1274</v>
      </c>
      <c r="Q98" s="35">
        <v>80150023738</v>
      </c>
      <c r="R98" s="35">
        <v>80150023236</v>
      </c>
    </row>
    <row r="99" spans="1:18" ht="22.5" x14ac:dyDescent="0.2">
      <c r="A99" s="49">
        <v>69</v>
      </c>
      <c r="B99" s="56" t="s">
        <v>104</v>
      </c>
      <c r="C99" s="35" t="s">
        <v>26</v>
      </c>
      <c r="D99" s="36">
        <v>0</v>
      </c>
      <c r="E99" s="36">
        <f t="shared" si="4"/>
        <v>0.18</v>
      </c>
      <c r="F99" s="36">
        <v>0.18</v>
      </c>
      <c r="G99" s="37">
        <v>1350</v>
      </c>
      <c r="H99" s="38" t="s">
        <v>29</v>
      </c>
      <c r="I99" s="37"/>
      <c r="J99" s="37"/>
      <c r="K99" s="37"/>
      <c r="L99" s="37"/>
      <c r="M99" s="37"/>
      <c r="N99" s="37"/>
      <c r="O99" s="37"/>
      <c r="P99" s="37">
        <v>628</v>
      </c>
      <c r="Q99" s="35">
        <v>80150024030</v>
      </c>
      <c r="R99" s="35">
        <v>80150024030</v>
      </c>
    </row>
    <row r="100" spans="1:18" x14ac:dyDescent="0.2">
      <c r="A100" s="47">
        <v>70</v>
      </c>
      <c r="B100" s="40" t="s">
        <v>105</v>
      </c>
      <c r="C100" s="48" t="s">
        <v>26</v>
      </c>
      <c r="D100" s="36">
        <v>0</v>
      </c>
      <c r="E100" s="36">
        <f t="shared" si="4"/>
        <v>0.18</v>
      </c>
      <c r="F100" s="36">
        <v>0.18</v>
      </c>
      <c r="G100" s="37">
        <v>900</v>
      </c>
      <c r="H100" s="38" t="s">
        <v>27</v>
      </c>
      <c r="I100" s="37"/>
      <c r="J100" s="37"/>
      <c r="K100" s="37"/>
      <c r="L100" s="37"/>
      <c r="M100" s="37"/>
      <c r="N100" s="37"/>
      <c r="O100" s="37"/>
      <c r="P100" s="37"/>
      <c r="Q100" s="44">
        <v>80150010009</v>
      </c>
      <c r="R100" s="35">
        <v>80150010008</v>
      </c>
    </row>
    <row r="101" spans="1:18" x14ac:dyDescent="0.2">
      <c r="A101" s="62">
        <v>71</v>
      </c>
      <c r="B101" s="34" t="s">
        <v>106</v>
      </c>
      <c r="C101" s="48" t="s">
        <v>26</v>
      </c>
      <c r="D101" s="36">
        <v>0</v>
      </c>
      <c r="E101" s="36">
        <f t="shared" si="4"/>
        <v>0.12</v>
      </c>
      <c r="F101" s="36">
        <v>0.12</v>
      </c>
      <c r="G101" s="65">
        <v>540</v>
      </c>
      <c r="H101" s="38" t="s">
        <v>27</v>
      </c>
      <c r="I101" s="65"/>
      <c r="J101" s="65"/>
      <c r="K101" s="65"/>
      <c r="L101" s="65"/>
      <c r="M101" s="65"/>
      <c r="N101" s="65"/>
      <c r="O101" s="65"/>
      <c r="P101" s="65"/>
      <c r="Q101" s="35">
        <v>80150020001</v>
      </c>
      <c r="R101" s="35">
        <v>80150022126</v>
      </c>
    </row>
    <row r="102" spans="1:18" x14ac:dyDescent="0.2">
      <c r="A102" s="66"/>
      <c r="B102" s="46"/>
      <c r="C102" s="48" t="s">
        <v>26</v>
      </c>
      <c r="D102" s="36">
        <v>0.24</v>
      </c>
      <c r="E102" s="36">
        <f t="shared" si="4"/>
        <v>0.29499999999999998</v>
      </c>
      <c r="F102" s="36">
        <v>5.5E-2</v>
      </c>
      <c r="G102" s="65">
        <v>633</v>
      </c>
      <c r="H102" s="38" t="s">
        <v>27</v>
      </c>
      <c r="I102" s="65"/>
      <c r="J102" s="65"/>
      <c r="K102" s="65"/>
      <c r="L102" s="65"/>
      <c r="M102" s="65"/>
      <c r="N102" s="65"/>
      <c r="O102" s="65"/>
      <c r="P102" s="65"/>
      <c r="Q102" s="35">
        <v>80150020001</v>
      </c>
      <c r="R102" s="35">
        <v>80150020001</v>
      </c>
    </row>
    <row r="103" spans="1:18" x14ac:dyDescent="0.2">
      <c r="A103" s="47"/>
      <c r="B103" s="67" t="s">
        <v>107</v>
      </c>
      <c r="C103" s="48" t="s">
        <v>26</v>
      </c>
      <c r="D103" s="36">
        <v>0</v>
      </c>
      <c r="E103" s="36">
        <f t="shared" si="4"/>
        <v>0.14499999999999999</v>
      </c>
      <c r="F103" s="36">
        <v>0.14499999999999999</v>
      </c>
      <c r="G103" s="37">
        <v>653</v>
      </c>
      <c r="H103" s="38" t="s">
        <v>27</v>
      </c>
      <c r="I103" s="37"/>
      <c r="J103" s="37"/>
      <c r="K103" s="37"/>
      <c r="L103" s="37"/>
      <c r="M103" s="37"/>
      <c r="N103" s="37"/>
      <c r="O103" s="37"/>
      <c r="P103" s="37"/>
      <c r="Q103" s="35">
        <v>80150020001</v>
      </c>
      <c r="R103" s="35">
        <v>80150020001</v>
      </c>
    </row>
    <row r="104" spans="1:18" x14ac:dyDescent="0.2">
      <c r="A104" s="49">
        <v>72</v>
      </c>
      <c r="B104" s="42" t="s">
        <v>108</v>
      </c>
      <c r="C104" s="35" t="s">
        <v>26</v>
      </c>
      <c r="D104" s="36">
        <v>0</v>
      </c>
      <c r="E104" s="36">
        <f t="shared" si="4"/>
        <v>0.14499999999999999</v>
      </c>
      <c r="F104" s="36">
        <v>0.14499999999999999</v>
      </c>
      <c r="G104" s="37">
        <v>725</v>
      </c>
      <c r="H104" s="38" t="s">
        <v>32</v>
      </c>
      <c r="I104" s="37"/>
      <c r="J104" s="37"/>
      <c r="K104" s="37"/>
      <c r="L104" s="37"/>
      <c r="M104" s="37"/>
      <c r="N104" s="37"/>
      <c r="O104" s="37"/>
      <c r="P104" s="37"/>
      <c r="Q104" s="35">
        <v>80150032070</v>
      </c>
      <c r="R104" s="35">
        <v>80150032070</v>
      </c>
    </row>
    <row r="105" spans="1:18" x14ac:dyDescent="0.2">
      <c r="A105" s="49">
        <v>73</v>
      </c>
      <c r="B105" s="42" t="s">
        <v>109</v>
      </c>
      <c r="C105" s="35" t="s">
        <v>26</v>
      </c>
      <c r="D105" s="36">
        <v>0</v>
      </c>
      <c r="E105" s="36">
        <f t="shared" si="4"/>
        <v>0.23499999999999999</v>
      </c>
      <c r="F105" s="36">
        <v>0.23499999999999999</v>
      </c>
      <c r="G105" s="37">
        <v>1410</v>
      </c>
      <c r="H105" s="38" t="s">
        <v>29</v>
      </c>
      <c r="I105" s="37"/>
      <c r="J105" s="37"/>
      <c r="K105" s="37"/>
      <c r="L105" s="37"/>
      <c r="M105" s="37"/>
      <c r="N105" s="37"/>
      <c r="O105" s="37"/>
      <c r="P105" s="37">
        <v>218</v>
      </c>
      <c r="Q105" s="35">
        <v>80150031639</v>
      </c>
      <c r="R105" s="35">
        <v>80150031639</v>
      </c>
    </row>
    <row r="106" spans="1:18" x14ac:dyDescent="0.2">
      <c r="A106" s="49">
        <v>74</v>
      </c>
      <c r="B106" s="53" t="s">
        <v>110</v>
      </c>
      <c r="C106" s="51" t="s">
        <v>39</v>
      </c>
      <c r="D106" s="36">
        <v>0</v>
      </c>
      <c r="E106" s="36">
        <f t="shared" si="4"/>
        <v>0.38</v>
      </c>
      <c r="F106" s="36">
        <v>0.38</v>
      </c>
      <c r="G106" s="37">
        <v>2280</v>
      </c>
      <c r="H106" s="38" t="s">
        <v>29</v>
      </c>
      <c r="I106" s="37"/>
      <c r="J106" s="37"/>
      <c r="K106" s="37"/>
      <c r="L106" s="37"/>
      <c r="M106" s="37"/>
      <c r="N106" s="37"/>
      <c r="O106" s="37"/>
      <c r="P106" s="37">
        <v>1662</v>
      </c>
      <c r="Q106" s="35">
        <v>80150023051</v>
      </c>
      <c r="R106" s="35">
        <v>80150023051</v>
      </c>
    </row>
    <row r="107" spans="1:18" x14ac:dyDescent="0.2">
      <c r="A107" s="49">
        <v>75</v>
      </c>
      <c r="B107" s="42" t="s">
        <v>111</v>
      </c>
      <c r="C107" s="35" t="s">
        <v>26</v>
      </c>
      <c r="D107" s="36">
        <v>0</v>
      </c>
      <c r="E107" s="36">
        <f t="shared" si="4"/>
        <v>0.16500000000000001</v>
      </c>
      <c r="F107" s="36">
        <v>0.16500000000000001</v>
      </c>
      <c r="G107" s="37">
        <v>662</v>
      </c>
      <c r="H107" s="38" t="s">
        <v>32</v>
      </c>
      <c r="I107" s="37"/>
      <c r="J107" s="37"/>
      <c r="K107" s="37"/>
      <c r="L107" s="37"/>
      <c r="M107" s="37"/>
      <c r="N107" s="37"/>
      <c r="O107" s="37"/>
      <c r="P107" s="37"/>
      <c r="Q107" s="35">
        <v>80150031357</v>
      </c>
      <c r="R107" s="35">
        <v>80150031357</v>
      </c>
    </row>
    <row r="108" spans="1:18" x14ac:dyDescent="0.2">
      <c r="A108" s="49">
        <v>76</v>
      </c>
      <c r="B108" s="34" t="s">
        <v>112</v>
      </c>
      <c r="C108" s="35" t="s">
        <v>26</v>
      </c>
      <c r="D108" s="36">
        <v>0</v>
      </c>
      <c r="E108" s="36">
        <f t="shared" si="4"/>
        <v>0.22</v>
      </c>
      <c r="F108" s="36">
        <v>0.22</v>
      </c>
      <c r="G108" s="37">
        <v>1320</v>
      </c>
      <c r="H108" s="38" t="s">
        <v>27</v>
      </c>
      <c r="I108" s="37"/>
      <c r="J108" s="37"/>
      <c r="K108" s="37"/>
      <c r="L108" s="37"/>
      <c r="M108" s="37"/>
      <c r="N108" s="37"/>
      <c r="O108" s="37"/>
      <c r="P108" s="37"/>
      <c r="Q108" s="35">
        <v>80150040316</v>
      </c>
      <c r="R108" s="35">
        <v>80150040210</v>
      </c>
    </row>
    <row r="109" spans="1:18" x14ac:dyDescent="0.2">
      <c r="A109" s="39"/>
      <c r="B109" s="40"/>
      <c r="C109" s="35" t="s">
        <v>26</v>
      </c>
      <c r="D109" s="36">
        <f t="shared" si="3"/>
        <v>0.22</v>
      </c>
      <c r="E109" s="36">
        <f t="shared" si="4"/>
        <v>1.2449999999999999</v>
      </c>
      <c r="F109" s="36">
        <v>1.0249999999999999</v>
      </c>
      <c r="G109" s="37">
        <v>7175</v>
      </c>
      <c r="H109" s="38" t="s">
        <v>29</v>
      </c>
      <c r="I109" s="37"/>
      <c r="J109" s="37"/>
      <c r="K109" s="37"/>
      <c r="L109" s="37"/>
      <c r="M109" s="37"/>
      <c r="N109" s="37"/>
      <c r="O109" s="37"/>
      <c r="P109" s="37"/>
      <c r="Q109" s="35">
        <v>80150040316</v>
      </c>
      <c r="R109" s="35">
        <v>80150040316</v>
      </c>
    </row>
    <row r="110" spans="1:18" x14ac:dyDescent="0.2">
      <c r="A110" s="62">
        <v>77</v>
      </c>
      <c r="B110" s="34" t="s">
        <v>113</v>
      </c>
      <c r="C110" s="35" t="s">
        <v>26</v>
      </c>
      <c r="D110" s="36">
        <v>0</v>
      </c>
      <c r="E110" s="36">
        <f t="shared" si="4"/>
        <v>9.5000000000000001E-2</v>
      </c>
      <c r="F110" s="36">
        <v>9.5000000000000001E-2</v>
      </c>
      <c r="G110" s="37">
        <v>380</v>
      </c>
      <c r="H110" s="38" t="s">
        <v>32</v>
      </c>
      <c r="I110" s="37"/>
      <c r="J110" s="37"/>
      <c r="K110" s="37"/>
      <c r="L110" s="37"/>
      <c r="M110" s="37"/>
      <c r="N110" s="37"/>
      <c r="O110" s="37"/>
      <c r="P110" s="37"/>
      <c r="Q110" s="35">
        <v>80150024774</v>
      </c>
      <c r="R110" s="35">
        <v>80150024774</v>
      </c>
    </row>
    <row r="111" spans="1:18" x14ac:dyDescent="0.2">
      <c r="A111" s="66"/>
      <c r="B111" s="46"/>
      <c r="C111" s="35" t="s">
        <v>39</v>
      </c>
      <c r="D111" s="36">
        <f t="shared" si="3"/>
        <v>9.5000000000000001E-2</v>
      </c>
      <c r="E111" s="36">
        <f t="shared" si="4"/>
        <v>0.44499999999999995</v>
      </c>
      <c r="F111" s="36">
        <v>0.35</v>
      </c>
      <c r="G111" s="37">
        <v>2450</v>
      </c>
      <c r="H111" s="38" t="s">
        <v>29</v>
      </c>
      <c r="I111" s="37"/>
      <c r="J111" s="37"/>
      <c r="K111" s="37"/>
      <c r="L111" s="37"/>
      <c r="M111" s="37"/>
      <c r="N111" s="37"/>
      <c r="O111" s="37"/>
      <c r="P111" s="37">
        <v>540</v>
      </c>
      <c r="Q111" s="35">
        <v>80150024811</v>
      </c>
      <c r="R111" s="35">
        <v>80150024811</v>
      </c>
    </row>
    <row r="112" spans="1:18" x14ac:dyDescent="0.2">
      <c r="A112" s="66"/>
      <c r="B112" s="46"/>
      <c r="C112" s="35" t="s">
        <v>26</v>
      </c>
      <c r="D112" s="36">
        <f t="shared" si="3"/>
        <v>0.44499999999999995</v>
      </c>
      <c r="E112" s="36">
        <f t="shared" si="4"/>
        <v>0.62199999999999989</v>
      </c>
      <c r="F112" s="36">
        <v>0.17699999999999999</v>
      </c>
      <c r="G112" s="37">
        <v>531</v>
      </c>
      <c r="H112" s="38" t="s">
        <v>27</v>
      </c>
      <c r="I112" s="37"/>
      <c r="J112" s="37"/>
      <c r="K112" s="37"/>
      <c r="L112" s="37"/>
      <c r="M112" s="37"/>
      <c r="N112" s="37"/>
      <c r="O112" s="37"/>
      <c r="P112" s="37"/>
      <c r="Q112" s="35">
        <v>80150024811</v>
      </c>
      <c r="R112" s="35">
        <v>80150024811</v>
      </c>
    </row>
    <row r="113" spans="1:18" x14ac:dyDescent="0.2">
      <c r="A113" s="47"/>
      <c r="B113" s="40"/>
      <c r="C113" s="35" t="s">
        <v>26</v>
      </c>
      <c r="D113" s="36">
        <f t="shared" si="3"/>
        <v>0.62199999999999989</v>
      </c>
      <c r="E113" s="36">
        <f t="shared" si="4"/>
        <v>1.0269999999999999</v>
      </c>
      <c r="F113" s="36">
        <v>0.40500000000000003</v>
      </c>
      <c r="G113" s="37">
        <v>1215</v>
      </c>
      <c r="H113" s="38" t="s">
        <v>27</v>
      </c>
      <c r="I113" s="37"/>
      <c r="J113" s="37"/>
      <c r="K113" s="37"/>
      <c r="L113" s="37"/>
      <c r="M113" s="37"/>
      <c r="N113" s="37"/>
      <c r="O113" s="37"/>
      <c r="P113" s="37"/>
      <c r="Q113" s="35">
        <v>80150020002</v>
      </c>
      <c r="R113" s="35">
        <v>80150020037</v>
      </c>
    </row>
    <row r="114" spans="1:18" x14ac:dyDescent="0.2">
      <c r="A114" s="62">
        <v>78</v>
      </c>
      <c r="B114" s="34" t="s">
        <v>114</v>
      </c>
      <c r="C114" s="35" t="s">
        <v>39</v>
      </c>
      <c r="D114" s="36">
        <v>0</v>
      </c>
      <c r="E114" s="36">
        <f t="shared" si="4"/>
        <v>0.2</v>
      </c>
      <c r="F114" s="36">
        <v>0.2</v>
      </c>
      <c r="G114" s="37">
        <v>1200</v>
      </c>
      <c r="H114" s="38" t="s">
        <v>29</v>
      </c>
      <c r="I114" s="37"/>
      <c r="J114" s="37"/>
      <c r="K114" s="37"/>
      <c r="L114" s="37"/>
      <c r="M114" s="37"/>
      <c r="N114" s="37"/>
      <c r="O114" s="37"/>
      <c r="P114" s="37">
        <v>169</v>
      </c>
      <c r="Q114" s="35">
        <v>80150023050</v>
      </c>
      <c r="R114" s="35">
        <v>80150023050</v>
      </c>
    </row>
    <row r="115" spans="1:18" x14ac:dyDescent="0.2">
      <c r="A115" s="66"/>
      <c r="B115" s="46"/>
      <c r="C115" s="35" t="s">
        <v>39</v>
      </c>
      <c r="D115" s="36">
        <f t="shared" si="3"/>
        <v>0.2</v>
      </c>
      <c r="E115" s="36">
        <f t="shared" si="4"/>
        <v>0.47000000000000003</v>
      </c>
      <c r="F115" s="36">
        <v>0.27</v>
      </c>
      <c r="G115" s="37">
        <v>1755</v>
      </c>
      <c r="H115" s="38" t="s">
        <v>29</v>
      </c>
      <c r="I115" s="37"/>
      <c r="J115" s="37"/>
      <c r="K115" s="37"/>
      <c r="L115" s="37"/>
      <c r="M115" s="37"/>
      <c r="N115" s="37"/>
      <c r="O115" s="37"/>
      <c r="P115" s="37">
        <v>393</v>
      </c>
      <c r="Q115" s="35">
        <v>80150023050</v>
      </c>
      <c r="R115" s="35">
        <v>80150021731</v>
      </c>
    </row>
    <row r="116" spans="1:18" x14ac:dyDescent="0.2">
      <c r="A116" s="47"/>
      <c r="B116" s="67"/>
      <c r="C116" s="35" t="s">
        <v>39</v>
      </c>
      <c r="D116" s="36">
        <f t="shared" si="3"/>
        <v>0.47000000000000003</v>
      </c>
      <c r="E116" s="36">
        <f t="shared" si="4"/>
        <v>0.56000000000000005</v>
      </c>
      <c r="F116" s="36">
        <v>0.09</v>
      </c>
      <c r="G116" s="37">
        <v>585</v>
      </c>
      <c r="H116" s="38" t="s">
        <v>29</v>
      </c>
      <c r="I116" s="37"/>
      <c r="J116" s="37"/>
      <c r="K116" s="37"/>
      <c r="L116" s="37"/>
      <c r="M116" s="37"/>
      <c r="N116" s="37"/>
      <c r="O116" s="37"/>
      <c r="P116" s="37">
        <v>367</v>
      </c>
      <c r="Q116" s="35">
        <v>80150023050</v>
      </c>
      <c r="R116" s="35">
        <v>80150021730</v>
      </c>
    </row>
    <row r="117" spans="1:18" x14ac:dyDescent="0.2">
      <c r="A117" s="47">
        <v>79</v>
      </c>
      <c r="B117" s="40" t="s">
        <v>115</v>
      </c>
      <c r="C117" s="48" t="s">
        <v>26</v>
      </c>
      <c r="D117" s="36">
        <v>0</v>
      </c>
      <c r="E117" s="36">
        <f t="shared" si="4"/>
        <v>0.245</v>
      </c>
      <c r="F117" s="36">
        <v>0.245</v>
      </c>
      <c r="G117" s="37">
        <v>1348</v>
      </c>
      <c r="H117" s="38" t="s">
        <v>27</v>
      </c>
      <c r="I117" s="37"/>
      <c r="J117" s="37"/>
      <c r="K117" s="37"/>
      <c r="L117" s="37"/>
      <c r="M117" s="37"/>
      <c r="N117" s="37"/>
      <c r="O117" s="37"/>
      <c r="P117" s="37"/>
      <c r="Q117" s="35">
        <v>80150024771</v>
      </c>
      <c r="R117" s="35">
        <v>80150024771</v>
      </c>
    </row>
    <row r="118" spans="1:18" ht="13.5" customHeight="1" x14ac:dyDescent="0.2">
      <c r="A118" s="47">
        <v>80</v>
      </c>
      <c r="B118" s="40" t="s">
        <v>116</v>
      </c>
      <c r="C118" s="48" t="s">
        <v>26</v>
      </c>
      <c r="D118" s="36">
        <v>0</v>
      </c>
      <c r="E118" s="36">
        <v>0.16</v>
      </c>
      <c r="F118" s="36">
        <v>0.16</v>
      </c>
      <c r="G118" s="37">
        <v>800</v>
      </c>
      <c r="H118" s="38" t="s">
        <v>29</v>
      </c>
      <c r="I118" s="37"/>
      <c r="J118" s="37"/>
      <c r="K118" s="37"/>
      <c r="L118" s="37"/>
      <c r="M118" s="37"/>
      <c r="N118" s="37"/>
      <c r="O118" s="37"/>
      <c r="P118" s="37"/>
      <c r="Q118" s="68">
        <v>80150030701043</v>
      </c>
      <c r="R118" s="69" t="s">
        <v>117</v>
      </c>
    </row>
    <row r="119" spans="1:18" x14ac:dyDescent="0.2">
      <c r="A119" s="47">
        <v>81</v>
      </c>
      <c r="B119" s="42" t="s">
        <v>118</v>
      </c>
      <c r="C119" s="35" t="s">
        <v>39</v>
      </c>
      <c r="D119" s="36">
        <v>0</v>
      </c>
      <c r="E119" s="36">
        <f t="shared" si="4"/>
        <v>0.69499999999999995</v>
      </c>
      <c r="F119" s="36">
        <v>0.69499999999999995</v>
      </c>
      <c r="G119" s="37">
        <v>4170</v>
      </c>
      <c r="H119" s="38" t="s">
        <v>29</v>
      </c>
      <c r="I119" s="37"/>
      <c r="J119" s="37"/>
      <c r="K119" s="37"/>
      <c r="L119" s="37"/>
      <c r="M119" s="37"/>
      <c r="N119" s="37"/>
      <c r="O119" s="37"/>
      <c r="P119" s="37">
        <v>2185</v>
      </c>
      <c r="Q119" s="35">
        <v>80150023049</v>
      </c>
      <c r="R119" s="35">
        <v>80150023049</v>
      </c>
    </row>
    <row r="120" spans="1:18" x14ac:dyDescent="0.2">
      <c r="A120" s="47">
        <v>82</v>
      </c>
      <c r="B120" s="42" t="s">
        <v>119</v>
      </c>
      <c r="C120" s="35" t="s">
        <v>26</v>
      </c>
      <c r="D120" s="36">
        <v>0</v>
      </c>
      <c r="E120" s="36">
        <f t="shared" si="4"/>
        <v>0.105</v>
      </c>
      <c r="F120" s="36">
        <v>0.105</v>
      </c>
      <c r="G120" s="37">
        <v>473</v>
      </c>
      <c r="H120" s="38" t="s">
        <v>32</v>
      </c>
      <c r="I120" s="37"/>
      <c r="J120" s="37"/>
      <c r="K120" s="37"/>
      <c r="L120" s="37"/>
      <c r="M120" s="37"/>
      <c r="N120" s="37"/>
      <c r="O120" s="37"/>
      <c r="P120" s="37"/>
      <c r="Q120" s="35">
        <v>80150031091</v>
      </c>
      <c r="R120" s="35">
        <v>80150031091</v>
      </c>
    </row>
    <row r="121" spans="1:18" x14ac:dyDescent="0.2">
      <c r="A121" s="47">
        <v>83</v>
      </c>
      <c r="B121" s="53" t="s">
        <v>120</v>
      </c>
      <c r="C121" s="51" t="s">
        <v>39</v>
      </c>
      <c r="D121" s="36">
        <v>0</v>
      </c>
      <c r="E121" s="36">
        <f t="shared" si="4"/>
        <v>1.1499999999999999</v>
      </c>
      <c r="F121" s="36">
        <v>1.1499999999999999</v>
      </c>
      <c r="G121" s="37">
        <v>6900</v>
      </c>
      <c r="H121" s="38" t="s">
        <v>29</v>
      </c>
      <c r="I121" s="37"/>
      <c r="J121" s="37"/>
      <c r="K121" s="37"/>
      <c r="L121" s="37"/>
      <c r="M121" s="37"/>
      <c r="N121" s="37"/>
      <c r="O121" s="37"/>
      <c r="P121" s="37">
        <v>2918</v>
      </c>
      <c r="Q121" s="35">
        <v>80150021903</v>
      </c>
      <c r="R121" s="35">
        <v>80150021903</v>
      </c>
    </row>
    <row r="122" spans="1:18" x14ac:dyDescent="0.2">
      <c r="A122" s="47">
        <v>84</v>
      </c>
      <c r="B122" s="42" t="s">
        <v>121</v>
      </c>
      <c r="C122" s="35" t="s">
        <v>26</v>
      </c>
      <c r="D122" s="36">
        <v>0</v>
      </c>
      <c r="E122" s="36">
        <f t="shared" si="4"/>
        <v>0.28999999999999998</v>
      </c>
      <c r="F122" s="36">
        <v>0.28999999999999998</v>
      </c>
      <c r="G122" s="37">
        <v>1450</v>
      </c>
      <c r="H122" s="38" t="s">
        <v>27</v>
      </c>
      <c r="I122" s="37"/>
      <c r="J122" s="37"/>
      <c r="K122" s="37"/>
      <c r="L122" s="37"/>
      <c r="M122" s="37"/>
      <c r="N122" s="37"/>
      <c r="O122" s="37"/>
      <c r="P122" s="37"/>
      <c r="Q122" s="35">
        <v>80150032068</v>
      </c>
      <c r="R122" s="35">
        <v>80150032068</v>
      </c>
    </row>
    <row r="123" spans="1:18" x14ac:dyDescent="0.2">
      <c r="A123" s="47">
        <v>85</v>
      </c>
      <c r="B123" s="42" t="s">
        <v>122</v>
      </c>
      <c r="C123" s="35" t="s">
        <v>26</v>
      </c>
      <c r="D123" s="36">
        <v>0</v>
      </c>
      <c r="E123" s="36">
        <v>0.17199999999999999</v>
      </c>
      <c r="F123" s="36">
        <v>0.17199999999999999</v>
      </c>
      <c r="G123" s="37">
        <v>687</v>
      </c>
      <c r="H123" s="38" t="s">
        <v>32</v>
      </c>
      <c r="I123" s="37"/>
      <c r="J123" s="37"/>
      <c r="K123" s="37"/>
      <c r="L123" s="37"/>
      <c r="M123" s="37"/>
      <c r="N123" s="37"/>
      <c r="O123" s="37"/>
      <c r="P123" s="37"/>
      <c r="Q123" s="35">
        <v>80150023650</v>
      </c>
      <c r="R123" s="35">
        <v>80150023650</v>
      </c>
    </row>
    <row r="124" spans="1:18" x14ac:dyDescent="0.2">
      <c r="A124" s="47">
        <v>86</v>
      </c>
      <c r="B124" s="42" t="s">
        <v>123</v>
      </c>
      <c r="C124" s="35" t="s">
        <v>26</v>
      </c>
      <c r="D124" s="36">
        <v>0</v>
      </c>
      <c r="E124" s="36">
        <f t="shared" si="4"/>
        <v>6.5000000000000002E-2</v>
      </c>
      <c r="F124" s="36">
        <v>6.5000000000000002E-2</v>
      </c>
      <c r="G124" s="37">
        <v>273</v>
      </c>
      <c r="H124" s="38" t="s">
        <v>29</v>
      </c>
      <c r="I124" s="37"/>
      <c r="J124" s="37"/>
      <c r="K124" s="37"/>
      <c r="L124" s="37"/>
      <c r="M124" s="37"/>
      <c r="N124" s="37"/>
      <c r="O124" s="37"/>
      <c r="P124" s="37"/>
      <c r="Q124" s="35">
        <v>80150024024</v>
      </c>
      <c r="R124" s="35">
        <v>80150024024</v>
      </c>
    </row>
    <row r="125" spans="1:18" x14ac:dyDescent="0.2">
      <c r="A125" s="47">
        <v>87</v>
      </c>
      <c r="B125" s="42" t="s">
        <v>124</v>
      </c>
      <c r="C125" s="35" t="s">
        <v>26</v>
      </c>
      <c r="D125" s="36">
        <v>0</v>
      </c>
      <c r="E125" s="36">
        <f t="shared" si="4"/>
        <v>0.34499999999999997</v>
      </c>
      <c r="F125" s="36">
        <v>0.34499999999999997</v>
      </c>
      <c r="G125" s="37">
        <v>2760</v>
      </c>
      <c r="H125" s="38" t="s">
        <v>29</v>
      </c>
      <c r="I125" s="37"/>
      <c r="J125" s="37"/>
      <c r="K125" s="37"/>
      <c r="L125" s="37"/>
      <c r="M125" s="37"/>
      <c r="N125" s="37"/>
      <c r="O125" s="37"/>
      <c r="P125" s="37"/>
      <c r="Q125" s="35">
        <v>80150040443</v>
      </c>
      <c r="R125" s="35">
        <v>80150040443</v>
      </c>
    </row>
    <row r="126" spans="1:18" x14ac:dyDescent="0.2">
      <c r="A126" s="47">
        <v>88</v>
      </c>
      <c r="B126" s="42" t="s">
        <v>125</v>
      </c>
      <c r="C126" s="35" t="s">
        <v>26</v>
      </c>
      <c r="D126" s="36">
        <v>0</v>
      </c>
      <c r="E126" s="36">
        <f t="shared" si="4"/>
        <v>6.5000000000000002E-2</v>
      </c>
      <c r="F126" s="36">
        <v>6.5000000000000002E-2</v>
      </c>
      <c r="G126" s="37">
        <v>390</v>
      </c>
      <c r="H126" s="38" t="s">
        <v>27</v>
      </c>
      <c r="I126" s="37"/>
      <c r="J126" s="37"/>
      <c r="K126" s="37"/>
      <c r="L126" s="37"/>
      <c r="M126" s="37"/>
      <c r="N126" s="37"/>
      <c r="O126" s="37"/>
      <c r="P126" s="37"/>
      <c r="Q126" s="35">
        <v>80150023078</v>
      </c>
      <c r="R126" s="35">
        <v>80150023078</v>
      </c>
    </row>
    <row r="127" spans="1:18" x14ac:dyDescent="0.2">
      <c r="A127" s="47">
        <v>89</v>
      </c>
      <c r="B127" s="42" t="s">
        <v>126</v>
      </c>
      <c r="C127" s="35" t="s">
        <v>26</v>
      </c>
      <c r="D127" s="36">
        <v>0</v>
      </c>
      <c r="E127" s="36">
        <f t="shared" si="4"/>
        <v>0.45</v>
      </c>
      <c r="F127" s="36">
        <v>0.45</v>
      </c>
      <c r="G127" s="37">
        <v>2025</v>
      </c>
      <c r="H127" s="38" t="s">
        <v>27</v>
      </c>
      <c r="I127" s="37"/>
      <c r="J127" s="37"/>
      <c r="K127" s="37"/>
      <c r="L127" s="37"/>
      <c r="M127" s="37"/>
      <c r="N127" s="37"/>
      <c r="O127" s="37"/>
      <c r="P127" s="37">
        <v>1201</v>
      </c>
      <c r="Q127" s="35">
        <v>80150021130</v>
      </c>
      <c r="R127" s="35">
        <v>80150021130</v>
      </c>
    </row>
    <row r="128" spans="1:18" x14ac:dyDescent="0.2">
      <c r="A128" s="47">
        <v>90</v>
      </c>
      <c r="B128" s="53" t="s">
        <v>127</v>
      </c>
      <c r="C128" s="51" t="s">
        <v>26</v>
      </c>
      <c r="D128" s="36">
        <v>0</v>
      </c>
      <c r="E128" s="36">
        <f t="shared" si="4"/>
        <v>0.32400000000000001</v>
      </c>
      <c r="F128" s="36">
        <v>0.32400000000000001</v>
      </c>
      <c r="G128" s="37">
        <v>2300</v>
      </c>
      <c r="H128" s="38" t="s">
        <v>29</v>
      </c>
      <c r="I128" s="37"/>
      <c r="J128" s="37"/>
      <c r="K128" s="37"/>
      <c r="L128" s="37"/>
      <c r="M128" s="37"/>
      <c r="N128" s="37"/>
      <c r="O128" s="37"/>
      <c r="P128" s="37">
        <v>582.19000000000005</v>
      </c>
      <c r="Q128" s="35">
        <v>80150030092</v>
      </c>
      <c r="R128" s="35">
        <v>80150030092</v>
      </c>
    </row>
    <row r="129" spans="1:18" x14ac:dyDescent="0.2">
      <c r="A129" s="47">
        <v>91</v>
      </c>
      <c r="B129" s="34" t="s">
        <v>128</v>
      </c>
      <c r="C129" s="51" t="s">
        <v>26</v>
      </c>
      <c r="D129" s="36">
        <v>0</v>
      </c>
      <c r="E129" s="36">
        <f t="shared" si="4"/>
        <v>9.2999999999999999E-2</v>
      </c>
      <c r="F129" s="36">
        <v>9.2999999999999999E-2</v>
      </c>
      <c r="G129" s="37">
        <v>512</v>
      </c>
      <c r="H129" s="38" t="s">
        <v>27</v>
      </c>
      <c r="I129" s="37"/>
      <c r="J129" s="37"/>
      <c r="K129" s="37"/>
      <c r="L129" s="37"/>
      <c r="M129" s="37"/>
      <c r="N129" s="37"/>
      <c r="O129" s="37"/>
      <c r="P129" s="37"/>
      <c r="Q129" s="35">
        <v>80150022366</v>
      </c>
      <c r="R129" s="35">
        <v>80150022366</v>
      </c>
    </row>
    <row r="130" spans="1:18" x14ac:dyDescent="0.2">
      <c r="A130" s="39"/>
      <c r="B130" s="40"/>
      <c r="C130" s="51" t="s">
        <v>26</v>
      </c>
      <c r="D130" s="36">
        <f t="shared" ref="D130:D167" si="5">E129</f>
        <v>9.2999999999999999E-2</v>
      </c>
      <c r="E130" s="36">
        <f t="shared" si="4"/>
        <v>0.41400000000000003</v>
      </c>
      <c r="F130" s="36">
        <v>0.32100000000000001</v>
      </c>
      <c r="G130" s="37">
        <v>1284</v>
      </c>
      <c r="H130" s="38" t="s">
        <v>27</v>
      </c>
      <c r="I130" s="37"/>
      <c r="J130" s="37"/>
      <c r="K130" s="37"/>
      <c r="L130" s="37"/>
      <c r="M130" s="37"/>
      <c r="N130" s="37"/>
      <c r="O130" s="37"/>
      <c r="P130" s="37"/>
      <c r="Q130" s="35">
        <v>80150022366</v>
      </c>
      <c r="R130" s="35">
        <v>80150022366</v>
      </c>
    </row>
    <row r="131" spans="1:18" x14ac:dyDescent="0.2">
      <c r="A131" s="49">
        <v>92</v>
      </c>
      <c r="B131" s="42" t="s">
        <v>129</v>
      </c>
      <c r="C131" s="51" t="s">
        <v>26</v>
      </c>
      <c r="D131" s="36">
        <v>0</v>
      </c>
      <c r="E131" s="36">
        <f t="shared" si="4"/>
        <v>0.31</v>
      </c>
      <c r="F131" s="36">
        <v>0.31</v>
      </c>
      <c r="G131" s="37">
        <v>2015</v>
      </c>
      <c r="H131" s="38" t="s">
        <v>29</v>
      </c>
      <c r="I131" s="37"/>
      <c r="J131" s="37"/>
      <c r="K131" s="37"/>
      <c r="L131" s="37"/>
      <c r="M131" s="37"/>
      <c r="N131" s="37"/>
      <c r="O131" s="37"/>
      <c r="P131" s="37"/>
      <c r="Q131" s="35">
        <v>80150040318</v>
      </c>
      <c r="R131" s="35">
        <v>80150040318</v>
      </c>
    </row>
    <row r="132" spans="1:18" x14ac:dyDescent="0.2">
      <c r="A132" s="33">
        <v>93</v>
      </c>
      <c r="B132" s="34" t="s">
        <v>130</v>
      </c>
      <c r="C132" s="51" t="s">
        <v>26</v>
      </c>
      <c r="D132" s="36">
        <v>0</v>
      </c>
      <c r="E132" s="36">
        <f t="shared" si="4"/>
        <v>0.41</v>
      </c>
      <c r="F132" s="36">
        <v>0.41</v>
      </c>
      <c r="G132" s="37">
        <v>1722</v>
      </c>
      <c r="H132" s="38" t="s">
        <v>29</v>
      </c>
      <c r="I132" s="37"/>
      <c r="J132" s="37"/>
      <c r="K132" s="37"/>
      <c r="L132" s="37"/>
      <c r="M132" s="37"/>
      <c r="N132" s="37"/>
      <c r="O132" s="37"/>
      <c r="P132" s="37"/>
      <c r="Q132" s="35">
        <v>80150010903</v>
      </c>
      <c r="R132" s="35">
        <v>80150010903</v>
      </c>
    </row>
    <row r="133" spans="1:18" x14ac:dyDescent="0.2">
      <c r="A133" s="39"/>
      <c r="B133" s="40"/>
      <c r="C133" s="51" t="s">
        <v>26</v>
      </c>
      <c r="D133" s="36">
        <f>E132</f>
        <v>0.41</v>
      </c>
      <c r="E133" s="36">
        <f t="shared" si="4"/>
        <v>0.79499999999999993</v>
      </c>
      <c r="F133" s="36">
        <v>0.38500000000000001</v>
      </c>
      <c r="G133" s="37">
        <v>1398</v>
      </c>
      <c r="H133" s="38" t="s">
        <v>27</v>
      </c>
      <c r="I133" s="37"/>
      <c r="J133" s="37"/>
      <c r="K133" s="37"/>
      <c r="L133" s="37"/>
      <c r="M133" s="37"/>
      <c r="N133" s="37"/>
      <c r="O133" s="37"/>
      <c r="P133" s="37"/>
      <c r="Q133" s="35">
        <v>80150010903</v>
      </c>
      <c r="R133" s="35">
        <v>80150010903</v>
      </c>
    </row>
    <row r="134" spans="1:18" x14ac:dyDescent="0.2">
      <c r="A134" s="33">
        <v>94</v>
      </c>
      <c r="B134" s="34" t="s">
        <v>131</v>
      </c>
      <c r="C134" s="51" t="s">
        <v>26</v>
      </c>
      <c r="D134" s="36">
        <v>0</v>
      </c>
      <c r="E134" s="36">
        <f t="shared" si="4"/>
        <v>0.45500000000000002</v>
      </c>
      <c r="F134" s="36">
        <v>0.45500000000000002</v>
      </c>
      <c r="G134" s="37">
        <v>3280</v>
      </c>
      <c r="H134" s="38" t="s">
        <v>63</v>
      </c>
      <c r="I134" s="37"/>
      <c r="J134" s="37"/>
      <c r="K134" s="37"/>
      <c r="L134" s="37"/>
      <c r="M134" s="37"/>
      <c r="N134" s="37"/>
      <c r="O134" s="37"/>
      <c r="P134" s="37"/>
      <c r="Q134" s="35">
        <v>80150022368</v>
      </c>
      <c r="R134" s="35">
        <v>80150022368</v>
      </c>
    </row>
    <row r="135" spans="1:18" x14ac:dyDescent="0.2">
      <c r="A135" s="33">
        <v>95</v>
      </c>
      <c r="B135" s="34" t="s">
        <v>132</v>
      </c>
      <c r="C135" s="51" t="s">
        <v>26</v>
      </c>
      <c r="D135" s="36">
        <v>0</v>
      </c>
      <c r="E135" s="36">
        <v>0.32500000000000001</v>
      </c>
      <c r="F135" s="36">
        <v>0.32500000000000001</v>
      </c>
      <c r="G135" s="37">
        <v>2275</v>
      </c>
      <c r="H135" s="38" t="s">
        <v>29</v>
      </c>
      <c r="I135" s="37"/>
      <c r="J135" s="37"/>
      <c r="K135" s="37"/>
      <c r="L135" s="37"/>
      <c r="M135" s="37"/>
      <c r="N135" s="37"/>
      <c r="O135" s="37"/>
      <c r="P135" s="37">
        <v>111</v>
      </c>
      <c r="Q135" s="35">
        <v>80150032359</v>
      </c>
      <c r="R135" s="35">
        <v>80150032359</v>
      </c>
    </row>
    <row r="136" spans="1:18" x14ac:dyDescent="0.2">
      <c r="A136" s="33">
        <v>96</v>
      </c>
      <c r="B136" s="34" t="s">
        <v>133</v>
      </c>
      <c r="C136" s="51" t="s">
        <v>26</v>
      </c>
      <c r="D136" s="36">
        <v>6.5000000000000002E-2</v>
      </c>
      <c r="E136" s="36">
        <f t="shared" ref="E136:E199" si="6">D136+F136</f>
        <v>0.22</v>
      </c>
      <c r="F136" s="36">
        <v>0.155</v>
      </c>
      <c r="G136" s="37">
        <v>620</v>
      </c>
      <c r="H136" s="38" t="s">
        <v>32</v>
      </c>
      <c r="I136" s="37"/>
      <c r="J136" s="37"/>
      <c r="K136" s="37"/>
      <c r="L136" s="37"/>
      <c r="M136" s="37"/>
      <c r="N136" s="37"/>
      <c r="O136" s="37"/>
      <c r="P136" s="37"/>
      <c r="Q136" s="35">
        <v>80150030936</v>
      </c>
      <c r="R136" s="35">
        <v>80150030936</v>
      </c>
    </row>
    <row r="137" spans="1:18" x14ac:dyDescent="0.2">
      <c r="A137" s="39"/>
      <c r="B137" s="40"/>
      <c r="C137" s="51" t="s">
        <v>26</v>
      </c>
      <c r="D137" s="36">
        <f t="shared" si="5"/>
        <v>0.22</v>
      </c>
      <c r="E137" s="36">
        <f t="shared" si="6"/>
        <v>0.32</v>
      </c>
      <c r="F137" s="36">
        <v>0.1</v>
      </c>
      <c r="G137" s="37">
        <v>403</v>
      </c>
      <c r="H137" s="38" t="s">
        <v>32</v>
      </c>
      <c r="I137" s="37"/>
      <c r="J137" s="37"/>
      <c r="K137" s="37"/>
      <c r="L137" s="37"/>
      <c r="M137" s="37"/>
      <c r="N137" s="37"/>
      <c r="O137" s="37"/>
      <c r="P137" s="37"/>
      <c r="Q137" s="35">
        <v>80150030936</v>
      </c>
      <c r="R137" s="35">
        <v>80150030937</v>
      </c>
    </row>
    <row r="138" spans="1:18" x14ac:dyDescent="0.2">
      <c r="A138" s="49">
        <v>97</v>
      </c>
      <c r="B138" s="42" t="s">
        <v>134</v>
      </c>
      <c r="C138" s="35" t="s">
        <v>39</v>
      </c>
      <c r="D138" s="36">
        <v>0</v>
      </c>
      <c r="E138" s="36">
        <f t="shared" si="6"/>
        <v>0.625</v>
      </c>
      <c r="F138" s="36">
        <v>0.625</v>
      </c>
      <c r="G138" s="37">
        <v>3245</v>
      </c>
      <c r="H138" s="38" t="s">
        <v>29</v>
      </c>
      <c r="I138" s="37"/>
      <c r="J138" s="37"/>
      <c r="K138" s="37"/>
      <c r="L138" s="37"/>
      <c r="M138" s="37"/>
      <c r="N138" s="37"/>
      <c r="O138" s="37"/>
      <c r="P138" s="37">
        <v>950</v>
      </c>
      <c r="Q138" s="35">
        <v>80150020810</v>
      </c>
      <c r="R138" s="35">
        <v>80150020810</v>
      </c>
    </row>
    <row r="139" spans="1:18" x14ac:dyDescent="0.2">
      <c r="A139" s="62">
        <v>98</v>
      </c>
      <c r="B139" s="34" t="s">
        <v>135</v>
      </c>
      <c r="C139" s="35" t="s">
        <v>39</v>
      </c>
      <c r="D139" s="36">
        <v>0</v>
      </c>
      <c r="E139" s="36">
        <f t="shared" si="6"/>
        <v>0.12</v>
      </c>
      <c r="F139" s="36">
        <v>0.12</v>
      </c>
      <c r="G139" s="37">
        <v>684</v>
      </c>
      <c r="H139" s="38" t="s">
        <v>29</v>
      </c>
      <c r="I139" s="37"/>
      <c r="J139" s="37"/>
      <c r="K139" s="37"/>
      <c r="L139" s="37"/>
      <c r="M139" s="37"/>
      <c r="N139" s="37"/>
      <c r="O139" s="37"/>
      <c r="P139" s="37">
        <v>162</v>
      </c>
      <c r="Q139" s="35">
        <v>80150030427</v>
      </c>
      <c r="R139" s="35">
        <v>80150023838</v>
      </c>
    </row>
    <row r="140" spans="1:18" x14ac:dyDescent="0.2">
      <c r="A140" s="66"/>
      <c r="B140" s="46"/>
      <c r="C140" s="35" t="s">
        <v>39</v>
      </c>
      <c r="D140" s="36">
        <f t="shared" si="5"/>
        <v>0.12</v>
      </c>
      <c r="E140" s="36">
        <f t="shared" si="6"/>
        <v>0.435</v>
      </c>
      <c r="F140" s="36">
        <v>0.315</v>
      </c>
      <c r="G140" s="37">
        <v>1796</v>
      </c>
      <c r="H140" s="38" t="s">
        <v>29</v>
      </c>
      <c r="I140" s="37"/>
      <c r="J140" s="37"/>
      <c r="K140" s="37"/>
      <c r="L140" s="37"/>
      <c r="M140" s="37"/>
      <c r="N140" s="37"/>
      <c r="O140" s="37"/>
      <c r="P140" s="37">
        <v>427</v>
      </c>
      <c r="Q140" s="35">
        <v>80150030427</v>
      </c>
      <c r="R140" s="35">
        <v>80150030427</v>
      </c>
    </row>
    <row r="141" spans="1:18" x14ac:dyDescent="0.2">
      <c r="A141" s="47"/>
      <c r="B141" s="40"/>
      <c r="C141" s="35" t="s">
        <v>39</v>
      </c>
      <c r="D141" s="36">
        <f t="shared" si="5"/>
        <v>0.435</v>
      </c>
      <c r="E141" s="36">
        <f t="shared" si="6"/>
        <v>0.82499999999999996</v>
      </c>
      <c r="F141" s="36">
        <v>0.39</v>
      </c>
      <c r="G141" s="37">
        <v>2925</v>
      </c>
      <c r="H141" s="38" t="s">
        <v>29</v>
      </c>
      <c r="I141" s="37"/>
      <c r="J141" s="37"/>
      <c r="K141" s="37"/>
      <c r="L141" s="37"/>
      <c r="M141" s="37"/>
      <c r="N141" s="37"/>
      <c r="O141" s="37"/>
      <c r="P141" s="37">
        <v>468</v>
      </c>
      <c r="Q141" s="35">
        <v>80150030427</v>
      </c>
      <c r="R141" s="35">
        <v>80150032356</v>
      </c>
    </row>
    <row r="142" spans="1:18" x14ac:dyDescent="0.2">
      <c r="A142" s="33">
        <v>99</v>
      </c>
      <c r="B142" s="34" t="s">
        <v>136</v>
      </c>
      <c r="C142" s="35" t="s">
        <v>39</v>
      </c>
      <c r="D142" s="36">
        <v>0</v>
      </c>
      <c r="E142" s="36">
        <f t="shared" si="6"/>
        <v>0.34499999999999997</v>
      </c>
      <c r="F142" s="36">
        <v>0.34499999999999997</v>
      </c>
      <c r="G142" s="37">
        <v>2415</v>
      </c>
      <c r="H142" s="38" t="s">
        <v>29</v>
      </c>
      <c r="I142" s="37"/>
      <c r="J142" s="37"/>
      <c r="K142" s="37"/>
      <c r="L142" s="37"/>
      <c r="M142" s="37"/>
      <c r="N142" s="37"/>
      <c r="O142" s="37"/>
      <c r="P142" s="37"/>
      <c r="Q142" s="35">
        <v>80150024608</v>
      </c>
      <c r="R142" s="35">
        <v>80150024608</v>
      </c>
    </row>
    <row r="143" spans="1:18" x14ac:dyDescent="0.2">
      <c r="A143" s="39"/>
      <c r="B143" s="40"/>
      <c r="C143" s="35" t="s">
        <v>39</v>
      </c>
      <c r="D143" s="36">
        <f t="shared" si="5"/>
        <v>0.34499999999999997</v>
      </c>
      <c r="E143" s="36">
        <f t="shared" si="6"/>
        <v>0.62</v>
      </c>
      <c r="F143" s="36">
        <v>0.27500000000000002</v>
      </c>
      <c r="G143" s="37">
        <v>1925</v>
      </c>
      <c r="H143" s="38" t="s">
        <v>29</v>
      </c>
      <c r="I143" s="37"/>
      <c r="J143" s="37"/>
      <c r="K143" s="37"/>
      <c r="L143" s="37"/>
      <c r="M143" s="37"/>
      <c r="N143" s="37"/>
      <c r="O143" s="37"/>
      <c r="P143" s="37"/>
      <c r="Q143" s="70" t="s">
        <v>137</v>
      </c>
      <c r="R143" s="35">
        <v>80940030320</v>
      </c>
    </row>
    <row r="144" spans="1:18" x14ac:dyDescent="0.2">
      <c r="A144" s="61">
        <v>100</v>
      </c>
      <c r="B144" s="53" t="s">
        <v>138</v>
      </c>
      <c r="C144" s="51" t="s">
        <v>26</v>
      </c>
      <c r="D144" s="36">
        <v>0</v>
      </c>
      <c r="E144" s="36">
        <f t="shared" si="6"/>
        <v>0.57999999999999996</v>
      </c>
      <c r="F144" s="36">
        <v>0.57999999999999996</v>
      </c>
      <c r="G144" s="37">
        <v>2320</v>
      </c>
      <c r="H144" s="38" t="s">
        <v>27</v>
      </c>
      <c r="I144" s="37"/>
      <c r="J144" s="37"/>
      <c r="K144" s="37"/>
      <c r="L144" s="37"/>
      <c r="M144" s="37"/>
      <c r="N144" s="37"/>
      <c r="O144" s="37"/>
      <c r="P144" s="37"/>
      <c r="Q144" s="35">
        <v>80150022975</v>
      </c>
      <c r="R144" s="35">
        <v>80150022975</v>
      </c>
    </row>
    <row r="145" spans="1:18" x14ac:dyDescent="0.2">
      <c r="A145" s="49">
        <v>101</v>
      </c>
      <c r="B145" s="42" t="s">
        <v>139</v>
      </c>
      <c r="C145" s="35" t="s">
        <v>26</v>
      </c>
      <c r="D145" s="36">
        <v>0</v>
      </c>
      <c r="E145" s="36">
        <f t="shared" si="6"/>
        <v>0.26500000000000001</v>
      </c>
      <c r="F145" s="36">
        <v>0.26500000000000001</v>
      </c>
      <c r="G145" s="37">
        <v>1060</v>
      </c>
      <c r="H145" s="38" t="s">
        <v>27</v>
      </c>
      <c r="I145" s="37"/>
      <c r="J145" s="37"/>
      <c r="K145" s="37"/>
      <c r="L145" s="37"/>
      <c r="M145" s="37"/>
      <c r="N145" s="37"/>
      <c r="O145" s="37"/>
      <c r="P145" s="37"/>
      <c r="Q145" s="35">
        <v>80150022828</v>
      </c>
      <c r="R145" s="35">
        <v>80150022828</v>
      </c>
    </row>
    <row r="146" spans="1:18" x14ac:dyDescent="0.2">
      <c r="A146" s="33">
        <v>102</v>
      </c>
      <c r="B146" s="34" t="s">
        <v>140</v>
      </c>
      <c r="C146" s="35" t="s">
        <v>39</v>
      </c>
      <c r="D146" s="36">
        <v>0</v>
      </c>
      <c r="E146" s="36">
        <f t="shared" si="6"/>
        <v>0.29499999999999998</v>
      </c>
      <c r="F146" s="36">
        <v>0.29499999999999998</v>
      </c>
      <c r="G146" s="37">
        <v>1770</v>
      </c>
      <c r="H146" s="38" t="s">
        <v>29</v>
      </c>
      <c r="I146" s="37"/>
      <c r="J146" s="37"/>
      <c r="K146" s="37"/>
      <c r="L146" s="37"/>
      <c r="M146" s="37"/>
      <c r="N146" s="37"/>
      <c r="O146" s="37"/>
      <c r="P146" s="37">
        <v>339</v>
      </c>
      <c r="Q146" s="35">
        <v>80150023234</v>
      </c>
      <c r="R146" s="35">
        <v>80150023234</v>
      </c>
    </row>
    <row r="147" spans="1:18" x14ac:dyDescent="0.2">
      <c r="A147" s="39"/>
      <c r="B147" s="40"/>
      <c r="C147" s="35" t="s">
        <v>39</v>
      </c>
      <c r="D147" s="36">
        <f t="shared" si="5"/>
        <v>0.29499999999999998</v>
      </c>
      <c r="E147" s="36">
        <f t="shared" si="6"/>
        <v>0.42499999999999999</v>
      </c>
      <c r="F147" s="36">
        <v>0.13</v>
      </c>
      <c r="G147" s="37">
        <v>650</v>
      </c>
      <c r="H147" s="38" t="s">
        <v>63</v>
      </c>
      <c r="I147" s="37"/>
      <c r="J147" s="37"/>
      <c r="K147" s="37"/>
      <c r="L147" s="37"/>
      <c r="M147" s="37"/>
      <c r="N147" s="37"/>
      <c r="O147" s="37"/>
      <c r="P147" s="37"/>
      <c r="Q147" s="35">
        <v>80150023234</v>
      </c>
      <c r="R147" s="35">
        <v>80150023234</v>
      </c>
    </row>
    <row r="148" spans="1:18" x14ac:dyDescent="0.2">
      <c r="A148" s="49">
        <v>103</v>
      </c>
      <c r="B148" s="42" t="s">
        <v>141</v>
      </c>
      <c r="C148" s="35" t="s">
        <v>26</v>
      </c>
      <c r="D148" s="36">
        <v>0</v>
      </c>
      <c r="E148" s="36">
        <v>0.25</v>
      </c>
      <c r="F148" s="36">
        <v>0.25</v>
      </c>
      <c r="G148" s="37">
        <v>1375</v>
      </c>
      <c r="H148" s="38" t="s">
        <v>29</v>
      </c>
      <c r="I148" s="37"/>
      <c r="J148" s="37"/>
      <c r="K148" s="37"/>
      <c r="L148" s="37"/>
      <c r="M148" s="37"/>
      <c r="N148" s="37"/>
      <c r="O148" s="37"/>
      <c r="P148" s="37">
        <v>348</v>
      </c>
      <c r="Q148" s="35">
        <v>80150022437</v>
      </c>
      <c r="R148" s="35">
        <v>80150022437</v>
      </c>
    </row>
    <row r="149" spans="1:18" x14ac:dyDescent="0.2">
      <c r="A149" s="33">
        <v>104</v>
      </c>
      <c r="B149" s="34" t="s">
        <v>142</v>
      </c>
      <c r="C149" s="35" t="s">
        <v>26</v>
      </c>
      <c r="D149" s="36">
        <v>0</v>
      </c>
      <c r="E149" s="36">
        <f t="shared" si="6"/>
        <v>0.128</v>
      </c>
      <c r="F149" s="36">
        <v>0.128</v>
      </c>
      <c r="G149" s="37">
        <v>512</v>
      </c>
      <c r="H149" s="38" t="s">
        <v>29</v>
      </c>
      <c r="I149" s="37"/>
      <c r="J149" s="37"/>
      <c r="K149" s="37"/>
      <c r="L149" s="37"/>
      <c r="M149" s="37"/>
      <c r="N149" s="37"/>
      <c r="O149" s="37"/>
      <c r="P149" s="37"/>
      <c r="Q149" s="35">
        <v>80150031848</v>
      </c>
      <c r="R149" s="35">
        <v>80150031848</v>
      </c>
    </row>
    <row r="150" spans="1:18" x14ac:dyDescent="0.2">
      <c r="A150" s="39"/>
      <c r="B150" s="40"/>
      <c r="C150" s="35" t="s">
        <v>26</v>
      </c>
      <c r="D150" s="36">
        <f t="shared" si="5"/>
        <v>0.128</v>
      </c>
      <c r="E150" s="36">
        <f t="shared" si="6"/>
        <v>0.27300000000000002</v>
      </c>
      <c r="F150" s="36">
        <v>0.14499999999999999</v>
      </c>
      <c r="G150" s="37">
        <v>580</v>
      </c>
      <c r="H150" s="38" t="s">
        <v>27</v>
      </c>
      <c r="I150" s="37"/>
      <c r="J150" s="37"/>
      <c r="K150" s="37"/>
      <c r="L150" s="37"/>
      <c r="M150" s="37"/>
      <c r="N150" s="37"/>
      <c r="O150" s="37"/>
      <c r="P150" s="37"/>
      <c r="Q150" s="35">
        <v>80150031848</v>
      </c>
      <c r="R150" s="35">
        <v>80150031848</v>
      </c>
    </row>
    <row r="151" spans="1:18" x14ac:dyDescent="0.2">
      <c r="A151" s="33">
        <v>105</v>
      </c>
      <c r="B151" s="34" t="s">
        <v>143</v>
      </c>
      <c r="C151" s="35" t="s">
        <v>39</v>
      </c>
      <c r="D151" s="36">
        <v>0</v>
      </c>
      <c r="E151" s="36">
        <f t="shared" si="6"/>
        <v>0.51</v>
      </c>
      <c r="F151" s="36">
        <v>0.51</v>
      </c>
      <c r="G151" s="37">
        <v>3060</v>
      </c>
      <c r="H151" s="38" t="s">
        <v>29</v>
      </c>
      <c r="I151" s="37"/>
      <c r="J151" s="37"/>
      <c r="K151" s="37"/>
      <c r="L151" s="37"/>
      <c r="M151" s="37"/>
      <c r="N151" s="37"/>
      <c r="O151" s="37"/>
      <c r="P151" s="37">
        <v>881</v>
      </c>
      <c r="Q151" s="35">
        <v>80150023441</v>
      </c>
      <c r="R151" s="35">
        <v>80150023441</v>
      </c>
    </row>
    <row r="152" spans="1:18" x14ac:dyDescent="0.2">
      <c r="A152" s="39"/>
      <c r="B152" s="40"/>
      <c r="C152" s="35" t="s">
        <v>39</v>
      </c>
      <c r="D152" s="36">
        <f t="shared" si="5"/>
        <v>0.51</v>
      </c>
      <c r="E152" s="36">
        <f t="shared" si="6"/>
        <v>0.58499999999999996</v>
      </c>
      <c r="F152" s="36">
        <v>7.4999999999999997E-2</v>
      </c>
      <c r="G152" s="37">
        <v>360</v>
      </c>
      <c r="H152" s="38" t="s">
        <v>29</v>
      </c>
      <c r="I152" s="37"/>
      <c r="J152" s="37"/>
      <c r="K152" s="37"/>
      <c r="L152" s="37"/>
      <c r="M152" s="37"/>
      <c r="N152" s="37"/>
      <c r="O152" s="37"/>
      <c r="P152" s="37"/>
      <c r="Q152" s="35">
        <v>80150023234</v>
      </c>
      <c r="R152" s="35">
        <v>80150023234</v>
      </c>
    </row>
    <row r="153" spans="1:18" x14ac:dyDescent="0.2">
      <c r="A153" s="33">
        <v>106</v>
      </c>
      <c r="B153" s="34" t="s">
        <v>144</v>
      </c>
      <c r="C153" s="35" t="s">
        <v>39</v>
      </c>
      <c r="D153" s="36">
        <v>0</v>
      </c>
      <c r="E153" s="36">
        <f t="shared" si="6"/>
        <v>1.385</v>
      </c>
      <c r="F153" s="36">
        <v>1.385</v>
      </c>
      <c r="G153" s="37">
        <v>8310</v>
      </c>
      <c r="H153" s="38" t="s">
        <v>29</v>
      </c>
      <c r="I153" s="37"/>
      <c r="J153" s="37"/>
      <c r="K153" s="37"/>
      <c r="L153" s="37"/>
      <c r="M153" s="37"/>
      <c r="N153" s="37"/>
      <c r="O153" s="37"/>
      <c r="P153" s="37">
        <v>228</v>
      </c>
      <c r="Q153" s="35">
        <v>80150023903</v>
      </c>
      <c r="R153" s="35">
        <v>80150023903</v>
      </c>
    </row>
    <row r="154" spans="1:18" x14ac:dyDescent="0.2">
      <c r="A154" s="39"/>
      <c r="B154" s="40"/>
      <c r="C154" s="35" t="s">
        <v>26</v>
      </c>
      <c r="D154" s="36">
        <f t="shared" si="5"/>
        <v>1.385</v>
      </c>
      <c r="E154" s="36">
        <f t="shared" si="6"/>
        <v>2.2549999999999999</v>
      </c>
      <c r="F154" s="36">
        <v>0.87</v>
      </c>
      <c r="G154" s="37">
        <v>3480</v>
      </c>
      <c r="H154" s="38" t="s">
        <v>27</v>
      </c>
      <c r="I154" s="37"/>
      <c r="J154" s="37"/>
      <c r="K154" s="37"/>
      <c r="L154" s="37"/>
      <c r="M154" s="37"/>
      <c r="N154" s="37"/>
      <c r="O154" s="37"/>
      <c r="P154" s="37"/>
      <c r="Q154" s="35">
        <v>80150023903</v>
      </c>
      <c r="R154" s="35">
        <v>80150023903</v>
      </c>
    </row>
    <row r="155" spans="1:18" x14ac:dyDescent="0.2">
      <c r="A155" s="33">
        <v>107</v>
      </c>
      <c r="B155" s="34" t="s">
        <v>145</v>
      </c>
      <c r="C155" s="35" t="s">
        <v>26</v>
      </c>
      <c r="D155" s="36">
        <v>0</v>
      </c>
      <c r="E155" s="36">
        <f t="shared" si="6"/>
        <v>0.26500000000000001</v>
      </c>
      <c r="F155" s="36">
        <v>0.26500000000000001</v>
      </c>
      <c r="G155" s="37">
        <v>1193</v>
      </c>
      <c r="H155" s="38" t="s">
        <v>27</v>
      </c>
      <c r="I155" s="37"/>
      <c r="J155" s="37"/>
      <c r="K155" s="37"/>
      <c r="L155" s="37"/>
      <c r="M155" s="37"/>
      <c r="N155" s="37"/>
      <c r="O155" s="37"/>
      <c r="P155" s="37"/>
      <c r="Q155" s="35">
        <v>80150032066</v>
      </c>
      <c r="R155" s="35">
        <v>80150032066</v>
      </c>
    </row>
    <row r="156" spans="1:18" x14ac:dyDescent="0.2">
      <c r="A156" s="39"/>
      <c r="B156" s="40"/>
      <c r="C156" s="35" t="s">
        <v>26</v>
      </c>
      <c r="D156" s="36">
        <f t="shared" si="5"/>
        <v>0.26500000000000001</v>
      </c>
      <c r="E156" s="36">
        <f t="shared" si="6"/>
        <v>0.29500000000000004</v>
      </c>
      <c r="F156" s="36">
        <v>0.03</v>
      </c>
      <c r="G156" s="37">
        <v>150</v>
      </c>
      <c r="H156" s="38" t="s">
        <v>29</v>
      </c>
      <c r="I156" s="37"/>
      <c r="J156" s="37"/>
      <c r="K156" s="37"/>
      <c r="L156" s="37"/>
      <c r="M156" s="37"/>
      <c r="N156" s="37"/>
      <c r="O156" s="37"/>
      <c r="P156" s="37"/>
      <c r="Q156" s="35">
        <v>80150032066</v>
      </c>
      <c r="R156" s="35">
        <v>80150032066</v>
      </c>
    </row>
    <row r="157" spans="1:18" x14ac:dyDescent="0.2">
      <c r="A157" s="49">
        <v>108</v>
      </c>
      <c r="B157" s="42" t="s">
        <v>146</v>
      </c>
      <c r="C157" s="35" t="s">
        <v>26</v>
      </c>
      <c r="D157" s="36">
        <v>0</v>
      </c>
      <c r="E157" s="36">
        <f t="shared" si="6"/>
        <v>0.33</v>
      </c>
      <c r="F157" s="36">
        <v>0.33</v>
      </c>
      <c r="G157" s="37">
        <v>1320</v>
      </c>
      <c r="H157" s="38" t="s">
        <v>32</v>
      </c>
      <c r="I157" s="37"/>
      <c r="J157" s="37"/>
      <c r="K157" s="37"/>
      <c r="L157" s="37"/>
      <c r="M157" s="37"/>
      <c r="N157" s="37"/>
      <c r="O157" s="37"/>
      <c r="P157" s="37"/>
      <c r="Q157" s="44">
        <v>80150031089</v>
      </c>
      <c r="R157" s="35">
        <v>80150031089</v>
      </c>
    </row>
    <row r="158" spans="1:18" x14ac:dyDescent="0.2">
      <c r="A158" s="33">
        <v>109</v>
      </c>
      <c r="B158" s="34" t="s">
        <v>147</v>
      </c>
      <c r="C158" s="35" t="s">
        <v>26</v>
      </c>
      <c r="D158" s="36">
        <v>0</v>
      </c>
      <c r="E158" s="36">
        <f t="shared" si="6"/>
        <v>0.26</v>
      </c>
      <c r="F158" s="36">
        <v>0.26</v>
      </c>
      <c r="G158" s="37">
        <v>1300</v>
      </c>
      <c r="H158" s="38" t="s">
        <v>27</v>
      </c>
      <c r="I158" s="37"/>
      <c r="J158" s="37"/>
      <c r="K158" s="37"/>
      <c r="L158" s="37"/>
      <c r="M158" s="37"/>
      <c r="N158" s="37"/>
      <c r="O158" s="37"/>
      <c r="P158" s="37"/>
      <c r="Q158" s="44">
        <v>80150023739</v>
      </c>
      <c r="R158" s="35">
        <v>80150023739</v>
      </c>
    </row>
    <row r="159" spans="1:18" x14ac:dyDescent="0.2">
      <c r="A159" s="39"/>
      <c r="B159" s="40"/>
      <c r="C159" s="35" t="s">
        <v>26</v>
      </c>
      <c r="D159" s="36">
        <f t="shared" si="5"/>
        <v>0.26</v>
      </c>
      <c r="E159" s="36">
        <f t="shared" si="6"/>
        <v>0.44</v>
      </c>
      <c r="F159" s="36">
        <v>0.18</v>
      </c>
      <c r="G159" s="37">
        <v>900</v>
      </c>
      <c r="H159" s="38" t="s">
        <v>27</v>
      </c>
      <c r="I159" s="37"/>
      <c r="J159" s="37"/>
      <c r="K159" s="37"/>
      <c r="L159" s="37"/>
      <c r="M159" s="37"/>
      <c r="N159" s="37"/>
      <c r="O159" s="37"/>
      <c r="P159" s="37"/>
      <c r="Q159" s="44">
        <v>80150023739</v>
      </c>
      <c r="R159" s="35">
        <v>80150023237</v>
      </c>
    </row>
    <row r="160" spans="1:18" x14ac:dyDescent="0.2">
      <c r="A160" s="33">
        <v>110</v>
      </c>
      <c r="B160" s="34" t="s">
        <v>148</v>
      </c>
      <c r="C160" s="35" t="s">
        <v>26</v>
      </c>
      <c r="D160" s="36">
        <v>0</v>
      </c>
      <c r="E160" s="36">
        <f t="shared" si="6"/>
        <v>0.3</v>
      </c>
      <c r="F160" s="36">
        <v>0.3</v>
      </c>
      <c r="G160" s="37">
        <v>1050</v>
      </c>
      <c r="H160" s="38" t="s">
        <v>27</v>
      </c>
      <c r="I160" s="71"/>
      <c r="J160" s="71"/>
      <c r="K160" s="71"/>
      <c r="L160" s="71"/>
      <c r="M160" s="71"/>
      <c r="N160" s="71"/>
      <c r="O160" s="71"/>
      <c r="P160" s="71"/>
      <c r="Q160" s="35">
        <v>80150021129</v>
      </c>
      <c r="R160" s="35">
        <v>80150021129</v>
      </c>
    </row>
    <row r="161" spans="1:18" x14ac:dyDescent="0.2">
      <c r="A161" s="39"/>
      <c r="B161" s="40"/>
      <c r="C161" s="35" t="s">
        <v>26</v>
      </c>
      <c r="D161" s="36">
        <f t="shared" si="5"/>
        <v>0.3</v>
      </c>
      <c r="E161" s="36">
        <f t="shared" si="6"/>
        <v>0.44599999999999995</v>
      </c>
      <c r="F161" s="36">
        <v>0.14599999999999999</v>
      </c>
      <c r="G161" s="37">
        <v>876</v>
      </c>
      <c r="H161" s="38" t="s">
        <v>63</v>
      </c>
      <c r="I161" s="37"/>
      <c r="J161" s="37"/>
      <c r="K161" s="37"/>
      <c r="L161" s="37"/>
      <c r="M161" s="37"/>
      <c r="N161" s="37"/>
      <c r="O161" s="37"/>
      <c r="P161" s="37">
        <v>364</v>
      </c>
      <c r="Q161" s="35">
        <v>80150021129</v>
      </c>
      <c r="R161" s="35">
        <v>80150021129</v>
      </c>
    </row>
    <row r="162" spans="1:18" x14ac:dyDescent="0.2">
      <c r="A162" s="61">
        <v>111</v>
      </c>
      <c r="B162" s="53" t="s">
        <v>149</v>
      </c>
      <c r="C162" s="51" t="s">
        <v>39</v>
      </c>
      <c r="D162" s="36">
        <v>0</v>
      </c>
      <c r="E162" s="36">
        <f t="shared" si="6"/>
        <v>1.4950000000000001</v>
      </c>
      <c r="F162" s="36">
        <v>1.4950000000000001</v>
      </c>
      <c r="G162" s="37">
        <v>10345</v>
      </c>
      <c r="H162" s="38" t="s">
        <v>29</v>
      </c>
      <c r="I162" s="37"/>
      <c r="J162" s="37"/>
      <c r="K162" s="37"/>
      <c r="L162" s="37"/>
      <c r="M162" s="37"/>
      <c r="N162" s="37"/>
      <c r="O162" s="37"/>
      <c r="P162" s="37">
        <v>5074</v>
      </c>
      <c r="Q162" s="35">
        <v>80150023324</v>
      </c>
      <c r="R162" s="35">
        <v>80150023324</v>
      </c>
    </row>
    <row r="163" spans="1:18" x14ac:dyDescent="0.2">
      <c r="A163" s="62">
        <v>112</v>
      </c>
      <c r="B163" s="34" t="s">
        <v>150</v>
      </c>
      <c r="C163" s="51" t="s">
        <v>26</v>
      </c>
      <c r="D163" s="36">
        <v>0</v>
      </c>
      <c r="E163" s="36">
        <f t="shared" si="6"/>
        <v>0.30499999999999999</v>
      </c>
      <c r="F163" s="36">
        <v>0.30499999999999999</v>
      </c>
      <c r="G163" s="37">
        <v>1220</v>
      </c>
      <c r="H163" s="38" t="s">
        <v>27</v>
      </c>
      <c r="I163" s="37"/>
      <c r="J163" s="37"/>
      <c r="K163" s="37"/>
      <c r="L163" s="37"/>
      <c r="M163" s="37"/>
      <c r="N163" s="37"/>
      <c r="O163" s="37"/>
      <c r="P163" s="37"/>
      <c r="Q163" s="35">
        <v>80150022981</v>
      </c>
      <c r="R163" s="35">
        <v>80150022981</v>
      </c>
    </row>
    <row r="164" spans="1:18" x14ac:dyDescent="0.2">
      <c r="A164" s="61">
        <v>113</v>
      </c>
      <c r="B164" s="42" t="s">
        <v>151</v>
      </c>
      <c r="C164" s="35" t="s">
        <v>26</v>
      </c>
      <c r="D164" s="36">
        <v>0</v>
      </c>
      <c r="E164" s="36">
        <f t="shared" si="6"/>
        <v>0.12</v>
      </c>
      <c r="F164" s="36">
        <v>0.12</v>
      </c>
      <c r="G164" s="37">
        <v>360</v>
      </c>
      <c r="H164" s="38" t="s">
        <v>27</v>
      </c>
      <c r="I164" s="37"/>
      <c r="J164" s="37"/>
      <c r="K164" s="37"/>
      <c r="L164" s="37"/>
      <c r="M164" s="37"/>
      <c r="N164" s="37"/>
      <c r="O164" s="37"/>
      <c r="P164" s="37"/>
      <c r="Q164" s="44">
        <v>80150020065</v>
      </c>
      <c r="R164" s="35">
        <v>80150010004</v>
      </c>
    </row>
    <row r="165" spans="1:18" x14ac:dyDescent="0.2">
      <c r="A165" s="62">
        <v>114</v>
      </c>
      <c r="B165" s="53" t="s">
        <v>152</v>
      </c>
      <c r="C165" s="51" t="s">
        <v>26</v>
      </c>
      <c r="D165" s="36">
        <v>0</v>
      </c>
      <c r="E165" s="36">
        <f t="shared" si="6"/>
        <v>0.12</v>
      </c>
      <c r="F165" s="36">
        <v>0.12</v>
      </c>
      <c r="G165" s="37">
        <v>360</v>
      </c>
      <c r="H165" s="38" t="s">
        <v>27</v>
      </c>
      <c r="I165" s="37"/>
      <c r="J165" s="37"/>
      <c r="K165" s="37"/>
      <c r="L165" s="37"/>
      <c r="M165" s="37"/>
      <c r="N165" s="37"/>
      <c r="O165" s="37"/>
      <c r="P165" s="37"/>
      <c r="Q165" s="44">
        <v>80150031423</v>
      </c>
      <c r="R165" s="35">
        <v>80150031423</v>
      </c>
    </row>
    <row r="166" spans="1:18" x14ac:dyDescent="0.2">
      <c r="A166" s="61">
        <v>115</v>
      </c>
      <c r="B166" s="34" t="s">
        <v>153</v>
      </c>
      <c r="C166" s="51" t="s">
        <v>26</v>
      </c>
      <c r="D166" s="36">
        <v>0</v>
      </c>
      <c r="E166" s="36">
        <f t="shared" si="6"/>
        <v>7.0000000000000007E-2</v>
      </c>
      <c r="F166" s="36">
        <v>7.0000000000000007E-2</v>
      </c>
      <c r="G166" s="37">
        <v>645</v>
      </c>
      <c r="H166" s="38" t="s">
        <v>29</v>
      </c>
      <c r="I166" s="37"/>
      <c r="J166" s="37"/>
      <c r="K166" s="37"/>
      <c r="L166" s="37"/>
      <c r="M166" s="37"/>
      <c r="N166" s="37"/>
      <c r="O166" s="37"/>
      <c r="P166" s="37"/>
      <c r="Q166" s="44">
        <v>80150020106</v>
      </c>
      <c r="R166" s="35">
        <v>80150020103</v>
      </c>
    </row>
    <row r="167" spans="1:18" x14ac:dyDescent="0.2">
      <c r="A167" s="39"/>
      <c r="B167" s="40"/>
      <c r="C167" s="51" t="s">
        <v>26</v>
      </c>
      <c r="D167" s="36">
        <f t="shared" si="5"/>
        <v>7.0000000000000007E-2</v>
      </c>
      <c r="E167" s="36">
        <f t="shared" si="6"/>
        <v>0.17</v>
      </c>
      <c r="F167" s="36">
        <v>0.1</v>
      </c>
      <c r="G167" s="37">
        <v>450</v>
      </c>
      <c r="H167" s="38" t="s">
        <v>27</v>
      </c>
      <c r="I167" s="37"/>
      <c r="J167" s="37"/>
      <c r="K167" s="37"/>
      <c r="L167" s="37"/>
      <c r="M167" s="37"/>
      <c r="N167" s="37"/>
      <c r="O167" s="37"/>
      <c r="P167" s="37"/>
      <c r="Q167" s="44">
        <v>80150020106</v>
      </c>
      <c r="R167" s="35">
        <v>80150020103</v>
      </c>
    </row>
    <row r="168" spans="1:18" x14ac:dyDescent="0.2">
      <c r="A168" s="33">
        <v>116</v>
      </c>
      <c r="B168" s="34" t="s">
        <v>154</v>
      </c>
      <c r="C168" s="51" t="s">
        <v>39</v>
      </c>
      <c r="D168" s="36">
        <v>0</v>
      </c>
      <c r="E168" s="36">
        <f t="shared" si="6"/>
        <v>3.2730000000000001</v>
      </c>
      <c r="F168" s="36">
        <v>3.2730000000000001</v>
      </c>
      <c r="G168" s="37">
        <v>22362</v>
      </c>
      <c r="H168" s="38" t="s">
        <v>29</v>
      </c>
      <c r="I168" s="37"/>
      <c r="J168" s="37"/>
      <c r="K168" s="37"/>
      <c r="L168" s="37"/>
      <c r="M168" s="37"/>
      <c r="N168" s="37"/>
      <c r="O168" s="37"/>
      <c r="P168" s="37">
        <v>6110</v>
      </c>
      <c r="Q168" s="35">
        <v>80150031416</v>
      </c>
      <c r="R168" s="35">
        <v>80150031416</v>
      </c>
    </row>
    <row r="169" spans="1:18" x14ac:dyDescent="0.2">
      <c r="A169" s="39"/>
      <c r="B169" s="59" t="s">
        <v>155</v>
      </c>
      <c r="C169" s="35" t="s">
        <v>26</v>
      </c>
      <c r="D169" s="36">
        <v>0</v>
      </c>
      <c r="E169" s="36">
        <f t="shared" si="6"/>
        <v>0.27500000000000002</v>
      </c>
      <c r="F169" s="36">
        <v>0.27500000000000002</v>
      </c>
      <c r="G169" s="37">
        <v>1375</v>
      </c>
      <c r="H169" s="38" t="s">
        <v>29</v>
      </c>
      <c r="I169" s="37"/>
      <c r="J169" s="37"/>
      <c r="K169" s="37"/>
      <c r="L169" s="37"/>
      <c r="M169" s="37"/>
      <c r="N169" s="37"/>
      <c r="O169" s="37"/>
      <c r="P169" s="37"/>
      <c r="Q169" s="35">
        <v>80150031416</v>
      </c>
      <c r="R169" s="35">
        <v>80150031416</v>
      </c>
    </row>
    <row r="170" spans="1:18" x14ac:dyDescent="0.2">
      <c r="A170" s="49">
        <v>117</v>
      </c>
      <c r="B170" s="42" t="s">
        <v>156</v>
      </c>
      <c r="C170" s="35" t="s">
        <v>26</v>
      </c>
      <c r="D170" s="36">
        <v>0</v>
      </c>
      <c r="E170" s="36">
        <f t="shared" si="6"/>
        <v>0.19500000000000001</v>
      </c>
      <c r="F170" s="36">
        <v>0.19500000000000001</v>
      </c>
      <c r="G170" s="37">
        <v>975</v>
      </c>
      <c r="H170" s="38" t="s">
        <v>27</v>
      </c>
      <c r="I170" s="37"/>
      <c r="J170" s="37"/>
      <c r="K170" s="37"/>
      <c r="L170" s="37"/>
      <c r="M170" s="37"/>
      <c r="N170" s="37"/>
      <c r="O170" s="37"/>
      <c r="P170" s="37"/>
      <c r="Q170" s="35">
        <v>80150022980</v>
      </c>
      <c r="R170" s="35">
        <v>80150022980</v>
      </c>
    </row>
    <row r="171" spans="1:18" x14ac:dyDescent="0.2">
      <c r="A171" s="49">
        <v>118</v>
      </c>
      <c r="B171" s="42" t="s">
        <v>157</v>
      </c>
      <c r="C171" s="35" t="s">
        <v>26</v>
      </c>
      <c r="D171" s="36">
        <v>0</v>
      </c>
      <c r="E171" s="36">
        <v>0.25600000000000001</v>
      </c>
      <c r="F171" s="36">
        <v>0.25600000000000001</v>
      </c>
      <c r="G171" s="37">
        <v>1076</v>
      </c>
      <c r="H171" s="38" t="s">
        <v>32</v>
      </c>
      <c r="I171" s="37"/>
      <c r="J171" s="37"/>
      <c r="K171" s="37"/>
      <c r="L171" s="37"/>
      <c r="M171" s="37"/>
      <c r="N171" s="37"/>
      <c r="O171" s="37"/>
      <c r="P171" s="37"/>
      <c r="Q171" s="35">
        <v>80150020972</v>
      </c>
      <c r="R171" s="35">
        <v>80150020972</v>
      </c>
    </row>
    <row r="172" spans="1:18" x14ac:dyDescent="0.2">
      <c r="A172" s="49">
        <v>119</v>
      </c>
      <c r="B172" s="34" t="s">
        <v>158</v>
      </c>
      <c r="C172" s="35" t="s">
        <v>34</v>
      </c>
      <c r="D172" s="36">
        <v>0</v>
      </c>
      <c r="E172" s="36">
        <f t="shared" si="6"/>
        <v>0.245</v>
      </c>
      <c r="F172" s="36">
        <v>0.245</v>
      </c>
      <c r="G172" s="37">
        <v>1103</v>
      </c>
      <c r="H172" s="38" t="s">
        <v>29</v>
      </c>
      <c r="I172" s="37"/>
      <c r="J172" s="37"/>
      <c r="K172" s="37"/>
      <c r="L172" s="37"/>
      <c r="M172" s="37"/>
      <c r="N172" s="37"/>
      <c r="O172" s="37"/>
      <c r="P172" s="37">
        <v>101</v>
      </c>
      <c r="Q172" s="35">
        <v>80150030560</v>
      </c>
      <c r="R172" s="35">
        <v>80150030560</v>
      </c>
    </row>
    <row r="173" spans="1:18" x14ac:dyDescent="0.2">
      <c r="A173" s="39"/>
      <c r="B173" s="40"/>
      <c r="C173" s="48" t="s">
        <v>26</v>
      </c>
      <c r="D173" s="36">
        <f t="shared" ref="D173:D207" si="7">E172</f>
        <v>0.245</v>
      </c>
      <c r="E173" s="36">
        <f t="shared" si="6"/>
        <v>0.30499999999999999</v>
      </c>
      <c r="F173" s="36">
        <v>0.06</v>
      </c>
      <c r="G173" s="37">
        <v>210</v>
      </c>
      <c r="H173" s="38" t="s">
        <v>27</v>
      </c>
      <c r="I173" s="37"/>
      <c r="J173" s="37"/>
      <c r="K173" s="37"/>
      <c r="L173" s="37"/>
      <c r="M173" s="37"/>
      <c r="N173" s="37"/>
      <c r="O173" s="37"/>
      <c r="P173" s="37"/>
      <c r="Q173" s="35">
        <v>80150030560</v>
      </c>
      <c r="R173" s="35">
        <v>80150031940</v>
      </c>
    </row>
    <row r="174" spans="1:18" x14ac:dyDescent="0.2">
      <c r="A174" s="49">
        <v>120</v>
      </c>
      <c r="B174" s="42" t="s">
        <v>159</v>
      </c>
      <c r="C174" s="35" t="s">
        <v>26</v>
      </c>
      <c r="D174" s="36">
        <v>0</v>
      </c>
      <c r="E174" s="36">
        <f t="shared" si="6"/>
        <v>0.15</v>
      </c>
      <c r="F174" s="36">
        <v>0.15</v>
      </c>
      <c r="G174" s="37">
        <v>675</v>
      </c>
      <c r="H174" s="38" t="s">
        <v>27</v>
      </c>
      <c r="I174" s="37"/>
      <c r="J174" s="37"/>
      <c r="K174" s="37"/>
      <c r="L174" s="37"/>
      <c r="M174" s="37"/>
      <c r="N174" s="37"/>
      <c r="O174" s="37"/>
      <c r="P174" s="37"/>
      <c r="Q174" s="35">
        <v>80150031188</v>
      </c>
      <c r="R174" s="35">
        <v>80150031188</v>
      </c>
    </row>
    <row r="175" spans="1:18" x14ac:dyDescent="0.2">
      <c r="A175" s="49">
        <v>121</v>
      </c>
      <c r="B175" s="42" t="s">
        <v>160</v>
      </c>
      <c r="C175" s="35" t="s">
        <v>26</v>
      </c>
      <c r="D175" s="36">
        <v>0</v>
      </c>
      <c r="E175" s="36">
        <f t="shared" si="6"/>
        <v>0.47</v>
      </c>
      <c r="F175" s="36">
        <v>0.47</v>
      </c>
      <c r="G175" s="37">
        <v>2256</v>
      </c>
      <c r="H175" s="38" t="s">
        <v>29</v>
      </c>
      <c r="I175" s="37"/>
      <c r="J175" s="37"/>
      <c r="K175" s="37"/>
      <c r="L175" s="37"/>
      <c r="M175" s="37"/>
      <c r="N175" s="37"/>
      <c r="O175" s="37"/>
      <c r="P175" s="37"/>
      <c r="Q175" s="35">
        <v>80150030330</v>
      </c>
      <c r="R175" s="35">
        <v>80150030330</v>
      </c>
    </row>
    <row r="176" spans="1:18" x14ac:dyDescent="0.2">
      <c r="A176" s="49">
        <v>122</v>
      </c>
      <c r="B176" s="42" t="s">
        <v>161</v>
      </c>
      <c r="C176" s="35" t="s">
        <v>26</v>
      </c>
      <c r="D176" s="36">
        <v>0</v>
      </c>
      <c r="E176" s="36">
        <f t="shared" si="6"/>
        <v>0.125</v>
      </c>
      <c r="F176" s="36">
        <v>0.125</v>
      </c>
      <c r="G176" s="37">
        <v>375</v>
      </c>
      <c r="H176" s="38" t="s">
        <v>27</v>
      </c>
      <c r="I176" s="37"/>
      <c r="J176" s="37"/>
      <c r="K176" s="37"/>
      <c r="L176" s="37"/>
      <c r="M176" s="37"/>
      <c r="N176" s="37"/>
      <c r="O176" s="37"/>
      <c r="P176" s="37"/>
      <c r="Q176" s="35">
        <v>80150024219</v>
      </c>
      <c r="R176" s="35">
        <v>80150024219</v>
      </c>
    </row>
    <row r="177" spans="1:18" x14ac:dyDescent="0.2">
      <c r="A177" s="49">
        <v>123</v>
      </c>
      <c r="B177" s="53" t="s">
        <v>162</v>
      </c>
      <c r="C177" s="51" t="s">
        <v>39</v>
      </c>
      <c r="D177" s="36">
        <v>0</v>
      </c>
      <c r="E177" s="36">
        <f t="shared" si="6"/>
        <v>0.53500000000000003</v>
      </c>
      <c r="F177" s="36">
        <v>0.53500000000000003</v>
      </c>
      <c r="G177" s="37">
        <v>4922</v>
      </c>
      <c r="H177" s="38" t="s">
        <v>29</v>
      </c>
      <c r="I177" s="37"/>
      <c r="J177" s="37"/>
      <c r="K177" s="37"/>
      <c r="L177" s="37"/>
      <c r="M177" s="37"/>
      <c r="N177" s="37"/>
      <c r="O177" s="37"/>
      <c r="P177" s="37">
        <v>1210</v>
      </c>
      <c r="Q177" s="35">
        <v>80150030143</v>
      </c>
      <c r="R177" s="35">
        <v>80150030143</v>
      </c>
    </row>
    <row r="178" spans="1:18" x14ac:dyDescent="0.2">
      <c r="A178" s="49">
        <v>124</v>
      </c>
      <c r="B178" s="42" t="s">
        <v>163</v>
      </c>
      <c r="C178" s="35" t="s">
        <v>34</v>
      </c>
      <c r="D178" s="36">
        <v>0</v>
      </c>
      <c r="E178" s="36">
        <f t="shared" si="6"/>
        <v>0.30499999999999999</v>
      </c>
      <c r="F178" s="36">
        <v>0.30499999999999999</v>
      </c>
      <c r="G178" s="37">
        <v>1220</v>
      </c>
      <c r="H178" s="38" t="s">
        <v>27</v>
      </c>
      <c r="I178" s="37"/>
      <c r="J178" s="37"/>
      <c r="K178" s="37"/>
      <c r="L178" s="37"/>
      <c r="M178" s="37"/>
      <c r="N178" s="37"/>
      <c r="O178" s="37"/>
      <c r="P178" s="37"/>
      <c r="Q178" s="35">
        <v>80150031087</v>
      </c>
      <c r="R178" s="35">
        <v>80150031087</v>
      </c>
    </row>
    <row r="179" spans="1:18" x14ac:dyDescent="0.2">
      <c r="A179" s="49">
        <v>125</v>
      </c>
      <c r="B179" s="42" t="s">
        <v>164</v>
      </c>
      <c r="C179" s="35" t="s">
        <v>34</v>
      </c>
      <c r="D179" s="36">
        <v>0</v>
      </c>
      <c r="E179" s="36">
        <f t="shared" si="6"/>
        <v>0.375</v>
      </c>
      <c r="F179" s="36">
        <v>0.375</v>
      </c>
      <c r="G179" s="37">
        <v>1688</v>
      </c>
      <c r="H179" s="38" t="s">
        <v>27</v>
      </c>
      <c r="I179" s="37"/>
      <c r="J179" s="37"/>
      <c r="K179" s="37"/>
      <c r="L179" s="37"/>
      <c r="M179" s="37"/>
      <c r="N179" s="37"/>
      <c r="O179" s="37"/>
      <c r="P179" s="37"/>
      <c r="Q179" s="35">
        <v>80150023649</v>
      </c>
      <c r="R179" s="35">
        <v>80150023649</v>
      </c>
    </row>
    <row r="180" spans="1:18" x14ac:dyDescent="0.2">
      <c r="A180" s="49">
        <v>126</v>
      </c>
      <c r="B180" s="53" t="s">
        <v>165</v>
      </c>
      <c r="C180" s="51" t="s">
        <v>39</v>
      </c>
      <c r="D180" s="36">
        <v>0</v>
      </c>
      <c r="E180" s="36">
        <f t="shared" si="6"/>
        <v>0.92</v>
      </c>
      <c r="F180" s="36">
        <v>0.92</v>
      </c>
      <c r="G180" s="37">
        <v>4600</v>
      </c>
      <c r="H180" s="38" t="s">
        <v>29</v>
      </c>
      <c r="I180" s="37"/>
      <c r="J180" s="37"/>
      <c r="K180" s="37"/>
      <c r="L180" s="37"/>
      <c r="M180" s="37"/>
      <c r="N180" s="37"/>
      <c r="O180" s="37"/>
      <c r="P180" s="37"/>
      <c r="Q180" s="35">
        <v>80150030423</v>
      </c>
      <c r="R180" s="35">
        <v>80150030423</v>
      </c>
    </row>
    <row r="181" spans="1:18" ht="22.5" x14ac:dyDescent="0.2">
      <c r="A181" s="49">
        <v>127</v>
      </c>
      <c r="B181" s="72" t="s">
        <v>166</v>
      </c>
      <c r="C181" s="35" t="s">
        <v>39</v>
      </c>
      <c r="D181" s="43">
        <v>0</v>
      </c>
      <c r="E181" s="43">
        <f t="shared" si="6"/>
        <v>0.13</v>
      </c>
      <c r="F181" s="43">
        <v>0.13</v>
      </c>
      <c r="G181" s="37">
        <v>780</v>
      </c>
      <c r="H181" s="38" t="s">
        <v>29</v>
      </c>
      <c r="I181" s="37"/>
      <c r="J181" s="37"/>
      <c r="K181" s="37"/>
      <c r="L181" s="37"/>
      <c r="M181" s="37"/>
      <c r="N181" s="37"/>
      <c r="O181" s="37"/>
      <c r="P181" s="37">
        <v>233</v>
      </c>
      <c r="Q181" s="35">
        <v>80150030424</v>
      </c>
      <c r="R181" s="35">
        <v>80150020036</v>
      </c>
    </row>
    <row r="182" spans="1:18" x14ac:dyDescent="0.2">
      <c r="A182" s="45"/>
      <c r="B182" s="46"/>
      <c r="C182" s="35" t="s">
        <v>39</v>
      </c>
      <c r="D182" s="36">
        <f t="shared" si="7"/>
        <v>0.13</v>
      </c>
      <c r="E182" s="36">
        <f t="shared" si="6"/>
        <v>0.51</v>
      </c>
      <c r="F182" s="36">
        <v>0.38</v>
      </c>
      <c r="G182" s="37">
        <v>2280</v>
      </c>
      <c r="H182" s="38" t="s">
        <v>29</v>
      </c>
      <c r="I182" s="37"/>
      <c r="J182" s="37"/>
      <c r="K182" s="37"/>
      <c r="L182" s="37"/>
      <c r="M182" s="37"/>
      <c r="N182" s="37"/>
      <c r="O182" s="37"/>
      <c r="P182" s="37">
        <v>756</v>
      </c>
      <c r="Q182" s="44">
        <v>80150030424</v>
      </c>
      <c r="R182" s="35">
        <v>80150031853</v>
      </c>
    </row>
    <row r="183" spans="1:18" x14ac:dyDescent="0.2">
      <c r="A183" s="39"/>
      <c r="B183" s="40"/>
      <c r="C183" s="35" t="s">
        <v>39</v>
      </c>
      <c r="D183" s="36">
        <f t="shared" si="7"/>
        <v>0.51</v>
      </c>
      <c r="E183" s="36">
        <f t="shared" si="6"/>
        <v>0.91999999999999993</v>
      </c>
      <c r="F183" s="36">
        <v>0.41</v>
      </c>
      <c r="G183" s="37">
        <v>2460</v>
      </c>
      <c r="H183" s="38" t="s">
        <v>29</v>
      </c>
      <c r="I183" s="37"/>
      <c r="J183" s="37"/>
      <c r="K183" s="37"/>
      <c r="L183" s="37"/>
      <c r="M183" s="37"/>
      <c r="N183" s="37"/>
      <c r="O183" s="37"/>
      <c r="P183" s="37"/>
      <c r="Q183" s="44">
        <v>80150030424</v>
      </c>
      <c r="R183" s="35">
        <v>80150030424</v>
      </c>
    </row>
    <row r="184" spans="1:18" x14ac:dyDescent="0.2">
      <c r="A184" s="61">
        <v>128</v>
      </c>
      <c r="B184" s="53" t="s">
        <v>167</v>
      </c>
      <c r="C184" s="51" t="s">
        <v>26</v>
      </c>
      <c r="D184" s="36">
        <v>0.19</v>
      </c>
      <c r="E184" s="36">
        <f t="shared" si="6"/>
        <v>0.47000000000000003</v>
      </c>
      <c r="F184" s="36">
        <v>0.28000000000000003</v>
      </c>
      <c r="G184" s="37">
        <v>1120</v>
      </c>
      <c r="H184" s="38" t="s">
        <v>27</v>
      </c>
      <c r="I184" s="37"/>
      <c r="J184" s="37"/>
      <c r="K184" s="37"/>
      <c r="L184" s="37"/>
      <c r="M184" s="37"/>
      <c r="N184" s="37"/>
      <c r="O184" s="37"/>
      <c r="P184" s="37"/>
      <c r="Q184" s="44">
        <v>80150022129</v>
      </c>
      <c r="R184" s="35">
        <v>80150020971</v>
      </c>
    </row>
    <row r="185" spans="1:18" x14ac:dyDescent="0.2">
      <c r="A185" s="33">
        <v>129</v>
      </c>
      <c r="B185" s="34" t="s">
        <v>168</v>
      </c>
      <c r="C185" s="35" t="s">
        <v>26</v>
      </c>
      <c r="D185" s="36">
        <v>0</v>
      </c>
      <c r="E185" s="36">
        <f t="shared" si="6"/>
        <v>0.17499999999999999</v>
      </c>
      <c r="F185" s="36">
        <v>0.17499999999999999</v>
      </c>
      <c r="G185" s="37">
        <v>1068</v>
      </c>
      <c r="H185" s="38" t="s">
        <v>29</v>
      </c>
      <c r="I185" s="37"/>
      <c r="J185" s="37"/>
      <c r="K185" s="37"/>
      <c r="L185" s="37"/>
      <c r="M185" s="37"/>
      <c r="N185" s="37"/>
      <c r="O185" s="37"/>
      <c r="P185" s="37">
        <v>164</v>
      </c>
      <c r="Q185" s="44">
        <v>80150020029</v>
      </c>
      <c r="R185" s="35">
        <v>80150022818</v>
      </c>
    </row>
    <row r="186" spans="1:18" x14ac:dyDescent="0.2">
      <c r="A186" s="39"/>
      <c r="B186" s="40"/>
      <c r="C186" s="35" t="s">
        <v>26</v>
      </c>
      <c r="D186" s="36">
        <v>0.34499999999999997</v>
      </c>
      <c r="E186" s="36">
        <f t="shared" si="6"/>
        <v>0.41499999999999998</v>
      </c>
      <c r="F186" s="36">
        <v>7.0000000000000007E-2</v>
      </c>
      <c r="G186" s="37">
        <v>427</v>
      </c>
      <c r="H186" s="38" t="s">
        <v>29</v>
      </c>
      <c r="I186" s="37"/>
      <c r="J186" s="37"/>
      <c r="K186" s="37"/>
      <c r="L186" s="37"/>
      <c r="M186" s="37"/>
      <c r="N186" s="37"/>
      <c r="O186" s="37"/>
      <c r="P186" s="37">
        <v>126</v>
      </c>
      <c r="Q186" s="44">
        <v>80150020029</v>
      </c>
      <c r="R186" s="35">
        <v>80150020029</v>
      </c>
    </row>
    <row r="187" spans="1:18" x14ac:dyDescent="0.2">
      <c r="A187" s="33">
        <v>130</v>
      </c>
      <c r="B187" s="34" t="s">
        <v>169</v>
      </c>
      <c r="C187" s="35" t="s">
        <v>26</v>
      </c>
      <c r="D187" s="36">
        <v>0</v>
      </c>
      <c r="E187" s="36">
        <f t="shared" si="6"/>
        <v>0.28999999999999998</v>
      </c>
      <c r="F187" s="36">
        <v>0.28999999999999998</v>
      </c>
      <c r="G187" s="37">
        <v>987</v>
      </c>
      <c r="H187" s="38" t="s">
        <v>32</v>
      </c>
      <c r="I187" s="37"/>
      <c r="J187" s="37"/>
      <c r="K187" s="37"/>
      <c r="L187" s="37"/>
      <c r="M187" s="37"/>
      <c r="N187" s="37"/>
      <c r="O187" s="37"/>
      <c r="P187" s="37"/>
      <c r="Q187" s="35">
        <v>80150031356</v>
      </c>
      <c r="R187" s="35">
        <v>80150031356</v>
      </c>
    </row>
    <row r="188" spans="1:18" x14ac:dyDescent="0.2">
      <c r="A188" s="62">
        <v>131</v>
      </c>
      <c r="B188" s="34" t="s">
        <v>170</v>
      </c>
      <c r="C188" s="35" t="s">
        <v>26</v>
      </c>
      <c r="D188" s="36">
        <v>0</v>
      </c>
      <c r="E188" s="36">
        <v>0.14199999999999999</v>
      </c>
      <c r="F188" s="36">
        <v>0.14199999999999999</v>
      </c>
      <c r="G188" s="37">
        <v>584</v>
      </c>
      <c r="H188" s="38" t="s">
        <v>32</v>
      </c>
      <c r="I188" s="37"/>
      <c r="J188" s="37"/>
      <c r="K188" s="37"/>
      <c r="L188" s="37"/>
      <c r="M188" s="37"/>
      <c r="N188" s="37"/>
      <c r="O188" s="37"/>
      <c r="P188" s="37"/>
      <c r="Q188" s="44">
        <v>80150030933</v>
      </c>
      <c r="R188" s="35">
        <v>80150030933</v>
      </c>
    </row>
    <row r="189" spans="1:18" x14ac:dyDescent="0.2">
      <c r="A189" s="66"/>
      <c r="B189" s="46"/>
      <c r="C189" s="35" t="s">
        <v>26</v>
      </c>
      <c r="D189" s="36">
        <v>0.38</v>
      </c>
      <c r="E189" s="36">
        <f t="shared" si="6"/>
        <v>0.54500000000000004</v>
      </c>
      <c r="F189" s="36">
        <v>0.16500000000000001</v>
      </c>
      <c r="G189" s="37">
        <v>660</v>
      </c>
      <c r="H189" s="38" t="s">
        <v>29</v>
      </c>
      <c r="I189" s="37"/>
      <c r="J189" s="37"/>
      <c r="K189" s="37"/>
      <c r="L189" s="37"/>
      <c r="M189" s="37"/>
      <c r="N189" s="37"/>
      <c r="O189" s="37"/>
      <c r="P189" s="37"/>
      <c r="Q189" s="44">
        <v>80150030933</v>
      </c>
      <c r="R189" s="35">
        <v>80150031361</v>
      </c>
    </row>
    <row r="190" spans="1:18" x14ac:dyDescent="0.2">
      <c r="A190" s="47"/>
      <c r="B190" s="40"/>
      <c r="C190" s="35" t="s">
        <v>26</v>
      </c>
      <c r="D190" s="36">
        <f t="shared" si="7"/>
        <v>0.54500000000000004</v>
      </c>
      <c r="E190" s="36">
        <f t="shared" si="6"/>
        <v>0.91100000000000003</v>
      </c>
      <c r="F190" s="36">
        <v>0.36599999999999999</v>
      </c>
      <c r="G190" s="37">
        <v>1464</v>
      </c>
      <c r="H190" s="38" t="s">
        <v>27</v>
      </c>
      <c r="I190" s="37"/>
      <c r="J190" s="37"/>
      <c r="K190" s="37"/>
      <c r="L190" s="37"/>
      <c r="M190" s="37"/>
      <c r="N190" s="37"/>
      <c r="O190" s="37"/>
      <c r="P190" s="37"/>
      <c r="Q190" s="44">
        <v>80150030933</v>
      </c>
      <c r="R190" s="35">
        <v>80150031361</v>
      </c>
    </row>
    <row r="191" spans="1:18" x14ac:dyDescent="0.2">
      <c r="A191" s="49">
        <v>132</v>
      </c>
      <c r="B191" s="42" t="s">
        <v>171</v>
      </c>
      <c r="C191" s="35" t="s">
        <v>26</v>
      </c>
      <c r="D191" s="36">
        <v>0</v>
      </c>
      <c r="E191" s="36">
        <f t="shared" si="6"/>
        <v>0.27</v>
      </c>
      <c r="F191" s="36">
        <v>0.27</v>
      </c>
      <c r="G191" s="37">
        <v>1080</v>
      </c>
      <c r="H191" s="38" t="s">
        <v>27</v>
      </c>
      <c r="I191" s="37"/>
      <c r="J191" s="37"/>
      <c r="K191" s="37"/>
      <c r="L191" s="37"/>
      <c r="M191" s="37"/>
      <c r="N191" s="37"/>
      <c r="O191" s="37"/>
      <c r="P191" s="37"/>
      <c r="Q191" s="35">
        <v>80150032139</v>
      </c>
      <c r="R191" s="35">
        <v>80150032139</v>
      </c>
    </row>
    <row r="192" spans="1:18" x14ac:dyDescent="0.2">
      <c r="A192" s="61">
        <v>133</v>
      </c>
      <c r="B192" s="53" t="s">
        <v>172</v>
      </c>
      <c r="C192" s="51" t="s">
        <v>26</v>
      </c>
      <c r="D192" s="36">
        <v>0</v>
      </c>
      <c r="E192" s="36">
        <f t="shared" si="6"/>
        <v>0.17</v>
      </c>
      <c r="F192" s="36">
        <v>0.17</v>
      </c>
      <c r="G192" s="37">
        <v>510</v>
      </c>
      <c r="H192" s="38" t="s">
        <v>27</v>
      </c>
      <c r="I192" s="37"/>
      <c r="J192" s="37"/>
      <c r="K192" s="37"/>
      <c r="L192" s="37"/>
      <c r="M192" s="37"/>
      <c r="N192" s="37"/>
      <c r="O192" s="37"/>
      <c r="P192" s="37"/>
      <c r="Q192" s="35">
        <v>80150024526</v>
      </c>
      <c r="R192" s="35">
        <v>80150024526</v>
      </c>
    </row>
    <row r="193" spans="1:18" x14ac:dyDescent="0.2">
      <c r="A193" s="49">
        <v>134</v>
      </c>
      <c r="B193" s="42" t="s">
        <v>173</v>
      </c>
      <c r="C193" s="35"/>
      <c r="D193" s="36">
        <v>0</v>
      </c>
      <c r="E193" s="36">
        <f t="shared" si="6"/>
        <v>0</v>
      </c>
      <c r="F193" s="36">
        <v>0</v>
      </c>
      <c r="G193" s="37">
        <v>0</v>
      </c>
      <c r="H193" s="38"/>
      <c r="I193" s="37"/>
      <c r="J193" s="37"/>
      <c r="K193" s="37"/>
      <c r="L193" s="37"/>
      <c r="M193" s="37"/>
      <c r="N193" s="37"/>
      <c r="O193" s="37"/>
      <c r="P193" s="37"/>
      <c r="Q193" s="35">
        <v>80150022128</v>
      </c>
      <c r="R193" s="35">
        <v>80150022128</v>
      </c>
    </row>
    <row r="194" spans="1:18" x14ac:dyDescent="0.2">
      <c r="A194" s="61">
        <v>135</v>
      </c>
      <c r="B194" s="42" t="s">
        <v>174</v>
      </c>
      <c r="C194" s="35" t="s">
        <v>39</v>
      </c>
      <c r="D194" s="36">
        <v>0</v>
      </c>
      <c r="E194" s="36">
        <f t="shared" si="6"/>
        <v>0.5</v>
      </c>
      <c r="F194" s="36">
        <v>0.5</v>
      </c>
      <c r="G194" s="37">
        <v>3100</v>
      </c>
      <c r="H194" s="38" t="s">
        <v>29</v>
      </c>
      <c r="I194" s="37"/>
      <c r="J194" s="37"/>
      <c r="K194" s="37"/>
      <c r="L194" s="37"/>
      <c r="M194" s="37"/>
      <c r="N194" s="37"/>
      <c r="O194" s="37"/>
      <c r="P194" s="37">
        <v>1028</v>
      </c>
      <c r="Q194" s="35">
        <v>80150022257</v>
      </c>
      <c r="R194" s="35">
        <v>80150022257</v>
      </c>
    </row>
    <row r="195" spans="1:18" x14ac:dyDescent="0.2">
      <c r="A195" s="49">
        <v>136</v>
      </c>
      <c r="B195" s="42" t="s">
        <v>175</v>
      </c>
      <c r="C195" s="35" t="s">
        <v>26</v>
      </c>
      <c r="D195" s="36">
        <v>0</v>
      </c>
      <c r="E195" s="36">
        <f t="shared" si="6"/>
        <v>0.115</v>
      </c>
      <c r="F195" s="36">
        <v>0.115</v>
      </c>
      <c r="G195" s="37">
        <v>345</v>
      </c>
      <c r="H195" s="38" t="s">
        <v>32</v>
      </c>
      <c r="I195" s="37"/>
      <c r="J195" s="37"/>
      <c r="K195" s="37"/>
      <c r="L195" s="37"/>
      <c r="M195" s="37"/>
      <c r="N195" s="37"/>
      <c r="O195" s="37"/>
      <c r="P195" s="37"/>
      <c r="Q195" s="35">
        <v>80150020969</v>
      </c>
      <c r="R195" s="35">
        <v>80150020969</v>
      </c>
    </row>
    <row r="196" spans="1:18" x14ac:dyDescent="0.2">
      <c r="A196" s="61">
        <v>137</v>
      </c>
      <c r="B196" s="42" t="s">
        <v>176</v>
      </c>
      <c r="C196" s="35" t="s">
        <v>26</v>
      </c>
      <c r="D196" s="36">
        <v>0</v>
      </c>
      <c r="E196" s="36">
        <f t="shared" si="6"/>
        <v>7.0000000000000007E-2</v>
      </c>
      <c r="F196" s="36">
        <v>7.0000000000000007E-2</v>
      </c>
      <c r="G196" s="37">
        <v>245</v>
      </c>
      <c r="H196" s="38" t="s">
        <v>27</v>
      </c>
      <c r="I196" s="37"/>
      <c r="J196" s="37"/>
      <c r="K196" s="37"/>
      <c r="L196" s="37"/>
      <c r="M196" s="37"/>
      <c r="N196" s="37"/>
      <c r="O196" s="37"/>
      <c r="P196" s="37"/>
      <c r="Q196" s="35">
        <v>80150022261</v>
      </c>
      <c r="R196" s="35">
        <v>80150022261</v>
      </c>
    </row>
    <row r="197" spans="1:18" x14ac:dyDescent="0.2">
      <c r="A197" s="49">
        <v>138</v>
      </c>
      <c r="B197" s="34" t="s">
        <v>177</v>
      </c>
      <c r="C197" s="35" t="s">
        <v>26</v>
      </c>
      <c r="D197" s="36">
        <v>0</v>
      </c>
      <c r="E197" s="36">
        <f t="shared" si="6"/>
        <v>9.4E-2</v>
      </c>
      <c r="F197" s="36">
        <v>9.4E-2</v>
      </c>
      <c r="G197" s="37">
        <v>329</v>
      </c>
      <c r="H197" s="38" t="s">
        <v>27</v>
      </c>
      <c r="I197" s="37"/>
      <c r="J197" s="37"/>
      <c r="K197" s="37"/>
      <c r="L197" s="37"/>
      <c r="M197" s="37"/>
      <c r="N197" s="37"/>
      <c r="O197" s="37"/>
      <c r="P197" s="37"/>
      <c r="Q197" s="44">
        <v>80150031095</v>
      </c>
      <c r="R197" s="35">
        <v>80150031095</v>
      </c>
    </row>
    <row r="198" spans="1:18" x14ac:dyDescent="0.2">
      <c r="A198" s="66"/>
      <c r="B198" s="46"/>
      <c r="C198" s="35" t="s">
        <v>26</v>
      </c>
      <c r="D198" s="36">
        <f t="shared" si="7"/>
        <v>9.4E-2</v>
      </c>
      <c r="E198" s="36">
        <f t="shared" si="6"/>
        <v>0.11699999999999999</v>
      </c>
      <c r="F198" s="36">
        <v>2.3E-2</v>
      </c>
      <c r="G198" s="37">
        <v>81</v>
      </c>
      <c r="H198" s="38" t="s">
        <v>29</v>
      </c>
      <c r="I198" s="37"/>
      <c r="J198" s="37"/>
      <c r="K198" s="37"/>
      <c r="L198" s="37"/>
      <c r="M198" s="37"/>
      <c r="N198" s="37"/>
      <c r="O198" s="37"/>
      <c r="P198" s="37"/>
      <c r="Q198" s="44">
        <v>80150031095</v>
      </c>
      <c r="R198" s="35">
        <v>80150031095</v>
      </c>
    </row>
    <row r="199" spans="1:18" x14ac:dyDescent="0.2">
      <c r="A199" s="66"/>
      <c r="B199" s="46"/>
      <c r="C199" s="35" t="s">
        <v>26</v>
      </c>
      <c r="D199" s="36">
        <f t="shared" si="7"/>
        <v>0.11699999999999999</v>
      </c>
      <c r="E199" s="36">
        <f t="shared" si="6"/>
        <v>0.182</v>
      </c>
      <c r="F199" s="36">
        <v>6.5000000000000002E-2</v>
      </c>
      <c r="G199" s="37">
        <v>228</v>
      </c>
      <c r="H199" s="38" t="s">
        <v>27</v>
      </c>
      <c r="I199" s="37"/>
      <c r="J199" s="37"/>
      <c r="K199" s="37"/>
      <c r="L199" s="37"/>
      <c r="M199" s="37"/>
      <c r="N199" s="37"/>
      <c r="O199" s="37"/>
      <c r="P199" s="37"/>
      <c r="Q199" s="44">
        <v>80150031095</v>
      </c>
      <c r="R199" s="35">
        <v>80150031094</v>
      </c>
    </row>
    <row r="200" spans="1:18" x14ac:dyDescent="0.2">
      <c r="A200" s="47"/>
      <c r="B200" s="40"/>
      <c r="C200" s="35" t="s">
        <v>26</v>
      </c>
      <c r="D200" s="36">
        <f t="shared" si="7"/>
        <v>0.182</v>
      </c>
      <c r="E200" s="36">
        <f t="shared" ref="E200:E246" si="8">D200+F200</f>
        <v>0.247</v>
      </c>
      <c r="F200" s="36">
        <v>6.5000000000000002E-2</v>
      </c>
      <c r="G200" s="37">
        <v>228</v>
      </c>
      <c r="H200" s="38" t="s">
        <v>27</v>
      </c>
      <c r="I200" s="37"/>
      <c r="J200" s="37"/>
      <c r="K200" s="37"/>
      <c r="L200" s="37"/>
      <c r="M200" s="37"/>
      <c r="N200" s="37"/>
      <c r="O200" s="37"/>
      <c r="P200" s="37"/>
      <c r="Q200" s="44">
        <v>80150031095</v>
      </c>
      <c r="R200" s="35">
        <v>80150031092</v>
      </c>
    </row>
    <row r="201" spans="1:18" x14ac:dyDescent="0.2">
      <c r="A201" s="33">
        <v>139</v>
      </c>
      <c r="B201" s="34" t="s">
        <v>178</v>
      </c>
      <c r="C201" s="35" t="s">
        <v>34</v>
      </c>
      <c r="D201" s="36">
        <v>0</v>
      </c>
      <c r="E201" s="36">
        <f t="shared" si="8"/>
        <v>0.28999999999999998</v>
      </c>
      <c r="F201" s="36">
        <v>0.28999999999999998</v>
      </c>
      <c r="G201" s="37">
        <v>1740</v>
      </c>
      <c r="H201" s="38" t="s">
        <v>29</v>
      </c>
      <c r="I201" s="37"/>
      <c r="J201" s="37"/>
      <c r="K201" s="37"/>
      <c r="L201" s="37"/>
      <c r="M201" s="37"/>
      <c r="N201" s="37"/>
      <c r="O201" s="37"/>
      <c r="P201" s="37"/>
      <c r="Q201" s="44">
        <v>80150030047</v>
      </c>
      <c r="R201" s="35">
        <v>80150030046</v>
      </c>
    </row>
    <row r="202" spans="1:18" x14ac:dyDescent="0.2">
      <c r="A202" s="39"/>
      <c r="B202" s="40"/>
      <c r="C202" s="35" t="s">
        <v>34</v>
      </c>
      <c r="D202" s="36">
        <v>0.57499999999999996</v>
      </c>
      <c r="E202" s="36">
        <f t="shared" si="8"/>
        <v>0.97499999999999998</v>
      </c>
      <c r="F202" s="36">
        <v>0.4</v>
      </c>
      <c r="G202" s="37">
        <v>2400</v>
      </c>
      <c r="H202" s="38" t="s">
        <v>29</v>
      </c>
      <c r="I202" s="37"/>
      <c r="J202" s="37"/>
      <c r="K202" s="37"/>
      <c r="L202" s="37"/>
      <c r="M202" s="37"/>
      <c r="N202" s="37"/>
      <c r="O202" s="37"/>
      <c r="P202" s="37"/>
      <c r="Q202" s="44">
        <v>80150030047</v>
      </c>
      <c r="R202" s="35">
        <v>80150030141</v>
      </c>
    </row>
    <row r="203" spans="1:18" x14ac:dyDescent="0.2">
      <c r="A203" s="62">
        <v>140</v>
      </c>
      <c r="B203" s="34" t="s">
        <v>179</v>
      </c>
      <c r="C203" s="35" t="s">
        <v>26</v>
      </c>
      <c r="D203" s="36">
        <v>0</v>
      </c>
      <c r="E203" s="36">
        <f t="shared" si="8"/>
        <v>0.89</v>
      </c>
      <c r="F203" s="36">
        <v>0.89</v>
      </c>
      <c r="G203" s="37">
        <v>5340</v>
      </c>
      <c r="H203" s="38" t="s">
        <v>29</v>
      </c>
      <c r="I203" s="37"/>
      <c r="J203" s="37"/>
      <c r="K203" s="37"/>
      <c r="L203" s="37"/>
      <c r="M203" s="37"/>
      <c r="N203" s="37"/>
      <c r="O203" s="37"/>
      <c r="P203" s="37">
        <v>1773</v>
      </c>
      <c r="Q203" s="44">
        <v>80150032363</v>
      </c>
      <c r="R203" s="35">
        <v>80150031533</v>
      </c>
    </row>
    <row r="204" spans="1:18" x14ac:dyDescent="0.2">
      <c r="A204" s="66"/>
      <c r="B204" s="46"/>
      <c r="C204" s="35" t="s">
        <v>26</v>
      </c>
      <c r="D204" s="36">
        <f t="shared" si="7"/>
        <v>0.89</v>
      </c>
      <c r="E204" s="36">
        <f t="shared" si="8"/>
        <v>1.35</v>
      </c>
      <c r="F204" s="36">
        <v>0.46</v>
      </c>
      <c r="G204" s="37">
        <v>2530</v>
      </c>
      <c r="H204" s="38" t="s">
        <v>32</v>
      </c>
      <c r="I204" s="37"/>
      <c r="J204" s="37"/>
      <c r="K204" s="37"/>
      <c r="L204" s="37"/>
      <c r="M204" s="37"/>
      <c r="N204" s="37"/>
      <c r="O204" s="37"/>
      <c r="P204" s="37"/>
      <c r="Q204" s="44">
        <v>80150032363</v>
      </c>
      <c r="R204" s="35">
        <v>80150031541</v>
      </c>
    </row>
    <row r="205" spans="1:18" x14ac:dyDescent="0.2">
      <c r="A205" s="66"/>
      <c r="B205" s="46"/>
      <c r="C205" s="35" t="s">
        <v>26</v>
      </c>
      <c r="D205" s="36">
        <f t="shared" si="7"/>
        <v>1.35</v>
      </c>
      <c r="E205" s="36">
        <f t="shared" si="8"/>
        <v>1.7200000000000002</v>
      </c>
      <c r="F205" s="36">
        <v>0.37</v>
      </c>
      <c r="G205" s="37">
        <v>1665</v>
      </c>
      <c r="H205" s="38" t="s">
        <v>29</v>
      </c>
      <c r="I205" s="37"/>
      <c r="J205" s="37"/>
      <c r="K205" s="37"/>
      <c r="L205" s="37"/>
      <c r="M205" s="37"/>
      <c r="N205" s="37"/>
      <c r="O205" s="37"/>
      <c r="P205" s="37"/>
      <c r="Q205" s="44">
        <v>80150032363</v>
      </c>
      <c r="R205" s="35">
        <v>80150031542</v>
      </c>
    </row>
    <row r="206" spans="1:18" x14ac:dyDescent="0.2">
      <c r="A206" s="66"/>
      <c r="B206" s="46"/>
      <c r="C206" s="35" t="s">
        <v>26</v>
      </c>
      <c r="D206" s="36">
        <f t="shared" si="7"/>
        <v>1.7200000000000002</v>
      </c>
      <c r="E206" s="36">
        <f t="shared" si="8"/>
        <v>2.2400000000000002</v>
      </c>
      <c r="F206" s="36">
        <v>0.52</v>
      </c>
      <c r="G206" s="37">
        <v>2860</v>
      </c>
      <c r="H206" s="38" t="s">
        <v>32</v>
      </c>
      <c r="I206" s="37"/>
      <c r="J206" s="37"/>
      <c r="K206" s="37"/>
      <c r="L206" s="37"/>
      <c r="M206" s="37"/>
      <c r="N206" s="37"/>
      <c r="O206" s="37"/>
      <c r="P206" s="37"/>
      <c r="Q206" s="44">
        <v>80150032363</v>
      </c>
      <c r="R206" s="35">
        <v>80150031542</v>
      </c>
    </row>
    <row r="207" spans="1:18" x14ac:dyDescent="0.2">
      <c r="A207" s="47"/>
      <c r="B207" s="40"/>
      <c r="C207" s="35" t="s">
        <v>26</v>
      </c>
      <c r="D207" s="36">
        <f t="shared" si="7"/>
        <v>2.2400000000000002</v>
      </c>
      <c r="E207" s="36">
        <f t="shared" si="8"/>
        <v>2.7550000000000003</v>
      </c>
      <c r="F207" s="36">
        <v>0.51500000000000001</v>
      </c>
      <c r="G207" s="37">
        <v>2374</v>
      </c>
      <c r="H207" s="38" t="s">
        <v>32</v>
      </c>
      <c r="I207" s="37"/>
      <c r="J207" s="37"/>
      <c r="K207" s="37"/>
      <c r="L207" s="37"/>
      <c r="M207" s="37"/>
      <c r="N207" s="37"/>
      <c r="O207" s="37"/>
      <c r="P207" s="37">
        <v>270</v>
      </c>
      <c r="Q207" s="44">
        <v>80150032363</v>
      </c>
      <c r="R207" s="35">
        <v>80150032363</v>
      </c>
    </row>
    <row r="208" spans="1:18" x14ac:dyDescent="0.2">
      <c r="A208" s="61">
        <v>141</v>
      </c>
      <c r="B208" s="53" t="s">
        <v>180</v>
      </c>
      <c r="C208" s="51" t="s">
        <v>39</v>
      </c>
      <c r="D208" s="36">
        <v>0</v>
      </c>
      <c r="E208" s="36">
        <f t="shared" si="8"/>
        <v>1.7350000000000001</v>
      </c>
      <c r="F208" s="36">
        <v>1.7350000000000001</v>
      </c>
      <c r="G208" s="37">
        <v>10178</v>
      </c>
      <c r="H208" s="38" t="s">
        <v>29</v>
      </c>
      <c r="I208" s="37"/>
      <c r="J208" s="37"/>
      <c r="K208" s="37"/>
      <c r="L208" s="37"/>
      <c r="M208" s="37"/>
      <c r="N208" s="37"/>
      <c r="O208" s="37"/>
      <c r="P208" s="37">
        <v>4378</v>
      </c>
      <c r="Q208" s="35">
        <v>80150024218</v>
      </c>
      <c r="R208" s="35">
        <v>80150024218</v>
      </c>
    </row>
    <row r="209" spans="1:18" x14ac:dyDescent="0.2">
      <c r="A209" s="49">
        <v>142</v>
      </c>
      <c r="B209" s="42" t="s">
        <v>181</v>
      </c>
      <c r="C209" s="35" t="s">
        <v>26</v>
      </c>
      <c r="D209" s="36">
        <v>0</v>
      </c>
      <c r="E209" s="36">
        <f t="shared" si="8"/>
        <v>0.27</v>
      </c>
      <c r="F209" s="36">
        <v>0.27</v>
      </c>
      <c r="G209" s="37">
        <v>1080</v>
      </c>
      <c r="H209" s="38" t="s">
        <v>27</v>
      </c>
      <c r="I209" s="37"/>
      <c r="J209" s="37"/>
      <c r="K209" s="37"/>
      <c r="L209" s="37"/>
      <c r="M209" s="37"/>
      <c r="N209" s="37"/>
      <c r="O209" s="37"/>
      <c r="P209" s="37"/>
      <c r="Q209" s="35">
        <v>80150031358</v>
      </c>
      <c r="R209" s="35">
        <v>80150031358</v>
      </c>
    </row>
    <row r="210" spans="1:18" x14ac:dyDescent="0.2">
      <c r="A210" s="61">
        <v>143</v>
      </c>
      <c r="B210" s="42" t="s">
        <v>182</v>
      </c>
      <c r="C210" s="35" t="s">
        <v>39</v>
      </c>
      <c r="D210" s="36">
        <v>0</v>
      </c>
      <c r="E210" s="36">
        <f t="shared" si="8"/>
        <v>1.27</v>
      </c>
      <c r="F210" s="36">
        <v>1.27</v>
      </c>
      <c r="G210" s="37">
        <v>8132</v>
      </c>
      <c r="H210" s="38" t="s">
        <v>29</v>
      </c>
      <c r="I210" s="37"/>
      <c r="J210" s="37"/>
      <c r="K210" s="37"/>
      <c r="L210" s="37"/>
      <c r="M210" s="37"/>
      <c r="N210" s="37"/>
      <c r="O210" s="37"/>
      <c r="P210" s="37">
        <v>3861</v>
      </c>
      <c r="Q210" s="35">
        <v>80150021128</v>
      </c>
      <c r="R210" s="35">
        <v>80150021128</v>
      </c>
    </row>
    <row r="211" spans="1:18" x14ac:dyDescent="0.2">
      <c r="A211" s="49">
        <v>144</v>
      </c>
      <c r="B211" s="42" t="s">
        <v>183</v>
      </c>
      <c r="C211" s="35" t="s">
        <v>26</v>
      </c>
      <c r="D211" s="36">
        <v>0</v>
      </c>
      <c r="E211" s="36">
        <f t="shared" si="8"/>
        <v>0.2</v>
      </c>
      <c r="F211" s="36">
        <v>0.2</v>
      </c>
      <c r="G211" s="37">
        <v>860</v>
      </c>
      <c r="H211" s="38" t="s">
        <v>29</v>
      </c>
      <c r="I211" s="37"/>
      <c r="J211" s="37"/>
      <c r="K211" s="37"/>
      <c r="L211" s="37"/>
      <c r="M211" s="37"/>
      <c r="N211" s="37"/>
      <c r="O211" s="37"/>
      <c r="P211" s="37"/>
      <c r="Q211" s="35">
        <v>80150030234</v>
      </c>
      <c r="R211" s="35">
        <v>80150030234</v>
      </c>
    </row>
    <row r="212" spans="1:18" x14ac:dyDescent="0.2">
      <c r="A212" s="61">
        <v>145</v>
      </c>
      <c r="B212" s="42" t="s">
        <v>184</v>
      </c>
      <c r="C212" s="35" t="s">
        <v>26</v>
      </c>
      <c r="D212" s="36">
        <v>0</v>
      </c>
      <c r="E212" s="36">
        <f t="shared" si="8"/>
        <v>0.14000000000000001</v>
      </c>
      <c r="F212" s="36">
        <v>0.14000000000000001</v>
      </c>
      <c r="G212" s="37">
        <v>420</v>
      </c>
      <c r="H212" s="38" t="s">
        <v>32</v>
      </c>
      <c r="I212" s="37"/>
      <c r="J212" s="37"/>
      <c r="K212" s="37"/>
      <c r="L212" s="37"/>
      <c r="M212" s="37"/>
      <c r="N212" s="37"/>
      <c r="O212" s="37"/>
      <c r="P212" s="37"/>
      <c r="Q212" s="35">
        <v>80150020970</v>
      </c>
      <c r="R212" s="35">
        <v>80150020970</v>
      </c>
    </row>
    <row r="213" spans="1:18" x14ac:dyDescent="0.2">
      <c r="A213" s="49">
        <v>146</v>
      </c>
      <c r="B213" s="42" t="s">
        <v>185</v>
      </c>
      <c r="C213" s="35" t="s">
        <v>26</v>
      </c>
      <c r="D213" s="36">
        <v>0</v>
      </c>
      <c r="E213" s="36">
        <f t="shared" si="8"/>
        <v>0.15</v>
      </c>
      <c r="F213" s="36">
        <v>0.15</v>
      </c>
      <c r="G213" s="37">
        <v>600</v>
      </c>
      <c r="H213" s="38" t="s">
        <v>27</v>
      </c>
      <c r="I213" s="37"/>
      <c r="J213" s="37"/>
      <c r="K213" s="37"/>
      <c r="L213" s="37"/>
      <c r="M213" s="37"/>
      <c r="N213" s="37"/>
      <c r="O213" s="37"/>
      <c r="P213" s="37"/>
      <c r="Q213" s="35">
        <v>80150022979</v>
      </c>
      <c r="R213" s="35">
        <v>80150022979</v>
      </c>
    </row>
    <row r="214" spans="1:18" x14ac:dyDescent="0.2">
      <c r="A214" s="61">
        <v>147</v>
      </c>
      <c r="B214" s="42" t="s">
        <v>186</v>
      </c>
      <c r="C214" s="35" t="s">
        <v>26</v>
      </c>
      <c r="D214" s="36">
        <v>0</v>
      </c>
      <c r="E214" s="36">
        <f t="shared" si="8"/>
        <v>0.28000000000000003</v>
      </c>
      <c r="F214" s="36">
        <v>0.28000000000000003</v>
      </c>
      <c r="G214" s="37">
        <v>1120</v>
      </c>
      <c r="H214" s="38" t="s">
        <v>29</v>
      </c>
      <c r="I214" s="37"/>
      <c r="J214" s="37"/>
      <c r="K214" s="37"/>
      <c r="L214" s="37"/>
      <c r="M214" s="37"/>
      <c r="N214" s="37"/>
      <c r="O214" s="37"/>
      <c r="P214" s="37"/>
      <c r="Q214" s="35">
        <v>80150032067</v>
      </c>
      <c r="R214" s="35">
        <v>80150032067</v>
      </c>
    </row>
    <row r="215" spans="1:18" x14ac:dyDescent="0.2">
      <c r="A215" s="49">
        <v>148</v>
      </c>
      <c r="B215" s="34" t="s">
        <v>187</v>
      </c>
      <c r="C215" s="35" t="s">
        <v>26</v>
      </c>
      <c r="D215" s="36">
        <v>0</v>
      </c>
      <c r="E215" s="36">
        <f t="shared" si="8"/>
        <v>0.105</v>
      </c>
      <c r="F215" s="36">
        <v>0.105</v>
      </c>
      <c r="G215" s="37">
        <v>420</v>
      </c>
      <c r="H215" s="38" t="s">
        <v>29</v>
      </c>
      <c r="I215" s="37"/>
      <c r="J215" s="37"/>
      <c r="K215" s="37"/>
      <c r="L215" s="37"/>
      <c r="M215" s="37"/>
      <c r="N215" s="37"/>
      <c r="O215" s="37"/>
      <c r="P215" s="37">
        <v>20</v>
      </c>
      <c r="Q215" s="35">
        <v>80150031190</v>
      </c>
      <c r="R215" s="35">
        <v>80150031190</v>
      </c>
    </row>
    <row r="216" spans="1:18" x14ac:dyDescent="0.2">
      <c r="A216" s="39"/>
      <c r="B216" s="40"/>
      <c r="C216" s="35" t="s">
        <v>26</v>
      </c>
      <c r="D216" s="36">
        <f t="shared" ref="D216:D245" si="9">E215</f>
        <v>0.105</v>
      </c>
      <c r="E216" s="36">
        <f t="shared" si="8"/>
        <v>0.155</v>
      </c>
      <c r="F216" s="36">
        <v>0.05</v>
      </c>
      <c r="G216" s="37">
        <v>200</v>
      </c>
      <c r="H216" s="38" t="s">
        <v>27</v>
      </c>
      <c r="I216" s="37"/>
      <c r="J216" s="37"/>
      <c r="K216" s="37"/>
      <c r="L216" s="37"/>
      <c r="M216" s="37"/>
      <c r="N216" s="37"/>
      <c r="O216" s="37"/>
      <c r="P216" s="37"/>
      <c r="Q216" s="35">
        <v>80150031190</v>
      </c>
      <c r="R216" s="35">
        <v>80150031190</v>
      </c>
    </row>
    <row r="217" spans="1:18" x14ac:dyDescent="0.2">
      <c r="A217" s="33">
        <v>149</v>
      </c>
      <c r="B217" s="34" t="s">
        <v>188</v>
      </c>
      <c r="C217" s="35" t="s">
        <v>26</v>
      </c>
      <c r="D217" s="36">
        <v>0</v>
      </c>
      <c r="E217" s="36">
        <f t="shared" si="8"/>
        <v>0.08</v>
      </c>
      <c r="F217" s="36">
        <v>0.08</v>
      </c>
      <c r="G217" s="37">
        <v>339</v>
      </c>
      <c r="H217" s="38" t="s">
        <v>32</v>
      </c>
      <c r="I217" s="37"/>
      <c r="J217" s="37"/>
      <c r="K217" s="37"/>
      <c r="L217" s="37"/>
      <c r="M217" s="37"/>
      <c r="N217" s="37"/>
      <c r="O217" s="37"/>
      <c r="P217" s="37"/>
      <c r="Q217" s="35">
        <v>80150030661</v>
      </c>
      <c r="R217" s="35">
        <v>80150030662</v>
      </c>
    </row>
    <row r="218" spans="1:18" x14ac:dyDescent="0.2">
      <c r="A218" s="39"/>
      <c r="B218" s="40"/>
      <c r="C218" s="35" t="s">
        <v>26</v>
      </c>
      <c r="D218" s="36">
        <f t="shared" si="9"/>
        <v>0.08</v>
      </c>
      <c r="E218" s="36">
        <f t="shared" si="8"/>
        <v>0.17499999999999999</v>
      </c>
      <c r="F218" s="36">
        <v>9.5000000000000001E-2</v>
      </c>
      <c r="G218" s="37">
        <v>379</v>
      </c>
      <c r="H218" s="38" t="s">
        <v>32</v>
      </c>
      <c r="I218" s="37"/>
      <c r="J218" s="37"/>
      <c r="K218" s="37"/>
      <c r="L218" s="37"/>
      <c r="M218" s="37"/>
      <c r="N218" s="37"/>
      <c r="O218" s="37"/>
      <c r="P218" s="37"/>
      <c r="Q218" s="35">
        <v>80150030661</v>
      </c>
      <c r="R218" s="35">
        <v>80150030661</v>
      </c>
    </row>
    <row r="219" spans="1:18" x14ac:dyDescent="0.2">
      <c r="A219" s="49">
        <v>150</v>
      </c>
      <c r="B219" s="42" t="s">
        <v>189</v>
      </c>
      <c r="C219" s="35" t="s">
        <v>26</v>
      </c>
      <c r="D219" s="36">
        <v>0</v>
      </c>
      <c r="E219" s="36">
        <f t="shared" si="8"/>
        <v>0.54500000000000004</v>
      </c>
      <c r="F219" s="36">
        <v>0.54500000000000004</v>
      </c>
      <c r="G219" s="37">
        <v>2725</v>
      </c>
      <c r="H219" s="38" t="s">
        <v>27</v>
      </c>
      <c r="I219" s="37"/>
      <c r="J219" s="37"/>
      <c r="K219" s="37"/>
      <c r="L219" s="37"/>
      <c r="M219" s="37"/>
      <c r="N219" s="37"/>
      <c r="O219" s="37"/>
      <c r="P219" s="37"/>
      <c r="Q219" s="44">
        <v>80150010924</v>
      </c>
      <c r="R219" s="35">
        <v>80150010924</v>
      </c>
    </row>
    <row r="220" spans="1:18" x14ac:dyDescent="0.2">
      <c r="A220" s="33">
        <v>151</v>
      </c>
      <c r="B220" s="34" t="s">
        <v>190</v>
      </c>
      <c r="C220" s="35" t="s">
        <v>34</v>
      </c>
      <c r="D220" s="36">
        <v>0</v>
      </c>
      <c r="E220" s="36">
        <f t="shared" si="8"/>
        <v>0.185</v>
      </c>
      <c r="F220" s="36">
        <v>0.185</v>
      </c>
      <c r="G220" s="37">
        <v>1110</v>
      </c>
      <c r="H220" s="38" t="s">
        <v>29</v>
      </c>
      <c r="I220" s="37"/>
      <c r="J220" s="37"/>
      <c r="K220" s="37"/>
      <c r="L220" s="37"/>
      <c r="M220" s="37"/>
      <c r="N220" s="37"/>
      <c r="O220" s="37"/>
      <c r="P220" s="37"/>
      <c r="Q220" s="35">
        <v>80150040116</v>
      </c>
      <c r="R220" s="35">
        <v>80150040116</v>
      </c>
    </row>
    <row r="221" spans="1:18" x14ac:dyDescent="0.2">
      <c r="A221" s="39"/>
      <c r="B221" s="40"/>
      <c r="C221" s="35" t="s">
        <v>34</v>
      </c>
      <c r="D221" s="36">
        <f t="shared" si="9"/>
        <v>0.185</v>
      </c>
      <c r="E221" s="36">
        <f t="shared" si="8"/>
        <v>1.0449999999999999</v>
      </c>
      <c r="F221" s="36">
        <v>0.86</v>
      </c>
      <c r="G221" s="37">
        <v>5160</v>
      </c>
      <c r="H221" s="38" t="s">
        <v>29</v>
      </c>
      <c r="I221" s="37"/>
      <c r="J221" s="37"/>
      <c r="K221" s="37"/>
      <c r="L221" s="37"/>
      <c r="M221" s="37"/>
      <c r="N221" s="37"/>
      <c r="O221" s="37"/>
      <c r="P221" s="37"/>
      <c r="Q221" s="44">
        <v>80150040115</v>
      </c>
      <c r="R221" s="35">
        <v>80150040115</v>
      </c>
    </row>
    <row r="222" spans="1:18" x14ac:dyDescent="0.2">
      <c r="A222" s="49">
        <v>152</v>
      </c>
      <c r="B222" s="42" t="s">
        <v>191</v>
      </c>
      <c r="C222" s="35" t="s">
        <v>26</v>
      </c>
      <c r="D222" s="36">
        <v>0</v>
      </c>
      <c r="E222" s="36">
        <f t="shared" si="8"/>
        <v>0.127</v>
      </c>
      <c r="F222" s="36">
        <v>0.127</v>
      </c>
      <c r="G222" s="37">
        <v>511</v>
      </c>
      <c r="H222" s="38" t="s">
        <v>32</v>
      </c>
      <c r="I222" s="37"/>
      <c r="J222" s="37"/>
      <c r="K222" s="37"/>
      <c r="L222" s="37"/>
      <c r="M222" s="37"/>
      <c r="N222" s="37"/>
      <c r="O222" s="37"/>
      <c r="P222" s="37"/>
      <c r="Q222" s="44">
        <v>80150031191</v>
      </c>
      <c r="R222" s="35">
        <v>80150031191</v>
      </c>
    </row>
    <row r="223" spans="1:18" x14ac:dyDescent="0.2">
      <c r="A223" s="33">
        <v>153</v>
      </c>
      <c r="B223" s="34" t="s">
        <v>192</v>
      </c>
      <c r="C223" s="35" t="s">
        <v>26</v>
      </c>
      <c r="D223" s="36">
        <v>0</v>
      </c>
      <c r="E223" s="36">
        <f t="shared" si="8"/>
        <v>0.14000000000000001</v>
      </c>
      <c r="F223" s="36">
        <v>0.14000000000000001</v>
      </c>
      <c r="G223" s="37">
        <v>560</v>
      </c>
      <c r="H223" s="38" t="s">
        <v>27</v>
      </c>
      <c r="I223" s="37"/>
      <c r="J223" s="37"/>
      <c r="K223" s="37"/>
      <c r="L223" s="37"/>
      <c r="M223" s="37"/>
      <c r="N223" s="37"/>
      <c r="O223" s="37"/>
      <c r="P223" s="37"/>
      <c r="Q223" s="44">
        <v>80150032069</v>
      </c>
      <c r="R223" s="35">
        <v>80150032069</v>
      </c>
    </row>
    <row r="224" spans="1:18" x14ac:dyDescent="0.2">
      <c r="A224" s="39"/>
      <c r="B224" s="40"/>
      <c r="C224" s="35" t="s">
        <v>26</v>
      </c>
      <c r="D224" s="36">
        <f t="shared" si="9"/>
        <v>0.14000000000000001</v>
      </c>
      <c r="E224" s="36">
        <f t="shared" si="8"/>
        <v>0.2</v>
      </c>
      <c r="F224" s="36">
        <v>0.06</v>
      </c>
      <c r="G224" s="37">
        <v>240</v>
      </c>
      <c r="H224" s="38" t="s">
        <v>27</v>
      </c>
      <c r="I224" s="37"/>
      <c r="J224" s="37"/>
      <c r="K224" s="37"/>
      <c r="L224" s="37"/>
      <c r="M224" s="37"/>
      <c r="N224" s="37"/>
      <c r="O224" s="37"/>
      <c r="P224" s="37"/>
      <c r="Q224" s="44">
        <v>80150032071</v>
      </c>
      <c r="R224" s="35">
        <v>80150032071</v>
      </c>
    </row>
    <row r="225" spans="1:18" x14ac:dyDescent="0.2">
      <c r="A225" s="33">
        <v>154</v>
      </c>
      <c r="B225" s="34" t="s">
        <v>193</v>
      </c>
      <c r="C225" s="35" t="s">
        <v>26</v>
      </c>
      <c r="D225" s="36">
        <v>0</v>
      </c>
      <c r="E225" s="36">
        <f t="shared" si="8"/>
        <v>0.14499999999999999</v>
      </c>
      <c r="F225" s="36">
        <v>0.14499999999999999</v>
      </c>
      <c r="G225" s="37">
        <v>711</v>
      </c>
      <c r="H225" s="38" t="s">
        <v>29</v>
      </c>
      <c r="I225" s="37"/>
      <c r="J225" s="37"/>
      <c r="K225" s="37"/>
      <c r="L225" s="37"/>
      <c r="M225" s="37"/>
      <c r="N225" s="37"/>
      <c r="O225" s="37"/>
      <c r="P225" s="37"/>
      <c r="Q225" s="44">
        <v>80150024032</v>
      </c>
      <c r="R225" s="35">
        <v>80150024032</v>
      </c>
    </row>
    <row r="226" spans="1:18" x14ac:dyDescent="0.2">
      <c r="A226" s="39"/>
      <c r="B226" s="40"/>
      <c r="C226" s="35" t="s">
        <v>26</v>
      </c>
      <c r="D226" s="36">
        <f t="shared" si="9"/>
        <v>0.14499999999999999</v>
      </c>
      <c r="E226" s="36">
        <f t="shared" si="8"/>
        <v>0.21999999999999997</v>
      </c>
      <c r="F226" s="36">
        <v>7.4999999999999997E-2</v>
      </c>
      <c r="G226" s="37">
        <v>263</v>
      </c>
      <c r="H226" s="38" t="s">
        <v>63</v>
      </c>
      <c r="I226" s="37"/>
      <c r="J226" s="37"/>
      <c r="K226" s="37"/>
      <c r="L226" s="37"/>
      <c r="M226" s="37"/>
      <c r="N226" s="37"/>
      <c r="O226" s="37"/>
      <c r="P226" s="37"/>
      <c r="Q226" s="44">
        <v>80150024218</v>
      </c>
      <c r="R226" s="35">
        <v>80150024218</v>
      </c>
    </row>
    <row r="227" spans="1:18" x14ac:dyDescent="0.2">
      <c r="A227" s="62">
        <v>155</v>
      </c>
      <c r="B227" s="34" t="s">
        <v>194</v>
      </c>
      <c r="C227" s="35" t="s">
        <v>26</v>
      </c>
      <c r="D227" s="36">
        <v>0</v>
      </c>
      <c r="E227" s="36">
        <f t="shared" si="8"/>
        <v>0.255</v>
      </c>
      <c r="F227" s="36">
        <v>0.255</v>
      </c>
      <c r="G227" s="37">
        <v>1301</v>
      </c>
      <c r="H227" s="38" t="s">
        <v>29</v>
      </c>
      <c r="I227" s="37"/>
      <c r="J227" s="37"/>
      <c r="K227" s="37"/>
      <c r="L227" s="37"/>
      <c r="M227" s="37"/>
      <c r="N227" s="37"/>
      <c r="O227" s="37"/>
      <c r="P227" s="37"/>
      <c r="Q227" s="44">
        <v>80150030331</v>
      </c>
      <c r="R227" s="35">
        <v>80150030331</v>
      </c>
    </row>
    <row r="228" spans="1:18" x14ac:dyDescent="0.2">
      <c r="A228" s="62">
        <v>156</v>
      </c>
      <c r="B228" s="55" t="s">
        <v>195</v>
      </c>
      <c r="C228" s="35" t="s">
        <v>39</v>
      </c>
      <c r="D228" s="36">
        <v>0</v>
      </c>
      <c r="E228" s="36">
        <f t="shared" si="8"/>
        <v>0.34499999999999997</v>
      </c>
      <c r="F228" s="36">
        <v>0.34499999999999997</v>
      </c>
      <c r="G228" s="37">
        <v>2070</v>
      </c>
      <c r="H228" s="38" t="s">
        <v>29</v>
      </c>
      <c r="I228" s="37"/>
      <c r="J228" s="37"/>
      <c r="K228" s="37"/>
      <c r="L228" s="37"/>
      <c r="M228" s="37"/>
      <c r="N228" s="37"/>
      <c r="O228" s="37"/>
      <c r="P228" s="37">
        <v>184</v>
      </c>
      <c r="Q228" s="44">
        <v>80150030728</v>
      </c>
      <c r="R228" s="35">
        <v>80150030728</v>
      </c>
    </row>
    <row r="229" spans="1:18" x14ac:dyDescent="0.2">
      <c r="A229" s="47"/>
      <c r="B229" s="60"/>
      <c r="C229" s="35" t="s">
        <v>39</v>
      </c>
      <c r="D229" s="73">
        <v>0.35</v>
      </c>
      <c r="E229" s="74">
        <v>1.1499999999999999</v>
      </c>
      <c r="F229" s="75">
        <f>E229-D229</f>
        <v>0.79999999999999993</v>
      </c>
      <c r="G229" s="37">
        <f>6*800</f>
        <v>4800</v>
      </c>
      <c r="H229" s="38" t="s">
        <v>29</v>
      </c>
      <c r="I229" s="37"/>
      <c r="J229" s="37"/>
      <c r="K229" s="37"/>
      <c r="L229" s="37"/>
      <c r="M229" s="37"/>
      <c r="N229" s="37"/>
      <c r="O229" s="37"/>
      <c r="P229" s="37"/>
      <c r="Q229" s="76">
        <v>80940040678</v>
      </c>
      <c r="R229" s="76">
        <v>80940040678</v>
      </c>
    </row>
    <row r="230" spans="1:18" x14ac:dyDescent="0.2">
      <c r="A230" s="47">
        <v>157</v>
      </c>
      <c r="B230" s="77" t="s">
        <v>196</v>
      </c>
      <c r="C230" s="51" t="s">
        <v>26</v>
      </c>
      <c r="D230" s="36">
        <v>0</v>
      </c>
      <c r="E230" s="36">
        <f t="shared" si="8"/>
        <v>0.33500000000000002</v>
      </c>
      <c r="F230" s="36">
        <v>0.33500000000000002</v>
      </c>
      <c r="G230" s="37">
        <v>2010</v>
      </c>
      <c r="H230" s="38" t="s">
        <v>29</v>
      </c>
      <c r="I230" s="37"/>
      <c r="J230" s="37"/>
      <c r="K230" s="37"/>
      <c r="L230" s="37"/>
      <c r="M230" s="37"/>
      <c r="N230" s="37"/>
      <c r="O230" s="37"/>
      <c r="P230" s="37">
        <v>710</v>
      </c>
      <c r="Q230" s="44">
        <v>80150032357</v>
      </c>
      <c r="R230" s="35">
        <v>80150032357</v>
      </c>
    </row>
    <row r="231" spans="1:18" x14ac:dyDescent="0.2">
      <c r="A231" s="78">
        <v>158</v>
      </c>
      <c r="B231" s="34" t="s">
        <v>197</v>
      </c>
      <c r="C231" s="35" t="s">
        <v>26</v>
      </c>
      <c r="D231" s="36">
        <v>0</v>
      </c>
      <c r="E231" s="36">
        <f t="shared" si="8"/>
        <v>0.17</v>
      </c>
      <c r="F231" s="36">
        <v>0.17</v>
      </c>
      <c r="G231" s="37">
        <v>748</v>
      </c>
      <c r="H231" s="38" t="s">
        <v>29</v>
      </c>
      <c r="I231" s="37"/>
      <c r="J231" s="37"/>
      <c r="K231" s="37"/>
      <c r="L231" s="37"/>
      <c r="M231" s="37"/>
      <c r="N231" s="37"/>
      <c r="O231" s="37"/>
      <c r="P231" s="37"/>
      <c r="Q231" s="44">
        <v>80150022122</v>
      </c>
      <c r="R231" s="35">
        <v>80150022123</v>
      </c>
    </row>
    <row r="232" spans="1:18" x14ac:dyDescent="0.2">
      <c r="A232" s="66"/>
      <c r="B232" s="46"/>
      <c r="C232" s="35" t="s">
        <v>26</v>
      </c>
      <c r="D232" s="36">
        <f t="shared" si="9"/>
        <v>0.17</v>
      </c>
      <c r="E232" s="36">
        <f t="shared" si="8"/>
        <v>0.32500000000000001</v>
      </c>
      <c r="F232" s="36">
        <v>0.155</v>
      </c>
      <c r="G232" s="37">
        <v>682</v>
      </c>
      <c r="H232" s="38" t="s">
        <v>29</v>
      </c>
      <c r="I232" s="37"/>
      <c r="J232" s="37"/>
      <c r="K232" s="37"/>
      <c r="L232" s="37"/>
      <c r="M232" s="37"/>
      <c r="N232" s="37"/>
      <c r="O232" s="37"/>
      <c r="P232" s="37"/>
      <c r="Q232" s="44">
        <v>80150022122</v>
      </c>
      <c r="R232" s="35">
        <v>80150022120</v>
      </c>
    </row>
    <row r="233" spans="1:18" x14ac:dyDescent="0.2">
      <c r="A233" s="47"/>
      <c r="B233" s="40"/>
      <c r="C233" s="35" t="s">
        <v>26</v>
      </c>
      <c r="D233" s="36">
        <f t="shared" si="9"/>
        <v>0.32500000000000001</v>
      </c>
      <c r="E233" s="36">
        <f t="shared" si="8"/>
        <v>0.46</v>
      </c>
      <c r="F233" s="36">
        <v>0.13500000000000001</v>
      </c>
      <c r="G233" s="37">
        <v>473</v>
      </c>
      <c r="H233" s="38" t="s">
        <v>27</v>
      </c>
      <c r="I233" s="37"/>
      <c r="J233" s="37"/>
      <c r="K233" s="37"/>
      <c r="L233" s="37"/>
      <c r="M233" s="37"/>
      <c r="N233" s="37"/>
      <c r="O233" s="37"/>
      <c r="P233" s="37"/>
      <c r="Q233" s="44">
        <v>80150022122</v>
      </c>
      <c r="R233" s="35">
        <v>80150022122</v>
      </c>
    </row>
    <row r="234" spans="1:18" ht="22.5" x14ac:dyDescent="0.2">
      <c r="A234" s="39">
        <v>159</v>
      </c>
      <c r="B234" s="40" t="s">
        <v>198</v>
      </c>
      <c r="C234" s="35" t="s">
        <v>26</v>
      </c>
      <c r="D234" s="50">
        <v>0</v>
      </c>
      <c r="E234" s="50">
        <v>0.16600000000000001</v>
      </c>
      <c r="F234" s="50">
        <v>0.16600000000000001</v>
      </c>
      <c r="G234" s="79">
        <v>930</v>
      </c>
      <c r="H234" s="80" t="s">
        <v>63</v>
      </c>
      <c r="I234" s="37"/>
      <c r="J234" s="37"/>
      <c r="K234" s="37"/>
      <c r="L234" s="37"/>
      <c r="M234" s="37"/>
      <c r="N234" s="37"/>
      <c r="O234" s="37"/>
      <c r="P234" s="37"/>
      <c r="Q234" s="81" t="s">
        <v>199</v>
      </c>
      <c r="R234" s="81" t="s">
        <v>199</v>
      </c>
    </row>
    <row r="235" spans="1:18" x14ac:dyDescent="0.2">
      <c r="A235" s="49">
        <v>160</v>
      </c>
      <c r="B235" s="42" t="s">
        <v>200</v>
      </c>
      <c r="C235" s="35" t="s">
        <v>26</v>
      </c>
      <c r="D235" s="36">
        <v>0</v>
      </c>
      <c r="E235" s="36">
        <f t="shared" si="8"/>
        <v>0.13500000000000001</v>
      </c>
      <c r="F235" s="36">
        <v>0.13500000000000001</v>
      </c>
      <c r="G235" s="37">
        <v>434</v>
      </c>
      <c r="H235" s="38" t="s">
        <v>32</v>
      </c>
      <c r="I235" s="37"/>
      <c r="J235" s="37"/>
      <c r="K235" s="37"/>
      <c r="L235" s="37"/>
      <c r="M235" s="37"/>
      <c r="N235" s="37"/>
      <c r="O235" s="37"/>
      <c r="P235" s="37"/>
      <c r="Q235" s="35">
        <v>80150020967</v>
      </c>
      <c r="R235" s="35">
        <v>80150020967</v>
      </c>
    </row>
    <row r="236" spans="1:18" x14ac:dyDescent="0.2">
      <c r="A236" s="49">
        <v>161</v>
      </c>
      <c r="B236" s="42" t="s">
        <v>201</v>
      </c>
      <c r="C236" s="35" t="s">
        <v>26</v>
      </c>
      <c r="D236" s="36">
        <v>0</v>
      </c>
      <c r="E236" s="36">
        <f t="shared" si="8"/>
        <v>0.185</v>
      </c>
      <c r="F236" s="36">
        <v>0.185</v>
      </c>
      <c r="G236" s="37">
        <v>740</v>
      </c>
      <c r="H236" s="38" t="s">
        <v>27</v>
      </c>
      <c r="I236" s="37"/>
      <c r="J236" s="37"/>
      <c r="K236" s="37"/>
      <c r="L236" s="37"/>
      <c r="M236" s="37"/>
      <c r="N236" s="37"/>
      <c r="O236" s="37"/>
      <c r="P236" s="37"/>
      <c r="Q236" s="44">
        <v>80150032071</v>
      </c>
      <c r="R236" s="35">
        <v>80150032071</v>
      </c>
    </row>
    <row r="237" spans="1:18" x14ac:dyDescent="0.2">
      <c r="A237" s="49">
        <v>162</v>
      </c>
      <c r="B237" s="42" t="s">
        <v>202</v>
      </c>
      <c r="C237" s="35" t="s">
        <v>26</v>
      </c>
      <c r="D237" s="36">
        <v>0</v>
      </c>
      <c r="E237" s="36">
        <f t="shared" si="8"/>
        <v>0.12</v>
      </c>
      <c r="F237" s="36">
        <v>0.12</v>
      </c>
      <c r="G237" s="37">
        <v>480</v>
      </c>
      <c r="H237" s="38" t="s">
        <v>27</v>
      </c>
      <c r="I237" s="37"/>
      <c r="J237" s="37"/>
      <c r="K237" s="37"/>
      <c r="L237" s="37"/>
      <c r="M237" s="37"/>
      <c r="N237" s="37"/>
      <c r="O237" s="37"/>
      <c r="P237" s="37"/>
      <c r="Q237" s="44">
        <v>80150022978</v>
      </c>
      <c r="R237" s="35">
        <v>80150022978</v>
      </c>
    </row>
    <row r="238" spans="1:18" x14ac:dyDescent="0.2">
      <c r="A238" s="49">
        <v>163</v>
      </c>
      <c r="B238" s="34" t="s">
        <v>203</v>
      </c>
      <c r="C238" s="35" t="s">
        <v>26</v>
      </c>
      <c r="D238" s="36">
        <v>0</v>
      </c>
      <c r="E238" s="36">
        <f t="shared" si="8"/>
        <v>0.125</v>
      </c>
      <c r="F238" s="36">
        <v>0.125</v>
      </c>
      <c r="G238" s="37">
        <v>438</v>
      </c>
      <c r="H238" s="38" t="s">
        <v>32</v>
      </c>
      <c r="I238" s="37"/>
      <c r="J238" s="37"/>
      <c r="K238" s="37"/>
      <c r="L238" s="37"/>
      <c r="M238" s="37"/>
      <c r="N238" s="37"/>
      <c r="O238" s="37"/>
      <c r="P238" s="37"/>
      <c r="Q238" s="35">
        <v>80150030561</v>
      </c>
      <c r="R238" s="35">
        <v>80150030561</v>
      </c>
    </row>
    <row r="239" spans="1:18" x14ac:dyDescent="0.2">
      <c r="A239" s="49">
        <v>164</v>
      </c>
      <c r="B239" s="42" t="s">
        <v>204</v>
      </c>
      <c r="C239" s="35" t="s">
        <v>26</v>
      </c>
      <c r="D239" s="36">
        <v>0</v>
      </c>
      <c r="E239" s="36">
        <f t="shared" si="8"/>
        <v>0.13</v>
      </c>
      <c r="F239" s="36">
        <v>0.13</v>
      </c>
      <c r="G239" s="37">
        <v>780</v>
      </c>
      <c r="H239" s="38" t="s">
        <v>29</v>
      </c>
      <c r="I239" s="37"/>
      <c r="J239" s="37"/>
      <c r="K239" s="37"/>
      <c r="L239" s="37"/>
      <c r="M239" s="37"/>
      <c r="N239" s="37"/>
      <c r="O239" s="37"/>
      <c r="P239" s="37">
        <v>396</v>
      </c>
      <c r="Q239" s="35">
        <v>80150023052</v>
      </c>
      <c r="R239" s="35">
        <v>80150023052</v>
      </c>
    </row>
    <row r="240" spans="1:18" x14ac:dyDescent="0.2">
      <c r="A240" s="49">
        <v>165</v>
      </c>
      <c r="B240" s="42" t="s">
        <v>205</v>
      </c>
      <c r="C240" s="35" t="s">
        <v>26</v>
      </c>
      <c r="D240" s="36">
        <v>0</v>
      </c>
      <c r="E240" s="36">
        <f t="shared" si="8"/>
        <v>0.115</v>
      </c>
      <c r="F240" s="36">
        <v>0.115</v>
      </c>
      <c r="G240" s="37">
        <v>469</v>
      </c>
      <c r="H240" s="38" t="s">
        <v>27</v>
      </c>
      <c r="I240" s="37"/>
      <c r="J240" s="37"/>
      <c r="K240" s="37"/>
      <c r="L240" s="37"/>
      <c r="M240" s="37"/>
      <c r="N240" s="37"/>
      <c r="O240" s="37"/>
      <c r="P240" s="37"/>
      <c r="Q240" s="35">
        <v>80150020041</v>
      </c>
      <c r="R240" s="35">
        <v>80150020041</v>
      </c>
    </row>
    <row r="241" spans="1:32" x14ac:dyDescent="0.2">
      <c r="A241" s="62">
        <v>166</v>
      </c>
      <c r="B241" s="34" t="s">
        <v>206</v>
      </c>
      <c r="C241" s="35" t="s">
        <v>26</v>
      </c>
      <c r="D241" s="36">
        <v>0</v>
      </c>
      <c r="E241" s="36">
        <f t="shared" si="8"/>
        <v>0.315</v>
      </c>
      <c r="F241" s="36">
        <v>0.315</v>
      </c>
      <c r="G241" s="37">
        <v>1260</v>
      </c>
      <c r="H241" s="38" t="s">
        <v>32</v>
      </c>
      <c r="I241" s="37"/>
      <c r="J241" s="37"/>
      <c r="K241" s="37"/>
      <c r="L241" s="37"/>
      <c r="M241" s="37"/>
      <c r="N241" s="37"/>
      <c r="O241" s="37"/>
      <c r="P241" s="37"/>
      <c r="Q241" s="35">
        <v>80150031093</v>
      </c>
      <c r="R241" s="35">
        <v>80150031093</v>
      </c>
    </row>
    <row r="242" spans="1:32" x14ac:dyDescent="0.2">
      <c r="A242" s="66"/>
      <c r="B242" s="46"/>
      <c r="C242" s="35" t="s">
        <v>26</v>
      </c>
      <c r="D242" s="36">
        <f t="shared" si="9"/>
        <v>0.315</v>
      </c>
      <c r="E242" s="36">
        <f t="shared" si="8"/>
        <v>0.495</v>
      </c>
      <c r="F242" s="36">
        <v>0.18</v>
      </c>
      <c r="G242" s="37">
        <v>720</v>
      </c>
      <c r="H242" s="38" t="s">
        <v>27</v>
      </c>
      <c r="I242" s="37"/>
      <c r="J242" s="37"/>
      <c r="K242" s="37"/>
      <c r="L242" s="37"/>
      <c r="M242" s="37"/>
      <c r="N242" s="37"/>
      <c r="O242" s="37"/>
      <c r="P242" s="37"/>
      <c r="Q242" s="35">
        <v>80150031093</v>
      </c>
      <c r="R242" s="35">
        <v>80150031088</v>
      </c>
    </row>
    <row r="243" spans="1:32" x14ac:dyDescent="0.2">
      <c r="A243" s="82"/>
      <c r="B243" s="83"/>
      <c r="C243" s="35" t="s">
        <v>26</v>
      </c>
      <c r="D243" s="84">
        <f t="shared" si="9"/>
        <v>0.495</v>
      </c>
      <c r="E243" s="84">
        <f t="shared" si="8"/>
        <v>0.72299999999999998</v>
      </c>
      <c r="F243" s="84">
        <v>0.22800000000000001</v>
      </c>
      <c r="G243" s="37">
        <v>684</v>
      </c>
      <c r="H243" s="58" t="s">
        <v>29</v>
      </c>
      <c r="I243" s="37"/>
      <c r="J243" s="37"/>
      <c r="K243" s="37"/>
      <c r="L243" s="37"/>
      <c r="M243" s="37"/>
      <c r="N243" s="37"/>
      <c r="O243" s="37"/>
      <c r="P243" s="37"/>
      <c r="Q243" s="84">
        <v>80150031093</v>
      </c>
      <c r="R243" s="84">
        <v>80150031088</v>
      </c>
    </row>
    <row r="244" spans="1:32" x14ac:dyDescent="0.2">
      <c r="A244" s="33">
        <v>167</v>
      </c>
      <c r="B244" s="34" t="s">
        <v>207</v>
      </c>
      <c r="C244" s="35" t="s">
        <v>26</v>
      </c>
      <c r="D244" s="36">
        <v>0</v>
      </c>
      <c r="E244" s="36">
        <f t="shared" si="8"/>
        <v>0.3</v>
      </c>
      <c r="F244" s="36">
        <v>0.3</v>
      </c>
      <c r="G244" s="37">
        <v>1200</v>
      </c>
      <c r="H244" s="38" t="s">
        <v>27</v>
      </c>
      <c r="I244" s="37"/>
      <c r="J244" s="37"/>
      <c r="K244" s="37"/>
      <c r="L244" s="37"/>
      <c r="M244" s="37"/>
      <c r="N244" s="37"/>
      <c r="O244" s="37"/>
      <c r="P244" s="37"/>
      <c r="Q244" s="70" t="s">
        <v>137</v>
      </c>
      <c r="R244" s="35" t="s">
        <v>208</v>
      </c>
    </row>
    <row r="245" spans="1:32" ht="15" x14ac:dyDescent="0.25">
      <c r="A245" s="39"/>
      <c r="B245" s="85" t="s">
        <v>209</v>
      </c>
      <c r="C245" s="35" t="s">
        <v>26</v>
      </c>
      <c r="D245" s="36">
        <f t="shared" si="9"/>
        <v>0.3</v>
      </c>
      <c r="E245" s="36">
        <f t="shared" si="8"/>
        <v>1.1100000000000001</v>
      </c>
      <c r="F245" s="36">
        <v>0.81</v>
      </c>
      <c r="G245" s="37">
        <v>3240</v>
      </c>
      <c r="H245" s="38" t="s">
        <v>27</v>
      </c>
      <c r="I245" s="37"/>
      <c r="J245" s="37"/>
      <c r="K245" s="37"/>
      <c r="L245" s="37"/>
      <c r="M245" s="37"/>
      <c r="N245" s="37"/>
      <c r="O245" s="37"/>
      <c r="P245" s="37"/>
      <c r="Q245" s="44">
        <v>80150010001</v>
      </c>
      <c r="R245" s="35">
        <v>80150010106</v>
      </c>
      <c r="S245"/>
    </row>
    <row r="246" spans="1:32" ht="13.5" customHeight="1" x14ac:dyDescent="0.25">
      <c r="A246" s="86"/>
      <c r="B246" s="87" t="s">
        <v>210</v>
      </c>
      <c r="C246" s="88"/>
      <c r="F246" s="89"/>
      <c r="T246"/>
      <c r="U246"/>
      <c r="V246"/>
      <c r="W246"/>
      <c r="X246"/>
      <c r="Y246"/>
      <c r="Z246"/>
      <c r="AA246" t="s">
        <v>211</v>
      </c>
      <c r="AB246"/>
      <c r="AC246"/>
      <c r="AD246"/>
      <c r="AE246"/>
      <c r="AF246"/>
    </row>
    <row r="247" spans="1:32" ht="22.5" x14ac:dyDescent="0.2">
      <c r="A247" s="93" t="s">
        <v>212</v>
      </c>
      <c r="B247" s="94"/>
      <c r="C247" s="95"/>
      <c r="D247" s="94"/>
      <c r="E247" s="96"/>
      <c r="F247" s="97">
        <f>SUM(F8:F245)</f>
        <v>72.818999999999974</v>
      </c>
      <c r="G247" s="98">
        <f>SUM(G8:G245)</f>
        <v>385534</v>
      </c>
      <c r="J247" s="99"/>
      <c r="K247" s="100" t="s">
        <v>213</v>
      </c>
      <c r="L247" s="101">
        <f>SUM(L8:L245)</f>
        <v>0</v>
      </c>
      <c r="M247" s="101">
        <f>SUM(M8:M245)</f>
        <v>0</v>
      </c>
      <c r="N247" s="92"/>
      <c r="O247" s="100" t="s">
        <v>214</v>
      </c>
      <c r="P247" s="101">
        <f>SUM(P8:P245)</f>
        <v>59573.19</v>
      </c>
      <c r="Q247" s="92"/>
      <c r="S247" s="102" t="s">
        <v>20</v>
      </c>
      <c r="T247" s="103" t="s">
        <v>215</v>
      </c>
      <c r="U247" s="103" t="s">
        <v>216</v>
      </c>
      <c r="V247" s="103" t="s">
        <v>217</v>
      </c>
      <c r="W247" s="103" t="s">
        <v>218</v>
      </c>
      <c r="X247" s="103" t="s">
        <v>219</v>
      </c>
      <c r="Y247" s="104" t="s">
        <v>214</v>
      </c>
      <c r="AA247" s="103" t="s">
        <v>215</v>
      </c>
      <c r="AB247" s="103" t="s">
        <v>216</v>
      </c>
      <c r="AC247" s="103" t="s">
        <v>217</v>
      </c>
      <c r="AD247" s="103" t="s">
        <v>218</v>
      </c>
      <c r="AE247" s="103" t="s">
        <v>219</v>
      </c>
      <c r="AF247" s="104" t="s">
        <v>214</v>
      </c>
    </row>
    <row r="248" spans="1:32" x14ac:dyDescent="0.2">
      <c r="A248" s="105" t="s">
        <v>220</v>
      </c>
      <c r="B248" s="106"/>
      <c r="C248" s="95"/>
      <c r="D248" s="94"/>
      <c r="E248" s="96"/>
      <c r="F248" s="107">
        <f>SUMIFS(F8:F245,H8:H245,"dubultā virsma")</f>
        <v>8.7050000000000001</v>
      </c>
      <c r="G248" s="108">
        <f>SUMIFS(G211:G246,H211:H246,"dubultā virsma")</f>
        <v>3781</v>
      </c>
      <c r="J248" s="99"/>
      <c r="K248" s="109"/>
      <c r="L248" s="110"/>
      <c r="M248" s="110"/>
      <c r="N248" s="92"/>
      <c r="O248" s="109"/>
      <c r="P248" s="110"/>
      <c r="Q248" s="92"/>
      <c r="S248" s="102"/>
      <c r="T248" s="103" t="s">
        <v>23</v>
      </c>
      <c r="U248" s="103" t="s">
        <v>23</v>
      </c>
      <c r="V248" s="103" t="s">
        <v>23</v>
      </c>
      <c r="W248" s="103" t="s">
        <v>23</v>
      </c>
      <c r="X248" s="103" t="s">
        <v>23</v>
      </c>
      <c r="Y248" s="104" t="s">
        <v>23</v>
      </c>
      <c r="Z248" s="102"/>
      <c r="AA248" s="103" t="s">
        <v>23</v>
      </c>
      <c r="AB248" s="103" t="s">
        <v>23</v>
      </c>
      <c r="AC248" s="103" t="s">
        <v>23</v>
      </c>
      <c r="AD248" s="103" t="s">
        <v>23</v>
      </c>
      <c r="AE248" s="103" t="s">
        <v>23</v>
      </c>
      <c r="AF248" s="104" t="s">
        <v>23</v>
      </c>
    </row>
    <row r="249" spans="1:32" ht="12.75" customHeight="1" x14ac:dyDescent="0.2">
      <c r="A249" s="105" t="s">
        <v>221</v>
      </c>
      <c r="B249" s="106"/>
      <c r="C249" s="111"/>
      <c r="D249" s="106"/>
      <c r="E249" s="112"/>
      <c r="F249" s="113">
        <f>SUMIFS(F8:F245,H8:H245,"melnais")</f>
        <v>40.740000000000016</v>
      </c>
      <c r="G249" s="114">
        <f>SUMIFS(G8:G245,H8:H245,"melnais")</f>
        <v>245023</v>
      </c>
      <c r="J249" s="92"/>
      <c r="K249" s="92"/>
      <c r="L249" s="115"/>
      <c r="M249" s="115"/>
      <c r="N249" s="92"/>
      <c r="O249" s="92"/>
      <c r="P249" s="92"/>
      <c r="Q249" s="92"/>
      <c r="S249" s="116" t="s">
        <v>222</v>
      </c>
      <c r="T249" s="117">
        <f>SUMIFS(F8:F245,C8:C245,"A",H8:H245,"melnais")</f>
        <v>0</v>
      </c>
      <c r="U249" s="117">
        <f>SUMIFS(F8:F245,C8:C245,"A",H8:H245,"dubultā virsma")</f>
        <v>0</v>
      </c>
      <c r="V249" s="117">
        <f>SUMIFS(F8:F245,C8:C245,"A",H8:H245,"bruģis")</f>
        <v>0</v>
      </c>
      <c r="W249" s="117">
        <f>SUMIFS(F8:F245,C8:C245,"A",H8:H245,"grants")</f>
        <v>0</v>
      </c>
      <c r="X249" s="117">
        <f>SUMIFS(F8:F245,C8:C245,"A",H8:H245,"cits segums")</f>
        <v>0</v>
      </c>
      <c r="Y249" s="117">
        <f>SUM(T249:X249)</f>
        <v>0</v>
      </c>
      <c r="Z249" s="116" t="s">
        <v>222</v>
      </c>
      <c r="AA249" s="117">
        <f>SUMIFS(F8:F245,C8:C245,"A",H8:H245,"melnais", Q8:Q245,"Nepiederošs")</f>
        <v>0</v>
      </c>
      <c r="AB249" s="117">
        <f>SUMIFS(F8:F245,C8:C245,"A",H8:H245,"dubultā virsma", Q8:Q245,"Nepiederošs")</f>
        <v>0</v>
      </c>
      <c r="AC249" s="117">
        <f>SUMIFS(F8:F245,C8:C245,"A",H8:H245,"bruģis", Q8:Q245,"Nepiederošs")</f>
        <v>0</v>
      </c>
      <c r="AD249" s="117">
        <f>SUMIFS(F8:F245,C8:C245,"A",H8:H245,"grants", Q8:Q245,"Nepiederošs")</f>
        <v>0</v>
      </c>
      <c r="AE249" s="117">
        <f>SUMIFS(F8:F245,C8:C245,"A",H8:H245,"cits segums", Q8:Q245,"Nepiederošs")</f>
        <v>0</v>
      </c>
      <c r="AF249" s="117">
        <f>SUM(AA249:AE249)</f>
        <v>0</v>
      </c>
    </row>
    <row r="250" spans="1:32" ht="12.75" customHeight="1" x14ac:dyDescent="0.2">
      <c r="A250" s="105" t="s">
        <v>223</v>
      </c>
      <c r="B250" s="106"/>
      <c r="C250" s="111"/>
      <c r="D250" s="106"/>
      <c r="E250" s="112"/>
      <c r="F250" s="118">
        <f>SUMIFS(F8:F245,H8:H245,"bruģis")</f>
        <v>3.6080000000000001</v>
      </c>
      <c r="G250" s="119">
        <f>SUMIFS(G8:G245,H8:H245,"bruģis")</f>
        <v>19546</v>
      </c>
      <c r="J250" s="92"/>
      <c r="N250" s="92"/>
      <c r="O250" s="92"/>
      <c r="P250" s="92"/>
      <c r="Q250" s="92"/>
      <c r="S250" s="120" t="s">
        <v>39</v>
      </c>
      <c r="T250" s="117">
        <f>SUMIFS(F8:F245,C8:C245,"B",H8:H245,"melnais")</f>
        <v>26.027999999999999</v>
      </c>
      <c r="U250" s="117">
        <f>SUMIFS(F8:F245,C8:C245,"B",H8:H245,"dubultā virsma")</f>
        <v>0</v>
      </c>
      <c r="V250" s="117">
        <f>SUMIFS(F8:F245,C8:C245,"B",H8:H245,"bruģis")</f>
        <v>0.13</v>
      </c>
      <c r="W250" s="117">
        <f>SUMIFS(F8:F245,C8:C245,"B",H8:H245,"grants")</f>
        <v>0.46500000000000002</v>
      </c>
      <c r="X250" s="117">
        <f>SUMIFS(F8:F245,C8:C245,"B",H8:H245,"cits segums")</f>
        <v>0</v>
      </c>
      <c r="Y250" s="117">
        <f t="shared" ref="Y250:Y252" si="10">SUM(T250:X250)</f>
        <v>26.622999999999998</v>
      </c>
      <c r="Z250" s="120" t="s">
        <v>39</v>
      </c>
      <c r="AA250" s="117">
        <f>SUMIFS(F8:F245,C8:C245,"B",H8:H245,"melnais", Q8:Q245,"Nepiederošs")</f>
        <v>0</v>
      </c>
      <c r="AB250" s="117">
        <f>SUMIFS(F8:F245,C8:C245,"B",H8:H245,"dubultā virsma", Q8:Q245,"Nepiederošs")</f>
        <v>0</v>
      </c>
      <c r="AC250" s="117">
        <f>SUMIFS(F8:F245,C8:C245,"B",H8:H245,"bruģis", Q8:Q245,"Nepiederošs")</f>
        <v>0</v>
      </c>
      <c r="AD250" s="117">
        <f>SUMIFS(F8:F245,C8:C245,"B",H8:H245,"grants", Q8:Q245,"Nepiederošs")</f>
        <v>0</v>
      </c>
      <c r="AE250" s="117">
        <f>SUMIFS(F8:F245,C8:C245,"B",H8:H245,"cits segums", Q8:Q245,"Nepiederošs")</f>
        <v>0</v>
      </c>
      <c r="AF250" s="117">
        <f t="shared" ref="AF250:AF252" si="11">SUM(AA250:AE250)</f>
        <v>0</v>
      </c>
    </row>
    <row r="251" spans="1:32" ht="12.75" customHeight="1" x14ac:dyDescent="0.2">
      <c r="A251" s="105" t="s">
        <v>224</v>
      </c>
      <c r="B251" s="106"/>
      <c r="C251" s="111"/>
      <c r="D251" s="106"/>
      <c r="E251" s="112"/>
      <c r="F251" s="113">
        <f>SUMIFS(F8:F245,H8:H245,"grants")</f>
        <v>19.690999999999999</v>
      </c>
      <c r="G251" s="114">
        <f>SUMIFS(G8:G245,H8:H245,"grants")</f>
        <v>83223</v>
      </c>
      <c r="J251" s="92"/>
      <c r="N251" s="92"/>
      <c r="O251" s="92"/>
      <c r="P251" s="92"/>
      <c r="Q251" s="92"/>
      <c r="S251" s="121" t="s">
        <v>34</v>
      </c>
      <c r="T251" s="117">
        <f>SUMIFS(F8:F245,C8:C245,"C",H8:H245,"melnais")</f>
        <v>2.5549999999999997</v>
      </c>
      <c r="U251" s="117">
        <f>SUMIFS(F8:F245,C8:C245,"C",H8:H245,"dubultā virsma")</f>
        <v>0</v>
      </c>
      <c r="V251" s="117">
        <f>SUMIFS(F8:F245,C8:C245,"C",H8:H245,"bruģis")</f>
        <v>0</v>
      </c>
      <c r="W251" s="117">
        <f>SUMIFS(F8:F245,C8:C245,"C",H8:H245,"grants")</f>
        <v>0.67999999999999994</v>
      </c>
      <c r="X251" s="117">
        <f>SUMIFS(F8:F245,C8:C245,"C",H8:H245,"cits segums")</f>
        <v>0</v>
      </c>
      <c r="Y251" s="117">
        <f t="shared" si="10"/>
        <v>3.2349999999999994</v>
      </c>
      <c r="Z251" s="121" t="s">
        <v>34</v>
      </c>
      <c r="AA251" s="117">
        <f>SUMIFS(F8:F245,C8:C245,"C",H8:H245,"melnais", Q8:Q245,"Nepiederošs")</f>
        <v>0</v>
      </c>
      <c r="AB251" s="117">
        <f>SUMIFS(F8:F245,C8:C245,"C",H8:H245,"dubultā virsma", Q8:Q245,"Nepiederošs")</f>
        <v>0</v>
      </c>
      <c r="AC251" s="117">
        <f>SUMIFS(F8:F245,C8:C245,"C",H8:H245,"bruģis", Q8:Q245,"Nepiederošs")</f>
        <v>0</v>
      </c>
      <c r="AD251" s="117">
        <f>SUMIFS(F8:F245,C8:C245,"C",H8:H245,"grants", Q8:Q245,"Nepiederošs")</f>
        <v>0</v>
      </c>
      <c r="AE251" s="117">
        <f>SUMIFS(F8:F245,C8:C245,"C",H8:H245,"cits segums", Q8:Q245,"Nepiederošs")</f>
        <v>0</v>
      </c>
      <c r="AF251" s="117">
        <f t="shared" si="11"/>
        <v>0</v>
      </c>
    </row>
    <row r="252" spans="1:32" ht="12.75" customHeight="1" x14ac:dyDescent="0.2">
      <c r="A252" s="105" t="s">
        <v>225</v>
      </c>
      <c r="B252" s="106"/>
      <c r="C252" s="111"/>
      <c r="D252" s="106"/>
      <c r="E252" s="112"/>
      <c r="F252" s="107">
        <f>SUMIFS(F8:F245,H8:H245,"cits segums")</f>
        <v>7.4999999999999997E-2</v>
      </c>
      <c r="G252" s="119">
        <f>SUMIFS(G8:G245,H8:H245,"cits segums")</f>
        <v>225</v>
      </c>
      <c r="J252" s="122"/>
      <c r="N252" s="92"/>
      <c r="O252" s="92"/>
      <c r="P252" s="92"/>
      <c r="Q252" s="92"/>
      <c r="S252" s="116" t="s">
        <v>26</v>
      </c>
      <c r="T252" s="117">
        <f>SUMIFS(F8:F245,C8:C245,"D",H8:H245,"melnais")</f>
        <v>12.157</v>
      </c>
      <c r="U252" s="117">
        <f>SUMIFS(F8:F245,C8:C245,"D",H8:H245,"dubultā virsma")</f>
        <v>8.7050000000000001</v>
      </c>
      <c r="V252" s="117">
        <f>SUMIFS(F8:F245,C8:C245,"D",H8:H245,"bruģis")</f>
        <v>3.4780000000000002</v>
      </c>
      <c r="W252" s="117">
        <f>SUMIFS(F8:F245,C8:C245,"D",H8:H245,"grants")</f>
        <v>18.545999999999989</v>
      </c>
      <c r="X252" s="117">
        <f>SUMIFS(F8:F245,C8:C245,"D",H8:H245,"cits segums")</f>
        <v>7.4999999999999997E-2</v>
      </c>
      <c r="Y252" s="117">
        <f t="shared" si="10"/>
        <v>42.960999999999999</v>
      </c>
      <c r="Z252" s="116" t="s">
        <v>26</v>
      </c>
      <c r="AA252" s="117">
        <f>SUMIFS(F8:F245,C8:C245,"D",H8:H245,"melnais", Q8:Q245,"Nepiederošs")</f>
        <v>0</v>
      </c>
      <c r="AB252" s="117">
        <f>SUMIFS(F8:F245,C8:C245,"D",H8:H245,"dubultā virsma", Q8:Q245,"Nepiederošs")</f>
        <v>0</v>
      </c>
      <c r="AC252" s="117">
        <f>SUMIFS(F8:F245,C8:C245,"D",H8:H245,"bruģis", Q8:Q245,"Nepiederošs")</f>
        <v>0</v>
      </c>
      <c r="AD252" s="117">
        <f>SUMIFS(F8:F245,C8:C245,"D",H8:H245,"grants", Q8:Q245,"Nepiederošs")</f>
        <v>0</v>
      </c>
      <c r="AE252" s="117">
        <f>SUMIFS(F8:F245,C8:C245,"D",H8:H245,"cits segums", Q8:Q245,"Nepiederošs")</f>
        <v>0</v>
      </c>
      <c r="AF252" s="117">
        <f t="shared" si="11"/>
        <v>0</v>
      </c>
    </row>
    <row r="253" spans="1:32" ht="12.75" customHeight="1" x14ac:dyDescent="0.25">
      <c r="A253" s="2"/>
      <c r="B253" s="2"/>
      <c r="C253" s="1"/>
      <c r="D253" s="2"/>
      <c r="E253" s="2"/>
      <c r="F253" s="123"/>
      <c r="G253" s="124"/>
      <c r="H253" s="125"/>
      <c r="I253" s="89"/>
      <c r="J253" s="122"/>
      <c r="N253" s="92"/>
      <c r="O253" s="92"/>
      <c r="P253" s="92"/>
      <c r="Q253" s="92"/>
      <c r="S253"/>
      <c r="T253" s="126">
        <f>SUM(T249:T252)</f>
        <v>40.739999999999995</v>
      </c>
      <c r="U253" s="126">
        <f t="shared" ref="U253:Y253" si="12">SUM(U249:U252)</f>
        <v>8.7050000000000001</v>
      </c>
      <c r="V253" s="126">
        <f t="shared" si="12"/>
        <v>3.6080000000000001</v>
      </c>
      <c r="W253" s="126">
        <f t="shared" si="12"/>
        <v>19.690999999999988</v>
      </c>
      <c r="X253" s="126">
        <f t="shared" si="12"/>
        <v>7.4999999999999997E-2</v>
      </c>
      <c r="Y253" s="126">
        <f t="shared" si="12"/>
        <v>72.818999999999988</v>
      </c>
      <c r="Z253"/>
      <c r="AA253" s="126">
        <f>SUM(AA249:AA252)</f>
        <v>0</v>
      </c>
      <c r="AB253" s="126">
        <f t="shared" ref="AB253" si="13">SUM(AB249:AB252)</f>
        <v>0</v>
      </c>
      <c r="AC253" s="126">
        <f>SUM(AC249:AC252)</f>
        <v>0</v>
      </c>
      <c r="AD253" s="126">
        <f t="shared" ref="AD253:AF253" si="14">SUM(AD249:AD252)</f>
        <v>0</v>
      </c>
      <c r="AE253" s="126">
        <f t="shared" si="14"/>
        <v>0</v>
      </c>
      <c r="AF253" s="126">
        <f t="shared" si="14"/>
        <v>0</v>
      </c>
    </row>
    <row r="254" spans="1:32" s="2" customFormat="1" ht="15" customHeight="1" x14ac:dyDescent="0.25">
      <c r="A254" s="1"/>
      <c r="C254" s="1"/>
      <c r="D254" s="6" t="s">
        <v>226</v>
      </c>
      <c r="E254" s="127"/>
      <c r="F254" s="127"/>
      <c r="G254" s="127"/>
      <c r="H254" s="127"/>
      <c r="I254" s="127"/>
      <c r="J254" s="127"/>
      <c r="K254" s="127"/>
      <c r="L254" s="127"/>
      <c r="M254" s="127"/>
      <c r="N254" s="127"/>
      <c r="O254" s="127"/>
      <c r="P254" s="127"/>
      <c r="Q254" s="4"/>
      <c r="R254" s="7"/>
    </row>
    <row r="255" spans="1:32" ht="12.75" customHeight="1" x14ac:dyDescent="0.2">
      <c r="A255" s="8" t="s">
        <v>2</v>
      </c>
      <c r="B255" s="9" t="s">
        <v>3</v>
      </c>
      <c r="C255" s="10"/>
      <c r="D255" s="11" t="s">
        <v>4</v>
      </c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3"/>
      <c r="Q255" s="14" t="s">
        <v>5</v>
      </c>
      <c r="R255" s="15"/>
    </row>
    <row r="256" spans="1:32" ht="12.75" customHeight="1" x14ac:dyDescent="0.2">
      <c r="A256" s="8"/>
      <c r="B256" s="9"/>
      <c r="C256" s="17"/>
      <c r="D256" s="9" t="s">
        <v>6</v>
      </c>
      <c r="E256" s="9"/>
      <c r="F256" s="9"/>
      <c r="G256" s="9"/>
      <c r="H256" s="9"/>
      <c r="I256" s="18" t="s">
        <v>7</v>
      </c>
      <c r="J256" s="18"/>
      <c r="K256" s="18"/>
      <c r="L256" s="18"/>
      <c r="M256" s="18"/>
      <c r="N256" s="18"/>
      <c r="O256" s="18"/>
      <c r="P256" s="19" t="s">
        <v>8</v>
      </c>
      <c r="Q256" s="20"/>
      <c r="R256" s="21"/>
    </row>
    <row r="257" spans="1:18" ht="15.2" customHeight="1" x14ac:dyDescent="0.2">
      <c r="A257" s="8"/>
      <c r="B257" s="9"/>
      <c r="C257" s="17"/>
      <c r="D257" s="9" t="s">
        <v>9</v>
      </c>
      <c r="E257" s="9"/>
      <c r="F257" s="8" t="s">
        <v>10</v>
      </c>
      <c r="G257" s="8" t="s">
        <v>11</v>
      </c>
      <c r="H257" s="8" t="s">
        <v>12</v>
      </c>
      <c r="I257" s="18" t="s">
        <v>13</v>
      </c>
      <c r="J257" s="18" t="s">
        <v>14</v>
      </c>
      <c r="K257" s="18"/>
      <c r="L257" s="22" t="s">
        <v>15</v>
      </c>
      <c r="M257" s="22" t="s">
        <v>11</v>
      </c>
      <c r="N257" s="22" t="s">
        <v>16</v>
      </c>
      <c r="O257" s="22" t="s">
        <v>17</v>
      </c>
      <c r="P257" s="23"/>
      <c r="Q257" s="23" t="s">
        <v>18</v>
      </c>
      <c r="R257" s="24" t="s">
        <v>19</v>
      </c>
    </row>
    <row r="258" spans="1:18" ht="33.75" customHeight="1" x14ac:dyDescent="0.2">
      <c r="A258" s="8"/>
      <c r="B258" s="9"/>
      <c r="C258" s="25" t="s">
        <v>20</v>
      </c>
      <c r="D258" s="26" t="s">
        <v>21</v>
      </c>
      <c r="E258" s="26" t="s">
        <v>22</v>
      </c>
      <c r="F258" s="8"/>
      <c r="G258" s="8"/>
      <c r="H258" s="8"/>
      <c r="I258" s="18"/>
      <c r="J258" s="27" t="s">
        <v>23</v>
      </c>
      <c r="K258" s="27" t="s">
        <v>24</v>
      </c>
      <c r="L258" s="22"/>
      <c r="M258" s="22"/>
      <c r="N258" s="22"/>
      <c r="O258" s="22"/>
      <c r="P258" s="28"/>
      <c r="Q258" s="28"/>
      <c r="R258" s="29"/>
    </row>
    <row r="259" spans="1:18" s="32" customFormat="1" ht="12" customHeight="1" x14ac:dyDescent="0.25">
      <c r="A259" s="30">
        <v>1</v>
      </c>
      <c r="B259" s="30">
        <v>2</v>
      </c>
      <c r="C259" s="30"/>
      <c r="D259" s="30">
        <v>3</v>
      </c>
      <c r="E259" s="30">
        <v>4</v>
      </c>
      <c r="F259" s="30">
        <v>5</v>
      </c>
      <c r="G259" s="30">
        <v>6</v>
      </c>
      <c r="H259" s="30">
        <v>7</v>
      </c>
      <c r="I259" s="31">
        <v>8</v>
      </c>
      <c r="J259" s="31">
        <v>9</v>
      </c>
      <c r="K259" s="31">
        <v>10</v>
      </c>
      <c r="L259" s="31">
        <v>11</v>
      </c>
      <c r="M259" s="31">
        <v>12</v>
      </c>
      <c r="N259" s="31">
        <v>13</v>
      </c>
      <c r="O259" s="31">
        <v>14</v>
      </c>
      <c r="P259" s="31">
        <v>15</v>
      </c>
      <c r="Q259" s="31">
        <v>16</v>
      </c>
      <c r="R259" s="30">
        <v>17</v>
      </c>
    </row>
    <row r="260" spans="1:18" x14ac:dyDescent="0.2">
      <c r="A260" s="128">
        <v>1</v>
      </c>
      <c r="B260" s="129" t="s">
        <v>227</v>
      </c>
      <c r="C260" s="130" t="s">
        <v>26</v>
      </c>
      <c r="D260" s="131">
        <v>0</v>
      </c>
      <c r="E260" s="131">
        <f>D260+F260</f>
        <v>9.1999999999999998E-2</v>
      </c>
      <c r="F260" s="131">
        <v>9.1999999999999998E-2</v>
      </c>
      <c r="G260" s="132">
        <v>276</v>
      </c>
      <c r="H260" s="133" t="s">
        <v>27</v>
      </c>
      <c r="I260" s="133"/>
      <c r="J260" s="133"/>
      <c r="K260" s="133"/>
      <c r="L260" s="133"/>
      <c r="M260" s="133"/>
      <c r="N260" s="133"/>
      <c r="O260" s="133"/>
      <c r="P260" s="133"/>
      <c r="Q260" s="130">
        <v>80940040468</v>
      </c>
      <c r="R260" s="130">
        <v>80940040468</v>
      </c>
    </row>
    <row r="261" spans="1:18" x14ac:dyDescent="0.2">
      <c r="A261" s="134"/>
      <c r="B261" s="135"/>
      <c r="C261" s="130" t="s">
        <v>26</v>
      </c>
      <c r="D261" s="131">
        <f>E260</f>
        <v>9.1999999999999998E-2</v>
      </c>
      <c r="E261" s="131">
        <f t="shared" ref="E261:E290" si="15">D261+F261</f>
        <v>0.184</v>
      </c>
      <c r="F261" s="131">
        <v>9.1999999999999998E-2</v>
      </c>
      <c r="G261" s="132">
        <v>276</v>
      </c>
      <c r="H261" s="133" t="s">
        <v>27</v>
      </c>
      <c r="I261" s="133"/>
      <c r="J261" s="133"/>
      <c r="K261" s="133"/>
      <c r="L261" s="133"/>
      <c r="M261" s="133"/>
      <c r="N261" s="133"/>
      <c r="O261" s="133"/>
      <c r="P261" s="133"/>
      <c r="Q261" s="130">
        <v>80940040103</v>
      </c>
      <c r="R261" s="130">
        <v>80940040765</v>
      </c>
    </row>
    <row r="262" spans="1:18" x14ac:dyDescent="0.2">
      <c r="A262" s="134"/>
      <c r="B262" s="135"/>
      <c r="C262" s="130" t="s">
        <v>26</v>
      </c>
      <c r="D262" s="131">
        <f t="shared" ref="D262:D274" si="16">E261</f>
        <v>0.184</v>
      </c>
      <c r="E262" s="131">
        <f t="shared" si="15"/>
        <v>0.27500000000000002</v>
      </c>
      <c r="F262" s="131">
        <v>9.0999999999999998E-2</v>
      </c>
      <c r="G262" s="132">
        <v>273</v>
      </c>
      <c r="H262" s="133" t="s">
        <v>27</v>
      </c>
      <c r="I262" s="133"/>
      <c r="J262" s="133"/>
      <c r="K262" s="133"/>
      <c r="L262" s="133"/>
      <c r="M262" s="133"/>
      <c r="N262" s="133"/>
      <c r="O262" s="133"/>
      <c r="P262" s="133"/>
      <c r="Q262" s="130">
        <v>80940040089</v>
      </c>
      <c r="R262" s="130">
        <v>80940040764</v>
      </c>
    </row>
    <row r="263" spans="1:18" x14ac:dyDescent="0.2">
      <c r="A263" s="136"/>
      <c r="B263" s="137"/>
      <c r="C263" s="130" t="s">
        <v>26</v>
      </c>
      <c r="D263" s="131">
        <f t="shared" si="16"/>
        <v>0.27500000000000002</v>
      </c>
      <c r="E263" s="131">
        <f t="shared" si="15"/>
        <v>0.33</v>
      </c>
      <c r="F263" s="131">
        <v>5.5E-2</v>
      </c>
      <c r="G263" s="132">
        <v>165</v>
      </c>
      <c r="H263" s="133" t="s">
        <v>27</v>
      </c>
      <c r="I263" s="133"/>
      <c r="J263" s="133"/>
      <c r="K263" s="133"/>
      <c r="L263" s="133"/>
      <c r="M263" s="133"/>
      <c r="N263" s="133"/>
      <c r="O263" s="133"/>
      <c r="P263" s="133"/>
      <c r="Q263" s="130">
        <v>80940040460</v>
      </c>
      <c r="R263" s="130">
        <v>80940040460</v>
      </c>
    </row>
    <row r="264" spans="1:18" x14ac:dyDescent="0.2">
      <c r="A264" s="51">
        <v>2</v>
      </c>
      <c r="B264" s="34" t="s">
        <v>228</v>
      </c>
      <c r="C264" s="130" t="s">
        <v>26</v>
      </c>
      <c r="D264" s="36">
        <v>0</v>
      </c>
      <c r="E264" s="36">
        <f t="shared" si="15"/>
        <v>0.54</v>
      </c>
      <c r="F264" s="36">
        <v>0.54</v>
      </c>
      <c r="G264" s="65">
        <v>2430</v>
      </c>
      <c r="H264" s="38" t="s">
        <v>27</v>
      </c>
      <c r="I264" s="38"/>
      <c r="J264" s="38"/>
      <c r="K264" s="38"/>
      <c r="L264" s="38"/>
      <c r="M264" s="38"/>
      <c r="N264" s="38"/>
      <c r="O264" s="38"/>
      <c r="P264" s="38"/>
      <c r="Q264" s="35">
        <v>80940040688</v>
      </c>
      <c r="R264" s="35">
        <v>80940040688</v>
      </c>
    </row>
    <row r="265" spans="1:18" x14ac:dyDescent="0.2">
      <c r="A265" s="130">
        <v>3</v>
      </c>
      <c r="B265" s="138" t="s">
        <v>229</v>
      </c>
      <c r="C265" s="130" t="s">
        <v>26</v>
      </c>
      <c r="D265" s="131">
        <v>0</v>
      </c>
      <c r="E265" s="131">
        <v>0.41099999999999998</v>
      </c>
      <c r="F265" s="131">
        <v>0.41099999999999998</v>
      </c>
      <c r="G265" s="132">
        <v>1693</v>
      </c>
      <c r="H265" s="38" t="s">
        <v>32</v>
      </c>
      <c r="I265" s="133"/>
      <c r="J265" s="133"/>
      <c r="K265" s="133"/>
      <c r="L265" s="133"/>
      <c r="M265" s="133"/>
      <c r="N265" s="133"/>
      <c r="O265" s="133"/>
      <c r="P265" s="133"/>
      <c r="Q265" s="130">
        <v>80940040686</v>
      </c>
      <c r="R265" s="130">
        <v>80940040686</v>
      </c>
    </row>
    <row r="266" spans="1:18" x14ac:dyDescent="0.2">
      <c r="A266" s="128">
        <v>4</v>
      </c>
      <c r="B266" s="129" t="s">
        <v>230</v>
      </c>
      <c r="C266" s="130" t="s">
        <v>26</v>
      </c>
      <c r="D266" s="131">
        <v>0</v>
      </c>
      <c r="E266" s="131">
        <f t="shared" si="15"/>
        <v>0.40500000000000003</v>
      </c>
      <c r="F266" s="131">
        <v>0.40500000000000003</v>
      </c>
      <c r="G266" s="132">
        <v>2025</v>
      </c>
      <c r="H266" s="38" t="s">
        <v>32</v>
      </c>
      <c r="I266" s="133"/>
      <c r="J266" s="133"/>
      <c r="K266" s="133"/>
      <c r="L266" s="133"/>
      <c r="M266" s="133"/>
      <c r="N266" s="133"/>
      <c r="O266" s="133"/>
      <c r="P266" s="133"/>
      <c r="Q266" s="139">
        <v>80940040685</v>
      </c>
      <c r="R266" s="139">
        <v>80940040685</v>
      </c>
    </row>
    <row r="267" spans="1:18" x14ac:dyDescent="0.2">
      <c r="A267" s="136"/>
      <c r="B267" s="137"/>
      <c r="C267" s="130" t="s">
        <v>26</v>
      </c>
      <c r="D267" s="131">
        <f t="shared" si="16"/>
        <v>0.40500000000000003</v>
      </c>
      <c r="E267" s="131">
        <f t="shared" si="15"/>
        <v>0.43500000000000005</v>
      </c>
      <c r="F267" s="131">
        <v>0.03</v>
      </c>
      <c r="G267" s="132">
        <v>150</v>
      </c>
      <c r="H267" s="38" t="s">
        <v>32</v>
      </c>
      <c r="I267" s="133"/>
      <c r="J267" s="133"/>
      <c r="K267" s="133"/>
      <c r="L267" s="133"/>
      <c r="M267" s="133"/>
      <c r="N267" s="133"/>
      <c r="O267" s="133"/>
      <c r="P267" s="133"/>
      <c r="Q267" s="130">
        <v>80940040452</v>
      </c>
      <c r="R267" s="130">
        <v>80940040452</v>
      </c>
    </row>
    <row r="268" spans="1:18" x14ac:dyDescent="0.2">
      <c r="A268" s="130">
        <v>5</v>
      </c>
      <c r="B268" s="138" t="s">
        <v>231</v>
      </c>
      <c r="C268" s="130" t="s">
        <v>26</v>
      </c>
      <c r="D268" s="131">
        <v>0</v>
      </c>
      <c r="E268" s="131">
        <f t="shared" si="15"/>
        <v>0.25</v>
      </c>
      <c r="F268" s="131">
        <v>0.25</v>
      </c>
      <c r="G268" s="132">
        <v>750</v>
      </c>
      <c r="H268" s="133" t="s">
        <v>27</v>
      </c>
      <c r="I268" s="133"/>
      <c r="J268" s="133"/>
      <c r="K268" s="133"/>
      <c r="L268" s="133"/>
      <c r="M268" s="133"/>
      <c r="N268" s="133"/>
      <c r="O268" s="133"/>
      <c r="P268" s="133"/>
      <c r="Q268" s="130">
        <v>80940040981</v>
      </c>
      <c r="R268" s="130">
        <v>80940040981</v>
      </c>
    </row>
    <row r="269" spans="1:18" x14ac:dyDescent="0.2">
      <c r="A269" s="128">
        <v>6</v>
      </c>
      <c r="B269" s="129" t="s">
        <v>232</v>
      </c>
      <c r="C269" s="130" t="s">
        <v>26</v>
      </c>
      <c r="D269" s="131">
        <v>0</v>
      </c>
      <c r="E269" s="131">
        <f t="shared" si="15"/>
        <v>0.32300000000000001</v>
      </c>
      <c r="F269" s="131">
        <v>0.32300000000000001</v>
      </c>
      <c r="G269" s="132">
        <v>2100</v>
      </c>
      <c r="H269" s="133" t="s">
        <v>29</v>
      </c>
      <c r="I269" s="133"/>
      <c r="J269" s="133"/>
      <c r="K269" s="133"/>
      <c r="L269" s="133"/>
      <c r="M269" s="133"/>
      <c r="N269" s="133"/>
      <c r="O269" s="133"/>
      <c r="P269" s="133"/>
      <c r="Q269" s="130">
        <v>80940040853</v>
      </c>
      <c r="R269" s="130">
        <v>80940040853</v>
      </c>
    </row>
    <row r="270" spans="1:18" x14ac:dyDescent="0.2">
      <c r="A270" s="134"/>
      <c r="B270" s="135"/>
      <c r="C270" s="130" t="s">
        <v>26</v>
      </c>
      <c r="D270" s="131">
        <f t="shared" si="16"/>
        <v>0.32300000000000001</v>
      </c>
      <c r="E270" s="131">
        <f t="shared" si="15"/>
        <v>0.437</v>
      </c>
      <c r="F270" s="131">
        <v>0.114</v>
      </c>
      <c r="G270" s="132">
        <v>399</v>
      </c>
      <c r="H270" s="133" t="s">
        <v>27</v>
      </c>
      <c r="I270" s="133"/>
      <c r="J270" s="133"/>
      <c r="K270" s="133"/>
      <c r="L270" s="133"/>
      <c r="M270" s="133"/>
      <c r="N270" s="133"/>
      <c r="O270" s="133"/>
      <c r="P270" s="133"/>
      <c r="Q270" s="130">
        <v>80940040853</v>
      </c>
      <c r="R270" s="130">
        <v>80940040853</v>
      </c>
    </row>
    <row r="271" spans="1:18" x14ac:dyDescent="0.2">
      <c r="A271" s="130">
        <v>7</v>
      </c>
      <c r="B271" s="138" t="s">
        <v>233</v>
      </c>
      <c r="C271" s="130" t="s">
        <v>26</v>
      </c>
      <c r="D271" s="131">
        <v>0</v>
      </c>
      <c r="E271" s="131">
        <f t="shared" si="15"/>
        <v>0.39500000000000002</v>
      </c>
      <c r="F271" s="131">
        <v>0.39500000000000002</v>
      </c>
      <c r="G271" s="132">
        <v>1580</v>
      </c>
      <c r="H271" s="133" t="s">
        <v>27</v>
      </c>
      <c r="I271" s="133"/>
      <c r="J271" s="133"/>
      <c r="K271" s="133"/>
      <c r="L271" s="133"/>
      <c r="M271" s="133"/>
      <c r="N271" s="133"/>
      <c r="O271" s="133"/>
      <c r="P271" s="133"/>
      <c r="Q271" s="130">
        <v>80940040692</v>
      </c>
      <c r="R271" s="130">
        <v>80940040692</v>
      </c>
    </row>
    <row r="272" spans="1:18" x14ac:dyDescent="0.2">
      <c r="A272" s="130">
        <v>8</v>
      </c>
      <c r="B272" s="138" t="s">
        <v>234</v>
      </c>
      <c r="C272" s="130" t="s">
        <v>26</v>
      </c>
      <c r="D272" s="131">
        <v>0</v>
      </c>
      <c r="E272" s="131">
        <f t="shared" si="15"/>
        <v>0.54</v>
      </c>
      <c r="F272" s="131">
        <v>0.54</v>
      </c>
      <c r="G272" s="132">
        <v>2160</v>
      </c>
      <c r="H272" s="133" t="s">
        <v>27</v>
      </c>
      <c r="I272" s="133"/>
      <c r="J272" s="133"/>
      <c r="K272" s="133"/>
      <c r="L272" s="133"/>
      <c r="M272" s="133"/>
      <c r="N272" s="133"/>
      <c r="O272" s="133"/>
      <c r="P272" s="133"/>
      <c r="Q272" s="139">
        <v>80940040689</v>
      </c>
      <c r="R272" s="139">
        <v>80940040689</v>
      </c>
    </row>
    <row r="273" spans="1:18" x14ac:dyDescent="0.2">
      <c r="A273" s="140">
        <v>9</v>
      </c>
      <c r="B273" s="129" t="s">
        <v>235</v>
      </c>
      <c r="C273" s="130" t="s">
        <v>34</v>
      </c>
      <c r="D273" s="131">
        <v>0</v>
      </c>
      <c r="E273" s="131">
        <f t="shared" si="15"/>
        <v>0.11</v>
      </c>
      <c r="F273" s="131">
        <v>0.11</v>
      </c>
      <c r="G273" s="132">
        <v>440</v>
      </c>
      <c r="H273" s="133" t="s">
        <v>70</v>
      </c>
      <c r="I273" s="133"/>
      <c r="J273" s="133"/>
      <c r="K273" s="133"/>
      <c r="L273" s="133"/>
      <c r="M273" s="133"/>
      <c r="N273" s="133"/>
      <c r="O273" s="133"/>
      <c r="P273" s="139"/>
      <c r="Q273" s="70" t="s">
        <v>137</v>
      </c>
      <c r="R273" s="130" t="s">
        <v>236</v>
      </c>
    </row>
    <row r="274" spans="1:18" x14ac:dyDescent="0.2">
      <c r="A274" s="141"/>
      <c r="B274" s="135"/>
      <c r="C274" s="130" t="s">
        <v>34</v>
      </c>
      <c r="D274" s="131">
        <f t="shared" si="16"/>
        <v>0.11</v>
      </c>
      <c r="E274" s="131">
        <f t="shared" si="15"/>
        <v>0.39499999999999996</v>
      </c>
      <c r="F274" s="131">
        <v>0.28499999999999998</v>
      </c>
      <c r="G274" s="132">
        <v>1710</v>
      </c>
      <c r="H274" s="133" t="s">
        <v>27</v>
      </c>
      <c r="I274" s="133"/>
      <c r="J274" s="133"/>
      <c r="K274" s="133"/>
      <c r="L274" s="133"/>
      <c r="M274" s="133"/>
      <c r="N274" s="133"/>
      <c r="O274" s="133"/>
      <c r="P274" s="139"/>
      <c r="Q274" s="70" t="s">
        <v>137</v>
      </c>
      <c r="R274" s="130" t="s">
        <v>236</v>
      </c>
    </row>
    <row r="275" spans="1:18" x14ac:dyDescent="0.2">
      <c r="A275" s="141"/>
      <c r="B275" s="135"/>
      <c r="C275" s="130" t="s">
        <v>34</v>
      </c>
      <c r="D275" s="131">
        <v>0.39500000000000002</v>
      </c>
      <c r="E275" s="131">
        <v>0.505</v>
      </c>
      <c r="F275" s="131">
        <v>0.11</v>
      </c>
      <c r="G275" s="132">
        <v>685</v>
      </c>
      <c r="H275" s="133" t="s">
        <v>29</v>
      </c>
      <c r="I275" s="133"/>
      <c r="J275" s="133"/>
      <c r="K275" s="133"/>
      <c r="L275" s="133"/>
      <c r="M275" s="133"/>
      <c r="N275" s="133"/>
      <c r="O275" s="133"/>
      <c r="P275" s="139"/>
      <c r="Q275" s="70" t="s">
        <v>137</v>
      </c>
      <c r="R275" s="130" t="s">
        <v>236</v>
      </c>
    </row>
    <row r="276" spans="1:18" x14ac:dyDescent="0.2">
      <c r="A276" s="141"/>
      <c r="B276" s="135"/>
      <c r="C276" s="130" t="s">
        <v>34</v>
      </c>
      <c r="D276" s="131">
        <v>0.505</v>
      </c>
      <c r="E276" s="131">
        <v>1.526</v>
      </c>
      <c r="F276" s="131">
        <v>0.63</v>
      </c>
      <c r="G276" s="132">
        <v>6110</v>
      </c>
      <c r="H276" s="133" t="s">
        <v>29</v>
      </c>
      <c r="I276" s="133"/>
      <c r="J276" s="133"/>
      <c r="K276" s="133"/>
      <c r="L276" s="133"/>
      <c r="M276" s="133"/>
      <c r="N276" s="133"/>
      <c r="O276" s="133"/>
      <c r="P276" s="139"/>
      <c r="Q276" s="70" t="s">
        <v>137</v>
      </c>
      <c r="R276" s="130" t="s">
        <v>236</v>
      </c>
    </row>
    <row r="277" spans="1:18" x14ac:dyDescent="0.2">
      <c r="A277" s="136"/>
      <c r="B277" s="137"/>
      <c r="C277" s="130" t="s">
        <v>34</v>
      </c>
      <c r="D277" s="131">
        <f>E276</f>
        <v>1.526</v>
      </c>
      <c r="E277" s="131">
        <v>2.0049999999999999</v>
      </c>
      <c r="F277" s="131">
        <f>E277-D277</f>
        <v>0.47899999999999987</v>
      </c>
      <c r="G277" s="132">
        <v>2874</v>
      </c>
      <c r="H277" s="133" t="s">
        <v>27</v>
      </c>
      <c r="I277" s="133"/>
      <c r="J277" s="133"/>
      <c r="K277" s="133"/>
      <c r="L277" s="133"/>
      <c r="M277" s="133"/>
      <c r="N277" s="133"/>
      <c r="O277" s="133"/>
      <c r="P277" s="130"/>
      <c r="Q277" s="70" t="s">
        <v>137</v>
      </c>
      <c r="R277" s="130" t="s">
        <v>236</v>
      </c>
    </row>
    <row r="278" spans="1:18" x14ac:dyDescent="0.2">
      <c r="A278" s="128">
        <v>10</v>
      </c>
      <c r="B278" s="129" t="s">
        <v>237</v>
      </c>
      <c r="C278" s="130" t="s">
        <v>34</v>
      </c>
      <c r="D278" s="131">
        <v>0</v>
      </c>
      <c r="E278" s="131">
        <f t="shared" si="15"/>
        <v>0.77</v>
      </c>
      <c r="F278" s="131">
        <v>0.77</v>
      </c>
      <c r="G278" s="132">
        <v>4848</v>
      </c>
      <c r="H278" s="133" t="s">
        <v>29</v>
      </c>
      <c r="I278" s="133"/>
      <c r="J278" s="133"/>
      <c r="K278" s="133"/>
      <c r="L278" s="133"/>
      <c r="M278" s="133"/>
      <c r="N278" s="133"/>
      <c r="O278" s="133"/>
      <c r="P278" s="142">
        <v>357</v>
      </c>
      <c r="Q278" s="70" t="s">
        <v>137</v>
      </c>
      <c r="R278" s="130" t="s">
        <v>238</v>
      </c>
    </row>
    <row r="279" spans="1:18" x14ac:dyDescent="0.2">
      <c r="A279" s="136"/>
      <c r="B279" s="137"/>
      <c r="C279" s="130" t="s">
        <v>34</v>
      </c>
      <c r="D279" s="131">
        <f>E278</f>
        <v>0.77</v>
      </c>
      <c r="E279" s="131">
        <f t="shared" si="15"/>
        <v>0.92500000000000004</v>
      </c>
      <c r="F279" s="131">
        <v>0.155</v>
      </c>
      <c r="G279" s="132">
        <v>698</v>
      </c>
      <c r="H279" s="133" t="s">
        <v>27</v>
      </c>
      <c r="I279" s="133"/>
      <c r="J279" s="133"/>
      <c r="K279" s="133"/>
      <c r="L279" s="133"/>
      <c r="M279" s="133"/>
      <c r="N279" s="133"/>
      <c r="O279" s="133"/>
      <c r="P279" s="130"/>
      <c r="Q279" s="70" t="s">
        <v>137</v>
      </c>
      <c r="R279" s="130" t="s">
        <v>238</v>
      </c>
    </row>
    <row r="280" spans="1:18" x14ac:dyDescent="0.2">
      <c r="A280" s="130">
        <v>11</v>
      </c>
      <c r="B280" s="138" t="s">
        <v>239</v>
      </c>
      <c r="C280" s="130" t="s">
        <v>26</v>
      </c>
      <c r="D280" s="131">
        <v>0</v>
      </c>
      <c r="E280" s="131">
        <f t="shared" si="15"/>
        <v>0.34</v>
      </c>
      <c r="F280" s="131">
        <v>0.34</v>
      </c>
      <c r="G280" s="132">
        <v>1360</v>
      </c>
      <c r="H280" s="133" t="s">
        <v>27</v>
      </c>
      <c r="I280" s="133"/>
      <c r="J280" s="133"/>
      <c r="K280" s="133"/>
      <c r="L280" s="133"/>
      <c r="M280" s="133"/>
      <c r="N280" s="133"/>
      <c r="O280" s="133"/>
      <c r="P280" s="133"/>
      <c r="Q280" s="130">
        <v>80940040691</v>
      </c>
      <c r="R280" s="130">
        <v>80940040691</v>
      </c>
    </row>
    <row r="281" spans="1:18" x14ac:dyDescent="0.2">
      <c r="A281" s="128">
        <v>12</v>
      </c>
      <c r="B281" s="129" t="s">
        <v>91</v>
      </c>
      <c r="C281" s="128" t="s">
        <v>26</v>
      </c>
      <c r="D281" s="131">
        <v>0.32500000000000001</v>
      </c>
      <c r="E281" s="131">
        <f t="shared" si="15"/>
        <v>0.88500000000000001</v>
      </c>
      <c r="F281" s="131">
        <v>0.56000000000000005</v>
      </c>
      <c r="G281" s="132">
        <v>3640</v>
      </c>
      <c r="H281" s="133" t="s">
        <v>27</v>
      </c>
      <c r="I281" s="133"/>
      <c r="J281" s="133"/>
      <c r="K281" s="133"/>
      <c r="L281" s="133"/>
      <c r="M281" s="133"/>
      <c r="N281" s="133"/>
      <c r="O281" s="133"/>
      <c r="P281" s="133"/>
      <c r="Q281" s="130">
        <v>80940040981</v>
      </c>
      <c r="R281" s="130">
        <v>80940040981</v>
      </c>
    </row>
    <row r="282" spans="1:18" ht="382.5" x14ac:dyDescent="0.2">
      <c r="A282" s="128">
        <v>13</v>
      </c>
      <c r="B282" s="143" t="s">
        <v>240</v>
      </c>
      <c r="C282" s="144" t="s">
        <v>26</v>
      </c>
      <c r="D282" s="145">
        <v>0</v>
      </c>
      <c r="E282" s="145">
        <v>0.77300000000000002</v>
      </c>
      <c r="F282" s="145">
        <v>0.77300000000000002</v>
      </c>
      <c r="G282" s="146">
        <v>3865</v>
      </c>
      <c r="H282" s="147" t="s">
        <v>29</v>
      </c>
      <c r="I282" s="133"/>
      <c r="J282" s="133"/>
      <c r="K282" s="133"/>
      <c r="L282" s="133"/>
      <c r="M282" s="133"/>
      <c r="N282" s="133"/>
      <c r="O282" s="133"/>
      <c r="P282" s="133"/>
      <c r="Q282" s="148" t="s">
        <v>241</v>
      </c>
      <c r="R282" s="148" t="s">
        <v>241</v>
      </c>
    </row>
    <row r="283" spans="1:18" x14ac:dyDescent="0.2">
      <c r="A283" s="130">
        <v>14</v>
      </c>
      <c r="B283" s="138" t="s">
        <v>242</v>
      </c>
      <c r="C283" s="130" t="s">
        <v>26</v>
      </c>
      <c r="D283" s="131">
        <v>0</v>
      </c>
      <c r="E283" s="131">
        <f t="shared" si="15"/>
        <v>0.185</v>
      </c>
      <c r="F283" s="131">
        <v>0.185</v>
      </c>
      <c r="G283" s="132">
        <v>555</v>
      </c>
      <c r="H283" s="133" t="s">
        <v>70</v>
      </c>
      <c r="I283" s="133"/>
      <c r="J283" s="133"/>
      <c r="K283" s="133"/>
      <c r="L283" s="133"/>
      <c r="M283" s="133"/>
      <c r="N283" s="133"/>
      <c r="O283" s="133"/>
      <c r="P283" s="133"/>
      <c r="Q283" s="130">
        <v>80940040302</v>
      </c>
      <c r="R283" s="130">
        <v>80940040635</v>
      </c>
    </row>
    <row r="284" spans="1:18" x14ac:dyDescent="0.2">
      <c r="A284" s="128">
        <v>15</v>
      </c>
      <c r="B284" s="129" t="s">
        <v>243</v>
      </c>
      <c r="C284" s="128"/>
      <c r="D284" s="131">
        <v>0</v>
      </c>
      <c r="E284" s="131">
        <v>0</v>
      </c>
      <c r="F284" s="131">
        <v>0</v>
      </c>
      <c r="G284" s="132">
        <v>0</v>
      </c>
      <c r="H284" s="133"/>
      <c r="I284" s="133"/>
      <c r="J284" s="133"/>
      <c r="K284" s="133"/>
      <c r="L284" s="133"/>
      <c r="M284" s="133"/>
      <c r="N284" s="133"/>
      <c r="O284" s="133"/>
      <c r="P284" s="133"/>
      <c r="Q284" s="130"/>
      <c r="R284" s="130"/>
    </row>
    <row r="285" spans="1:18" x14ac:dyDescent="0.2">
      <c r="A285" s="130">
        <v>16</v>
      </c>
      <c r="B285" s="129" t="s">
        <v>244</v>
      </c>
      <c r="C285" s="128" t="s">
        <v>34</v>
      </c>
      <c r="D285" s="131">
        <v>0.125</v>
      </c>
      <c r="E285" s="131">
        <f t="shared" si="15"/>
        <v>0.23499999999999999</v>
      </c>
      <c r="F285" s="131">
        <v>0.11</v>
      </c>
      <c r="G285" s="132">
        <v>605</v>
      </c>
      <c r="H285" s="133" t="s">
        <v>29</v>
      </c>
      <c r="I285" s="133"/>
      <c r="J285" s="133"/>
      <c r="K285" s="133"/>
      <c r="L285" s="133"/>
      <c r="M285" s="133"/>
      <c r="N285" s="133"/>
      <c r="O285" s="133"/>
      <c r="P285" s="133">
        <v>18</v>
      </c>
      <c r="Q285" s="130">
        <v>80940040303</v>
      </c>
      <c r="R285" s="130">
        <v>80940040656</v>
      </c>
    </row>
    <row r="286" spans="1:18" x14ac:dyDescent="0.2">
      <c r="A286" s="128">
        <v>17</v>
      </c>
      <c r="B286" s="138" t="s">
        <v>245</v>
      </c>
      <c r="C286" s="130" t="s">
        <v>26</v>
      </c>
      <c r="D286" s="131">
        <v>0</v>
      </c>
      <c r="E286" s="131">
        <f t="shared" si="15"/>
        <v>0.53500000000000003</v>
      </c>
      <c r="F286" s="131">
        <v>0.53500000000000003</v>
      </c>
      <c r="G286" s="132">
        <v>2675</v>
      </c>
      <c r="H286" s="38" t="s">
        <v>32</v>
      </c>
      <c r="I286" s="133"/>
      <c r="J286" s="133"/>
      <c r="K286" s="133"/>
      <c r="L286" s="133"/>
      <c r="M286" s="133"/>
      <c r="N286" s="133"/>
      <c r="O286" s="133"/>
      <c r="P286" s="133"/>
      <c r="Q286" s="130">
        <v>80940040687</v>
      </c>
      <c r="R286" s="130">
        <v>80940040687</v>
      </c>
    </row>
    <row r="287" spans="1:18" x14ac:dyDescent="0.2">
      <c r="A287" s="130">
        <v>18</v>
      </c>
      <c r="B287" s="138" t="s">
        <v>246</v>
      </c>
      <c r="C287" s="130" t="s">
        <v>26</v>
      </c>
      <c r="D287" s="131">
        <v>0</v>
      </c>
      <c r="E287" s="131">
        <f t="shared" si="15"/>
        <v>0.09</v>
      </c>
      <c r="F287" s="131">
        <v>0.09</v>
      </c>
      <c r="G287" s="132">
        <v>405</v>
      </c>
      <c r="H287" s="133" t="s">
        <v>27</v>
      </c>
      <c r="I287" s="133"/>
      <c r="J287" s="133"/>
      <c r="K287" s="133"/>
      <c r="L287" s="133"/>
      <c r="M287" s="133"/>
      <c r="N287" s="133"/>
      <c r="O287" s="133"/>
      <c r="P287" s="133"/>
      <c r="Q287" s="130">
        <v>80940040854</v>
      </c>
      <c r="R287" s="130">
        <v>80940040854</v>
      </c>
    </row>
    <row r="288" spans="1:18" ht="280.5" customHeight="1" x14ac:dyDescent="0.2">
      <c r="A288" s="128">
        <v>19</v>
      </c>
      <c r="B288" s="149" t="s">
        <v>247</v>
      </c>
      <c r="C288" s="148" t="s">
        <v>26</v>
      </c>
      <c r="D288" s="145">
        <v>0</v>
      </c>
      <c r="E288" s="145">
        <v>0.45100000000000001</v>
      </c>
      <c r="F288" s="145">
        <v>0.45100000000000001</v>
      </c>
      <c r="G288" s="146">
        <v>2255</v>
      </c>
      <c r="H288" s="147" t="s">
        <v>29</v>
      </c>
      <c r="I288" s="133"/>
      <c r="J288" s="133"/>
      <c r="K288" s="133"/>
      <c r="L288" s="133"/>
      <c r="M288" s="133"/>
      <c r="N288" s="133"/>
      <c r="O288" s="133"/>
      <c r="P288" s="133"/>
      <c r="Q288" s="148" t="s">
        <v>248</v>
      </c>
      <c r="R288" s="148" t="s">
        <v>248</v>
      </c>
    </row>
    <row r="289" spans="1:32" x14ac:dyDescent="0.2">
      <c r="A289" s="130">
        <v>20</v>
      </c>
      <c r="B289" s="138" t="s">
        <v>249</v>
      </c>
      <c r="C289" s="130" t="s">
        <v>26</v>
      </c>
      <c r="D289" s="131">
        <v>0</v>
      </c>
      <c r="E289" s="131">
        <f t="shared" si="15"/>
        <v>0.29499999999999998</v>
      </c>
      <c r="F289" s="131">
        <v>0.29499999999999998</v>
      </c>
      <c r="G289" s="132">
        <v>1328</v>
      </c>
      <c r="H289" s="38" t="s">
        <v>32</v>
      </c>
      <c r="I289" s="133"/>
      <c r="J289" s="133"/>
      <c r="K289" s="133"/>
      <c r="L289" s="133"/>
      <c r="M289" s="133"/>
      <c r="N289" s="133"/>
      <c r="O289" s="133"/>
      <c r="P289" s="133"/>
      <c r="Q289" s="130">
        <v>80940040690</v>
      </c>
      <c r="R289" s="130">
        <v>80940040690</v>
      </c>
    </row>
    <row r="290" spans="1:32" x14ac:dyDescent="0.2">
      <c r="A290" s="128">
        <v>21</v>
      </c>
      <c r="B290" s="129" t="s">
        <v>250</v>
      </c>
      <c r="C290" s="130" t="s">
        <v>39</v>
      </c>
      <c r="D290" s="131">
        <v>0</v>
      </c>
      <c r="E290" s="131">
        <f t="shared" si="15"/>
        <v>1.6850000000000001</v>
      </c>
      <c r="F290" s="131">
        <v>1.6850000000000001</v>
      </c>
      <c r="G290" s="132">
        <v>12600</v>
      </c>
      <c r="H290" s="133" t="s">
        <v>29</v>
      </c>
      <c r="I290" s="133"/>
      <c r="J290" s="133"/>
      <c r="K290" s="133"/>
      <c r="L290" s="133"/>
      <c r="M290" s="133"/>
      <c r="N290" s="133"/>
      <c r="O290" s="133"/>
      <c r="P290" s="133">
        <v>2518</v>
      </c>
      <c r="Q290" s="130">
        <v>80940040646</v>
      </c>
      <c r="R290" s="130">
        <v>80940040646</v>
      </c>
    </row>
    <row r="291" spans="1:32" x14ac:dyDescent="0.2">
      <c r="A291" s="128">
        <v>22</v>
      </c>
      <c r="B291" s="150" t="s">
        <v>251</v>
      </c>
      <c r="C291" s="130" t="s">
        <v>26</v>
      </c>
      <c r="D291" s="131">
        <v>0</v>
      </c>
      <c r="E291" s="131">
        <v>0.23100000000000001</v>
      </c>
      <c r="F291" s="131">
        <v>0.23100000000000001</v>
      </c>
      <c r="G291" s="132">
        <v>924</v>
      </c>
      <c r="H291" s="133" t="s">
        <v>29</v>
      </c>
      <c r="I291" s="133"/>
      <c r="J291" s="133"/>
      <c r="K291" s="133"/>
      <c r="L291" s="133"/>
      <c r="M291" s="133"/>
      <c r="N291" s="133"/>
      <c r="O291" s="133"/>
      <c r="P291" s="133"/>
      <c r="Q291" s="151" t="s">
        <v>252</v>
      </c>
      <c r="R291" s="148">
        <v>80940041172</v>
      </c>
    </row>
    <row r="292" spans="1:32" ht="22.5" x14ac:dyDescent="0.2">
      <c r="A292" s="134"/>
      <c r="B292" s="152"/>
      <c r="C292" s="130" t="s">
        <v>26</v>
      </c>
      <c r="D292" s="131">
        <v>0.23100000000000001</v>
      </c>
      <c r="E292" s="131">
        <v>0.55400000000000005</v>
      </c>
      <c r="F292" s="131">
        <v>0.32300000000000001</v>
      </c>
      <c r="G292" s="132">
        <v>1292</v>
      </c>
      <c r="H292" s="133" t="s">
        <v>27</v>
      </c>
      <c r="I292" s="133"/>
      <c r="J292" s="133"/>
      <c r="K292" s="133"/>
      <c r="L292" s="133"/>
      <c r="M292" s="133"/>
      <c r="N292" s="133"/>
      <c r="O292" s="133"/>
      <c r="P292" s="133"/>
      <c r="Q292" s="151" t="s">
        <v>252</v>
      </c>
      <c r="R292" s="148" t="s">
        <v>253</v>
      </c>
    </row>
    <row r="293" spans="1:32" x14ac:dyDescent="0.2">
      <c r="A293" s="134"/>
      <c r="B293" s="152"/>
      <c r="C293" s="130" t="s">
        <v>26</v>
      </c>
      <c r="D293" s="131">
        <v>0.55400000000000005</v>
      </c>
      <c r="E293" s="131">
        <v>0.71199999999999997</v>
      </c>
      <c r="F293" s="131">
        <v>0.16800000000000001</v>
      </c>
      <c r="G293" s="132">
        <v>672</v>
      </c>
      <c r="H293" s="133" t="s">
        <v>27</v>
      </c>
      <c r="I293" s="133"/>
      <c r="J293" s="133"/>
      <c r="K293" s="133"/>
      <c r="L293" s="133"/>
      <c r="M293" s="133"/>
      <c r="N293" s="133"/>
      <c r="O293" s="133"/>
      <c r="P293" s="133"/>
      <c r="Q293" s="130">
        <v>80940041193</v>
      </c>
      <c r="R293" s="130">
        <v>80940041193</v>
      </c>
    </row>
    <row r="294" spans="1:32" ht="15" x14ac:dyDescent="0.25">
      <c r="A294" s="136"/>
      <c r="B294" s="153" t="s">
        <v>254</v>
      </c>
      <c r="C294" s="130" t="s">
        <v>26</v>
      </c>
      <c r="D294" s="131">
        <v>0</v>
      </c>
      <c r="E294" s="131">
        <v>0.188</v>
      </c>
      <c r="F294" s="131">
        <v>0.188</v>
      </c>
      <c r="G294" s="132">
        <v>752</v>
      </c>
      <c r="H294" s="133" t="s">
        <v>27</v>
      </c>
      <c r="I294" s="133"/>
      <c r="J294" s="133"/>
      <c r="K294" s="133"/>
      <c r="L294" s="133"/>
      <c r="M294" s="133"/>
      <c r="N294" s="133"/>
      <c r="O294" s="133"/>
      <c r="P294" s="133"/>
      <c r="Q294" s="130">
        <v>80940041193</v>
      </c>
      <c r="R294" s="130">
        <v>80940041193</v>
      </c>
      <c r="S294"/>
    </row>
    <row r="295" spans="1:32" ht="12.75" customHeight="1" x14ac:dyDescent="0.25">
      <c r="A295" s="154" t="s">
        <v>255</v>
      </c>
      <c r="B295" s="155"/>
      <c r="C295" s="156"/>
      <c r="D295" s="155"/>
      <c r="E295" s="157"/>
      <c r="F295" s="158">
        <f>SUM(F260:F294)</f>
        <v>11.811</v>
      </c>
      <c r="G295" s="159">
        <f>SUM(G260:G294)</f>
        <v>64570</v>
      </c>
      <c r="H295" s="160"/>
      <c r="I295" s="16"/>
      <c r="J295" s="99"/>
      <c r="K295" s="161" t="s">
        <v>213</v>
      </c>
      <c r="L295" s="162">
        <f>SUM(L260:L290)</f>
        <v>0</v>
      </c>
      <c r="M295" s="162">
        <f>SUM(M260:M290)</f>
        <v>0</v>
      </c>
      <c r="N295" s="92"/>
      <c r="O295" s="161" t="s">
        <v>214</v>
      </c>
      <c r="P295" s="162">
        <f>SUM(P260:P290)</f>
        <v>2893</v>
      </c>
      <c r="Q295" s="92"/>
      <c r="T295"/>
      <c r="U295"/>
      <c r="V295"/>
      <c r="W295"/>
      <c r="X295"/>
      <c r="Y295"/>
      <c r="Z295"/>
      <c r="AA295" t="s">
        <v>211</v>
      </c>
      <c r="AB295"/>
      <c r="AC295"/>
      <c r="AD295"/>
      <c r="AE295"/>
      <c r="AF295"/>
    </row>
    <row r="296" spans="1:32" ht="12.75" customHeight="1" x14ac:dyDescent="0.2">
      <c r="A296" s="105" t="s">
        <v>220</v>
      </c>
      <c r="B296" s="106"/>
      <c r="C296" s="95"/>
      <c r="D296" s="94"/>
      <c r="E296" s="96"/>
      <c r="F296" s="107">
        <f>SUMIFS(F260:F294,H260:H294,"dubultā virsma")</f>
        <v>1.6760000000000002</v>
      </c>
      <c r="G296" s="108">
        <f>SUMIFS(G260:G294,H260:H294,"dubultā virsma")</f>
        <v>7871</v>
      </c>
      <c r="H296" s="160"/>
      <c r="I296" s="16"/>
      <c r="J296" s="99"/>
      <c r="K296" s="109"/>
      <c r="L296" s="110"/>
      <c r="M296" s="110"/>
      <c r="N296" s="92"/>
      <c r="O296" s="109"/>
      <c r="P296" s="110"/>
      <c r="Q296" s="92"/>
      <c r="T296" s="103" t="s">
        <v>215</v>
      </c>
      <c r="U296" s="103" t="s">
        <v>216</v>
      </c>
      <c r="V296" s="103" t="s">
        <v>217</v>
      </c>
      <c r="W296" s="103" t="s">
        <v>218</v>
      </c>
      <c r="X296" s="103" t="s">
        <v>219</v>
      </c>
      <c r="Y296" s="104" t="s">
        <v>214</v>
      </c>
      <c r="AA296" s="103" t="s">
        <v>215</v>
      </c>
      <c r="AB296" s="103" t="s">
        <v>216</v>
      </c>
      <c r="AC296" s="103" t="s">
        <v>217</v>
      </c>
      <c r="AD296" s="103" t="s">
        <v>218</v>
      </c>
      <c r="AE296" s="103" t="s">
        <v>219</v>
      </c>
      <c r="AF296" s="104" t="s">
        <v>214</v>
      </c>
    </row>
    <row r="297" spans="1:32" ht="12.75" customHeight="1" x14ac:dyDescent="0.2">
      <c r="A297" s="105" t="s">
        <v>221</v>
      </c>
      <c r="B297" s="106"/>
      <c r="C297" s="111"/>
      <c r="D297" s="106"/>
      <c r="E297" s="112"/>
      <c r="F297" s="107">
        <f>SUMIFS(F260:F294,H260:H294,"melnais")</f>
        <v>5.0830000000000002</v>
      </c>
      <c r="G297" s="108">
        <f>SUMIFS(G260:G294,H260:H294,"melnais")</f>
        <v>33992</v>
      </c>
      <c r="H297" s="163"/>
      <c r="I297" s="89"/>
      <c r="J297" s="92"/>
      <c r="K297" s="92"/>
      <c r="L297" s="115"/>
      <c r="M297" s="115"/>
      <c r="N297" s="92"/>
      <c r="O297" s="92"/>
      <c r="P297" s="92"/>
      <c r="Q297" s="92"/>
      <c r="S297" s="102" t="s">
        <v>20</v>
      </c>
      <c r="T297" s="103" t="s">
        <v>23</v>
      </c>
      <c r="U297" s="103" t="s">
        <v>23</v>
      </c>
      <c r="V297" s="103" t="s">
        <v>23</v>
      </c>
      <c r="W297" s="103" t="s">
        <v>23</v>
      </c>
      <c r="X297" s="103" t="s">
        <v>23</v>
      </c>
      <c r="Y297" s="104" t="s">
        <v>23</v>
      </c>
      <c r="Z297" s="102"/>
      <c r="AA297" s="103" t="s">
        <v>23</v>
      </c>
      <c r="AB297" s="103" t="s">
        <v>23</v>
      </c>
      <c r="AC297" s="103" t="s">
        <v>23</v>
      </c>
      <c r="AD297" s="103" t="s">
        <v>23</v>
      </c>
      <c r="AE297" s="103" t="s">
        <v>23</v>
      </c>
      <c r="AF297" s="104" t="s">
        <v>23</v>
      </c>
    </row>
    <row r="298" spans="1:32" ht="12.75" customHeight="1" x14ac:dyDescent="0.2">
      <c r="A298" s="105" t="s">
        <v>223</v>
      </c>
      <c r="B298" s="106"/>
      <c r="C298" s="111"/>
      <c r="D298" s="106"/>
      <c r="E298" s="112"/>
      <c r="F298" s="107">
        <f>SUMIFS(F260:F294,H260:H294,"bruģis")</f>
        <v>0</v>
      </c>
      <c r="G298" s="108">
        <f>SUMIFS(G260:G294,H260:H294,"bruģis")</f>
        <v>0</v>
      </c>
      <c r="I298" s="16"/>
      <c r="J298" s="92"/>
      <c r="N298" s="92"/>
      <c r="O298" s="92"/>
      <c r="P298" s="92"/>
      <c r="Q298" s="92"/>
      <c r="S298" s="116" t="s">
        <v>222</v>
      </c>
      <c r="T298" s="117">
        <f>SUMIFS(F260:F294,C260:C294,"A",H260:H294,"melnais")</f>
        <v>0</v>
      </c>
      <c r="U298" s="117">
        <f>SUMIFS(F260:F294,C260:C294,"A",H260:H294,"dubultā virsma")</f>
        <v>0</v>
      </c>
      <c r="V298" s="117">
        <f>SUMIFS(F260:F294,C260:C294,"A",H260:H294,"bruģis")</f>
        <v>0</v>
      </c>
      <c r="W298" s="117">
        <f>SUMIFS(F260:F294,C260:C294,"A",H260:H294,"grants")</f>
        <v>0</v>
      </c>
      <c r="X298" s="117">
        <f>SUMIFS(F260:F294,C260:C294,"A",H260:H294,"cits segums")</f>
        <v>0</v>
      </c>
      <c r="Y298" s="117">
        <f>SUM(T298:X298)</f>
        <v>0</v>
      </c>
      <c r="Z298" s="116" t="s">
        <v>222</v>
      </c>
      <c r="AA298" s="117">
        <f>SUMIFS(F260:F294,C260:C294,"A",H260:H294,"melnais", Q260:Q294,"Nepiederošs")</f>
        <v>0</v>
      </c>
      <c r="AB298" s="117">
        <f>SUMIFS(F260:F294,C260:C294,"A",H260:H294,"dubultā virsma", Q260:Q294,"Nepiederošs")</f>
        <v>0</v>
      </c>
      <c r="AC298" s="117">
        <f>SUMIFS(F260:F294,C260:C294,"A",H260:H294,"bruģis", Q260:Q294,"Nepiederošs")</f>
        <v>0</v>
      </c>
      <c r="AD298" s="117">
        <f>SUMIFS(F260:F294,C260:C294,"A",H260:H294,"grants", Q260:Q294,"Nepiederošs")</f>
        <v>0</v>
      </c>
      <c r="AE298" s="117">
        <f>SUMIFS(F260:F294,C260:C294,"A",H260:H294,"cits segums", Q260:Q294,"Nepiederošs")</f>
        <v>0</v>
      </c>
      <c r="AF298" s="117">
        <f>SUM(AA298:AE298)</f>
        <v>0</v>
      </c>
    </row>
    <row r="299" spans="1:32" ht="12.75" customHeight="1" x14ac:dyDescent="0.2">
      <c r="A299" s="105" t="s">
        <v>224</v>
      </c>
      <c r="B299" s="106"/>
      <c r="C299" s="111"/>
      <c r="D299" s="106"/>
      <c r="E299" s="112"/>
      <c r="F299" s="107">
        <f>SUMIFS(F260:F294,H260:H294,"grants")</f>
        <v>4.7570000000000006</v>
      </c>
      <c r="G299" s="108">
        <f>SUMIFS(G260:G294,H260:H294,"grants")</f>
        <v>21712</v>
      </c>
      <c r="I299" s="16"/>
      <c r="J299" s="92"/>
      <c r="N299" s="92"/>
      <c r="O299" s="92"/>
      <c r="P299" s="92"/>
      <c r="Q299" s="92"/>
      <c r="S299" s="120" t="s">
        <v>39</v>
      </c>
      <c r="T299" s="117">
        <f>SUMIFS(F260:F294,C260:C294,"B",H260:H294,"melnais")</f>
        <v>1.6850000000000001</v>
      </c>
      <c r="U299" s="117">
        <f>SUMIFS(F260:F294,C260:C294,"B",H260:H294,"dubultā virsma")</f>
        <v>0</v>
      </c>
      <c r="V299" s="117">
        <f>SUMIFS(F260:F294,C260:C294,"B",H260:H294,"bruģis")</f>
        <v>0</v>
      </c>
      <c r="W299" s="117">
        <f>SUMIFS(F260:F294,C260:C294,"B",H260:H294,"grants")</f>
        <v>0</v>
      </c>
      <c r="X299" s="117">
        <f>SUMIFS(F260:F294,C260:C294,"B",H260:H294,"cits segums")</f>
        <v>0</v>
      </c>
      <c r="Y299" s="117">
        <f t="shared" ref="Y299:Y301" si="17">SUM(T299:X299)</f>
        <v>1.6850000000000001</v>
      </c>
      <c r="Z299" s="120" t="s">
        <v>39</v>
      </c>
      <c r="AA299" s="117">
        <f>SUMIFS(F260:F294,C260:C294,"B",H260:H294,"melnais", Q260:Q294,"Nepiederošs")</f>
        <v>0</v>
      </c>
      <c r="AB299" s="117">
        <f>SUMIFS(F260:F294,C260:C294,"B",H260:H294,"dubultā virsma", Q260:Q294,"Nepiederošs")</f>
        <v>0</v>
      </c>
      <c r="AC299" s="117">
        <f>SUMIFS(F260:F294,C260:C294,"B",H260:H294,"bruģis", Q260:Q294,"Nepiederošs")</f>
        <v>0</v>
      </c>
      <c r="AD299" s="117">
        <f>SUMIFS(F260:F294,C260:C294,"B",H260:H294,"grants", Q260:Q294,"Nepiederošs")</f>
        <v>0</v>
      </c>
      <c r="AE299" s="117">
        <f>SUMIFS(F260:F294,C260:C294,"B",H260:H294,"cits segums", Q260:Q294,"Nepiederošs")</f>
        <v>0</v>
      </c>
      <c r="AF299" s="117">
        <f t="shared" ref="AF299:AF301" si="18">SUM(AA299:AE299)</f>
        <v>0</v>
      </c>
    </row>
    <row r="300" spans="1:32" ht="12.75" customHeight="1" x14ac:dyDescent="0.2">
      <c r="A300" s="105" t="s">
        <v>225</v>
      </c>
      <c r="B300" s="106"/>
      <c r="C300" s="111"/>
      <c r="D300" s="106"/>
      <c r="E300" s="112"/>
      <c r="F300" s="107">
        <f>SUMIFS(F260:F294,H260:H294,"cits segums")</f>
        <v>0.29499999999999998</v>
      </c>
      <c r="G300" s="108">
        <f>SUMIFS(G260:G294,H260:H294,"cits segums")</f>
        <v>995</v>
      </c>
      <c r="H300" s="125"/>
      <c r="I300" s="16"/>
      <c r="J300" s="122"/>
      <c r="N300" s="92"/>
      <c r="O300" s="92"/>
      <c r="P300" s="92"/>
      <c r="Q300" s="92"/>
      <c r="S300" s="121" t="s">
        <v>34</v>
      </c>
      <c r="T300" s="117">
        <f>SUMIFS(F260:F294,C260:C294,"C",H260:H294,"melnais")</f>
        <v>1.62</v>
      </c>
      <c r="U300" s="117">
        <f>SUMIFS(F260:F294,C260:C294,"C",H260:H294,"dubultā virsma")</f>
        <v>0</v>
      </c>
      <c r="V300" s="117">
        <f>SUMIFS(F260:F294,C260:C294,"C",H260:H294,"bruģis")</f>
        <v>0</v>
      </c>
      <c r="W300" s="117">
        <f>SUMIFS(F260:F294,C260:C294,"C",H260:H294,"grants")</f>
        <v>0.91899999999999982</v>
      </c>
      <c r="X300" s="117">
        <f>SUMIFS(F260:F294,C260:C294,"C",H260:H294,"cits segums")</f>
        <v>0.11</v>
      </c>
      <c r="Y300" s="117">
        <f t="shared" si="17"/>
        <v>2.6489999999999996</v>
      </c>
      <c r="Z300" s="121" t="s">
        <v>34</v>
      </c>
      <c r="AA300" s="117">
        <f>SUMIFS(F260:F294,C260:C294,"C",H260:H294,"melnais", Q260:Q294,"Nepiederošs")</f>
        <v>0</v>
      </c>
      <c r="AB300" s="117">
        <f>SUMIFS(F260:F294,C260:C294,"C",H260:H294,"dubultā virsma", Q260:Q294,"Nepiederošs")</f>
        <v>0</v>
      </c>
      <c r="AC300" s="117">
        <f>SUMIFS(F260:F294,C260:C294,"C",H260:H294,"bruģis", Q260:Q294,"Nepiederošs")</f>
        <v>0</v>
      </c>
      <c r="AD300" s="117">
        <f>SUMIFS(F260:F294,C260:C294,"C",H260:H294,"grants", Q260:Q294,"Nepiederošs")</f>
        <v>0</v>
      </c>
      <c r="AE300" s="117">
        <f>SUMIFS(F260:F294,C260:C294,"C",H260:H294,"cits segums", Q260:Q294,"Nepiederošs")</f>
        <v>0</v>
      </c>
      <c r="AF300" s="117">
        <f t="shared" si="18"/>
        <v>0</v>
      </c>
    </row>
    <row r="301" spans="1:32" ht="12.75" customHeight="1" x14ac:dyDescent="0.2">
      <c r="A301" s="32" t="s">
        <v>256</v>
      </c>
      <c r="B301" s="2"/>
      <c r="C301" s="1"/>
      <c r="D301" s="2"/>
      <c r="E301" s="2"/>
      <c r="F301" s="123"/>
      <c r="G301" s="164"/>
      <c r="H301" s="89"/>
      <c r="I301" s="16"/>
      <c r="J301" s="122"/>
      <c r="N301" s="92"/>
      <c r="O301" s="92"/>
      <c r="P301" s="92"/>
      <c r="Q301" s="92"/>
      <c r="S301" s="116" t="s">
        <v>26</v>
      </c>
      <c r="T301" s="117">
        <f>SUMIFS(F260:F294,C260:C294,"D",H260:H294,"melnais")</f>
        <v>1.7780000000000002</v>
      </c>
      <c r="U301" s="117">
        <f>SUMIFS(F260:F294,C260:C294,"D",H260:H294,"dubultā virsma")</f>
        <v>1.6760000000000002</v>
      </c>
      <c r="V301" s="117">
        <f>SUMIFS(F260:F294,C260:C294,"D",H260:H294,"bruģis")</f>
        <v>0</v>
      </c>
      <c r="W301" s="117">
        <f>SUMIFS(F260:F294,C260:C294,"D",H260:H294,"grants")</f>
        <v>3.8380000000000005</v>
      </c>
      <c r="X301" s="117">
        <f>SUMIFS(F260:F294,C260:C294,"D",H260:H294,"cits segums")</f>
        <v>0.185</v>
      </c>
      <c r="Y301" s="117">
        <f t="shared" si="17"/>
        <v>7.4770000000000012</v>
      </c>
      <c r="Z301" s="116" t="s">
        <v>26</v>
      </c>
      <c r="AA301" s="117">
        <f>SUMIFS(F260:F294,C260:C294,"D",H260:H294,"melnais", Q260:Q294,"Nepiederošs")</f>
        <v>0.23100000000000001</v>
      </c>
      <c r="AB301" s="117">
        <f>SUMIFS(F260:F294,C260:C294,"D",H260:H294,"dubultā virsma", Q260:Q294,"Nepiederošs")</f>
        <v>0</v>
      </c>
      <c r="AC301" s="117">
        <f>SUMIFS(F260:F294,C260:C294,"D",H260:H294,"bruģis", Q260:Q294,"Nepiederošs")</f>
        <v>0</v>
      </c>
      <c r="AD301" s="117">
        <f>SUMIFS(F260:F294,C260:C294,"D",H260:H294,"grants", Q260:Q294,"Nepiederošs")</f>
        <v>0.32300000000000001</v>
      </c>
      <c r="AE301" s="117">
        <f>SUMIFS(F260:F294,C260:C294,"D",H260:H294,"cits segums", Q260:Q294,"Nepiederošs")</f>
        <v>0</v>
      </c>
      <c r="AF301" s="117">
        <f t="shared" si="18"/>
        <v>0.55400000000000005</v>
      </c>
    </row>
    <row r="302" spans="1:32" ht="12.75" customHeight="1" x14ac:dyDescent="0.25">
      <c r="A302" s="32"/>
      <c r="B302" s="2"/>
      <c r="C302" s="1"/>
      <c r="D302" s="2"/>
      <c r="E302" s="2"/>
      <c r="F302" s="123"/>
      <c r="G302" s="164"/>
      <c r="H302" s="89"/>
      <c r="I302" s="16"/>
      <c r="J302" s="122"/>
      <c r="N302" s="92"/>
      <c r="O302" s="92"/>
      <c r="P302" s="92"/>
      <c r="Q302" s="92"/>
      <c r="S302"/>
      <c r="T302" s="126">
        <f>SUM(T298:T301)</f>
        <v>5.0830000000000002</v>
      </c>
      <c r="U302" s="126">
        <f t="shared" ref="U302:Y302" si="19">SUM(U298:U301)</f>
        <v>1.6760000000000002</v>
      </c>
      <c r="V302" s="126">
        <f t="shared" si="19"/>
        <v>0</v>
      </c>
      <c r="W302" s="126">
        <f t="shared" si="19"/>
        <v>4.7570000000000006</v>
      </c>
      <c r="X302" s="126">
        <f t="shared" si="19"/>
        <v>0.29499999999999998</v>
      </c>
      <c r="Y302" s="126">
        <f t="shared" si="19"/>
        <v>11.811</v>
      </c>
      <c r="Z302"/>
      <c r="AA302" s="126">
        <f>SUM(AA298:AA301)</f>
        <v>0.23100000000000001</v>
      </c>
      <c r="AB302" s="126">
        <f t="shared" ref="AB302" si="20">SUM(AB298:AB301)</f>
        <v>0</v>
      </c>
      <c r="AC302" s="126">
        <f>SUM(AC298:AC301)</f>
        <v>0</v>
      </c>
      <c r="AD302" s="126">
        <f t="shared" ref="AD302:AF302" si="21">SUM(AD298:AD301)</f>
        <v>0.32300000000000001</v>
      </c>
      <c r="AE302" s="126">
        <f t="shared" si="21"/>
        <v>0</v>
      </c>
      <c r="AF302" s="126">
        <f t="shared" si="21"/>
        <v>0.55400000000000005</v>
      </c>
    </row>
    <row r="303" spans="1:32" s="2" customFormat="1" ht="15" customHeight="1" x14ac:dyDescent="0.25">
      <c r="A303" s="1"/>
      <c r="C303" s="1"/>
      <c r="D303" s="6" t="s">
        <v>257</v>
      </c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4"/>
      <c r="R303" s="7"/>
      <c r="S303" s="165"/>
      <c r="T303" s="165"/>
      <c r="U303" s="165"/>
      <c r="V303" s="165"/>
      <c r="W303" s="165"/>
      <c r="Z303" s="166">
        <f>Y302-AF302</f>
        <v>11.257</v>
      </c>
    </row>
    <row r="304" spans="1:32" ht="12.75" customHeight="1" x14ac:dyDescent="0.2">
      <c r="A304" s="8" t="s">
        <v>2</v>
      </c>
      <c r="B304" s="9" t="s">
        <v>3</v>
      </c>
      <c r="C304" s="10"/>
      <c r="D304" s="11" t="s">
        <v>4</v>
      </c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3"/>
      <c r="Q304" s="14" t="s">
        <v>5</v>
      </c>
      <c r="R304" s="15"/>
    </row>
    <row r="305" spans="1:18" ht="12.75" customHeight="1" x14ac:dyDescent="0.2">
      <c r="A305" s="8"/>
      <c r="B305" s="9"/>
      <c r="C305" s="17"/>
      <c r="D305" s="9" t="s">
        <v>6</v>
      </c>
      <c r="E305" s="9"/>
      <c r="F305" s="9"/>
      <c r="G305" s="9"/>
      <c r="H305" s="9"/>
      <c r="I305" s="18" t="s">
        <v>7</v>
      </c>
      <c r="J305" s="18"/>
      <c r="K305" s="18"/>
      <c r="L305" s="18"/>
      <c r="M305" s="18"/>
      <c r="N305" s="18"/>
      <c r="O305" s="18"/>
      <c r="P305" s="19" t="s">
        <v>8</v>
      </c>
      <c r="Q305" s="20"/>
      <c r="R305" s="21"/>
    </row>
    <row r="306" spans="1:18" ht="15.2" customHeight="1" x14ac:dyDescent="0.2">
      <c r="A306" s="8"/>
      <c r="B306" s="9"/>
      <c r="C306" s="17"/>
      <c r="D306" s="9" t="s">
        <v>9</v>
      </c>
      <c r="E306" s="9"/>
      <c r="F306" s="8" t="s">
        <v>10</v>
      </c>
      <c r="G306" s="8" t="s">
        <v>11</v>
      </c>
      <c r="H306" s="8" t="s">
        <v>12</v>
      </c>
      <c r="I306" s="18" t="s">
        <v>13</v>
      </c>
      <c r="J306" s="18" t="s">
        <v>14</v>
      </c>
      <c r="K306" s="18"/>
      <c r="L306" s="22" t="s">
        <v>15</v>
      </c>
      <c r="M306" s="22" t="s">
        <v>11</v>
      </c>
      <c r="N306" s="22" t="s">
        <v>16</v>
      </c>
      <c r="O306" s="22" t="s">
        <v>17</v>
      </c>
      <c r="P306" s="23"/>
      <c r="Q306" s="23" t="s">
        <v>18</v>
      </c>
      <c r="R306" s="24" t="s">
        <v>19</v>
      </c>
    </row>
    <row r="307" spans="1:18" ht="33.75" customHeight="1" x14ac:dyDescent="0.2">
      <c r="A307" s="8"/>
      <c r="B307" s="9"/>
      <c r="C307" s="25" t="s">
        <v>20</v>
      </c>
      <c r="D307" s="26" t="s">
        <v>21</v>
      </c>
      <c r="E307" s="26" t="s">
        <v>22</v>
      </c>
      <c r="F307" s="8"/>
      <c r="G307" s="8"/>
      <c r="H307" s="8"/>
      <c r="I307" s="18"/>
      <c r="J307" s="27" t="s">
        <v>23</v>
      </c>
      <c r="K307" s="27" t="s">
        <v>24</v>
      </c>
      <c r="L307" s="22"/>
      <c r="M307" s="22"/>
      <c r="N307" s="22"/>
      <c r="O307" s="22"/>
      <c r="P307" s="28"/>
      <c r="Q307" s="28"/>
      <c r="R307" s="29"/>
    </row>
    <row r="308" spans="1:18" s="32" customFormat="1" ht="12" customHeight="1" x14ac:dyDescent="0.25">
      <c r="A308" s="30">
        <v>1</v>
      </c>
      <c r="B308" s="30">
        <v>2</v>
      </c>
      <c r="C308" s="30"/>
      <c r="D308" s="30">
        <v>3</v>
      </c>
      <c r="E308" s="30">
        <v>4</v>
      </c>
      <c r="F308" s="30">
        <v>5</v>
      </c>
      <c r="G308" s="30">
        <v>6</v>
      </c>
      <c r="H308" s="30">
        <v>7</v>
      </c>
      <c r="I308" s="31">
        <v>8</v>
      </c>
      <c r="J308" s="31">
        <v>9</v>
      </c>
      <c r="K308" s="31">
        <v>10</v>
      </c>
      <c r="L308" s="31">
        <v>11</v>
      </c>
      <c r="M308" s="31">
        <v>12</v>
      </c>
      <c r="N308" s="31">
        <v>13</v>
      </c>
      <c r="O308" s="31">
        <v>14</v>
      </c>
      <c r="P308" s="31">
        <v>15</v>
      </c>
      <c r="Q308" s="31">
        <v>16</v>
      </c>
      <c r="R308" s="30">
        <v>17</v>
      </c>
    </row>
    <row r="309" spans="1:18" x14ac:dyDescent="0.2">
      <c r="A309" s="140">
        <v>1</v>
      </c>
      <c r="B309" s="129" t="s">
        <v>258</v>
      </c>
      <c r="C309" s="130" t="s">
        <v>26</v>
      </c>
      <c r="D309" s="131">
        <v>0</v>
      </c>
      <c r="E309" s="131">
        <f>D309+F309</f>
        <v>0.03</v>
      </c>
      <c r="F309" s="131">
        <v>0.03</v>
      </c>
      <c r="G309" s="133">
        <v>150</v>
      </c>
      <c r="H309" s="133" t="s">
        <v>29</v>
      </c>
      <c r="I309" s="133"/>
      <c r="J309" s="133"/>
      <c r="K309" s="133"/>
      <c r="L309" s="133"/>
      <c r="M309" s="133"/>
      <c r="N309" s="133"/>
      <c r="O309" s="133"/>
      <c r="P309" s="167"/>
      <c r="Q309" s="130">
        <v>80940020250</v>
      </c>
      <c r="R309" s="130">
        <v>80940020269</v>
      </c>
    </row>
    <row r="310" spans="1:18" x14ac:dyDescent="0.2">
      <c r="A310" s="141"/>
      <c r="B310" s="135"/>
      <c r="C310" s="130" t="s">
        <v>26</v>
      </c>
      <c r="D310" s="145">
        <f>E309</f>
        <v>0.03</v>
      </c>
      <c r="E310" s="145">
        <f t="shared" ref="E310:E334" si="22">D310+F310</f>
        <v>0.53</v>
      </c>
      <c r="F310" s="131">
        <v>0.5</v>
      </c>
      <c r="G310" s="133">
        <v>2158</v>
      </c>
      <c r="H310" s="133" t="s">
        <v>27</v>
      </c>
      <c r="I310" s="133"/>
      <c r="J310" s="133"/>
      <c r="K310" s="133"/>
      <c r="L310" s="133"/>
      <c r="M310" s="133"/>
      <c r="N310" s="133"/>
      <c r="O310" s="133"/>
      <c r="P310" s="167"/>
      <c r="Q310" s="130">
        <v>80940020250</v>
      </c>
      <c r="R310" s="130">
        <v>80940020269</v>
      </c>
    </row>
    <row r="311" spans="1:18" x14ac:dyDescent="0.2">
      <c r="A311" s="130">
        <v>2</v>
      </c>
      <c r="B311" s="138" t="s">
        <v>259</v>
      </c>
      <c r="C311" s="130" t="s">
        <v>26</v>
      </c>
      <c r="D311" s="145">
        <v>0</v>
      </c>
      <c r="E311" s="145">
        <f t="shared" si="22"/>
        <v>0.19500000000000001</v>
      </c>
      <c r="F311" s="131">
        <v>0.19500000000000001</v>
      </c>
      <c r="G311" s="133">
        <v>780</v>
      </c>
      <c r="H311" s="133" t="s">
        <v>27</v>
      </c>
      <c r="I311" s="133"/>
      <c r="J311" s="133"/>
      <c r="K311" s="133"/>
      <c r="L311" s="133"/>
      <c r="M311" s="133"/>
      <c r="N311" s="133"/>
      <c r="O311" s="133"/>
      <c r="P311" s="167"/>
      <c r="Q311" s="130">
        <v>80940020265</v>
      </c>
      <c r="R311" s="130">
        <v>80940020265</v>
      </c>
    </row>
    <row r="312" spans="1:18" x14ac:dyDescent="0.2">
      <c r="A312" s="130">
        <v>3</v>
      </c>
      <c r="B312" s="138" t="s">
        <v>260</v>
      </c>
      <c r="C312" s="130" t="s">
        <v>26</v>
      </c>
      <c r="D312" s="131">
        <v>0</v>
      </c>
      <c r="E312" s="131">
        <f t="shared" si="22"/>
        <v>0.28999999999999998</v>
      </c>
      <c r="F312" s="131">
        <v>0.28999999999999998</v>
      </c>
      <c r="G312" s="133">
        <v>1184</v>
      </c>
      <c r="H312" s="38" t="s">
        <v>32</v>
      </c>
      <c r="I312" s="133"/>
      <c r="J312" s="133"/>
      <c r="K312" s="133"/>
      <c r="L312" s="133"/>
      <c r="M312" s="133"/>
      <c r="N312" s="133"/>
      <c r="O312" s="133"/>
      <c r="P312" s="167"/>
      <c r="Q312" s="130">
        <v>80940020261</v>
      </c>
      <c r="R312" s="130">
        <v>80940020261</v>
      </c>
    </row>
    <row r="313" spans="1:18" x14ac:dyDescent="0.2">
      <c r="A313" s="130">
        <v>4</v>
      </c>
      <c r="B313" s="138" t="s">
        <v>261</v>
      </c>
      <c r="C313" s="130" t="s">
        <v>26</v>
      </c>
      <c r="D313" s="131">
        <v>0</v>
      </c>
      <c r="E313" s="131">
        <f t="shared" si="22"/>
        <v>0.13500000000000001</v>
      </c>
      <c r="F313" s="131">
        <v>0.13500000000000001</v>
      </c>
      <c r="G313" s="133">
        <v>540</v>
      </c>
      <c r="H313" s="133" t="s">
        <v>27</v>
      </c>
      <c r="I313" s="133"/>
      <c r="J313" s="133"/>
      <c r="K313" s="133"/>
      <c r="L313" s="133"/>
      <c r="M313" s="133"/>
      <c r="N313" s="133"/>
      <c r="O313" s="133"/>
      <c r="P313" s="167"/>
      <c r="Q313" s="130">
        <v>80940020266</v>
      </c>
      <c r="R313" s="130">
        <v>80940020266</v>
      </c>
    </row>
    <row r="314" spans="1:18" x14ac:dyDescent="0.2">
      <c r="A314" s="130">
        <v>5</v>
      </c>
      <c r="B314" s="138" t="s">
        <v>262</v>
      </c>
      <c r="C314" s="130" t="s">
        <v>26</v>
      </c>
      <c r="D314" s="131">
        <v>0</v>
      </c>
      <c r="E314" s="131">
        <f t="shared" si="22"/>
        <v>0.23</v>
      </c>
      <c r="F314" s="145">
        <v>0.23</v>
      </c>
      <c r="G314" s="133">
        <v>920</v>
      </c>
      <c r="H314" s="38" t="s">
        <v>32</v>
      </c>
      <c r="I314" s="133"/>
      <c r="J314" s="133"/>
      <c r="K314" s="133"/>
      <c r="L314" s="133"/>
      <c r="M314" s="133"/>
      <c r="N314" s="133"/>
      <c r="O314" s="133"/>
      <c r="P314" s="167"/>
      <c r="Q314" s="130">
        <v>80940020257</v>
      </c>
      <c r="R314" s="130">
        <v>80940020257</v>
      </c>
    </row>
    <row r="315" spans="1:18" x14ac:dyDescent="0.2">
      <c r="A315" s="139">
        <v>6</v>
      </c>
      <c r="B315" s="138" t="s">
        <v>263</v>
      </c>
      <c r="C315" s="130" t="s">
        <v>26</v>
      </c>
      <c r="D315" s="131">
        <v>0</v>
      </c>
      <c r="E315" s="131">
        <f t="shared" si="22"/>
        <v>0.19</v>
      </c>
      <c r="F315" s="131">
        <v>0.19</v>
      </c>
      <c r="G315" s="133">
        <v>570</v>
      </c>
      <c r="H315" s="133" t="s">
        <v>27</v>
      </c>
      <c r="I315" s="133"/>
      <c r="J315" s="133"/>
      <c r="K315" s="133"/>
      <c r="L315" s="133"/>
      <c r="M315" s="133"/>
      <c r="N315" s="133"/>
      <c r="O315" s="133"/>
      <c r="P315" s="167"/>
      <c r="Q315" s="130">
        <v>80940020247</v>
      </c>
      <c r="R315" s="130">
        <v>80940020254</v>
      </c>
    </row>
    <row r="316" spans="1:18" x14ac:dyDescent="0.2">
      <c r="A316" s="140">
        <v>7</v>
      </c>
      <c r="B316" s="129" t="s">
        <v>264</v>
      </c>
      <c r="C316" s="130" t="s">
        <v>34</v>
      </c>
      <c r="D316" s="131">
        <v>0</v>
      </c>
      <c r="E316" s="131">
        <f t="shared" si="22"/>
        <v>0.15</v>
      </c>
      <c r="F316" s="131">
        <v>0.15</v>
      </c>
      <c r="G316" s="133">
        <v>600</v>
      </c>
      <c r="H316" s="133" t="s">
        <v>27</v>
      </c>
      <c r="I316" s="133"/>
      <c r="J316" s="133"/>
      <c r="K316" s="133"/>
      <c r="L316" s="133"/>
      <c r="M316" s="133"/>
      <c r="N316" s="133"/>
      <c r="O316" s="133"/>
      <c r="P316" s="167"/>
      <c r="Q316" s="130">
        <v>80940020255</v>
      </c>
      <c r="R316" s="130">
        <v>80940020255</v>
      </c>
    </row>
    <row r="317" spans="1:18" x14ac:dyDescent="0.2">
      <c r="A317" s="141"/>
      <c r="B317" s="135"/>
      <c r="C317" s="130" t="s">
        <v>34</v>
      </c>
      <c r="D317" s="131">
        <f t="shared" ref="D317:D333" si="23">E316</f>
        <v>0.15</v>
      </c>
      <c r="E317" s="131">
        <f t="shared" si="22"/>
        <v>0.5</v>
      </c>
      <c r="F317" s="131">
        <v>0.35</v>
      </c>
      <c r="G317" s="133">
        <v>1890</v>
      </c>
      <c r="H317" s="133" t="s">
        <v>29</v>
      </c>
      <c r="I317" s="133"/>
      <c r="J317" s="133"/>
      <c r="K317" s="133"/>
      <c r="L317" s="133"/>
      <c r="M317" s="133"/>
      <c r="N317" s="133"/>
      <c r="O317" s="133"/>
      <c r="P317" s="167">
        <v>773</v>
      </c>
      <c r="Q317" s="130">
        <v>80940020272</v>
      </c>
      <c r="R317" s="130">
        <v>80940020255</v>
      </c>
    </row>
    <row r="318" spans="1:18" x14ac:dyDescent="0.2">
      <c r="A318" s="141"/>
      <c r="B318" s="135"/>
      <c r="C318" s="130" t="s">
        <v>34</v>
      </c>
      <c r="D318" s="131">
        <f t="shared" si="23"/>
        <v>0.5</v>
      </c>
      <c r="E318" s="131">
        <f t="shared" si="22"/>
        <v>0.80499999999999994</v>
      </c>
      <c r="F318" s="131">
        <v>0.30499999999999999</v>
      </c>
      <c r="G318" s="133">
        <v>1769</v>
      </c>
      <c r="H318" s="133" t="s">
        <v>29</v>
      </c>
      <c r="I318" s="133"/>
      <c r="J318" s="133"/>
      <c r="K318" s="133"/>
      <c r="L318" s="133"/>
      <c r="M318" s="133"/>
      <c r="N318" s="133"/>
      <c r="O318" s="133"/>
      <c r="P318" s="167"/>
      <c r="Q318" s="130">
        <v>80940020272</v>
      </c>
      <c r="R318" s="130">
        <v>80940020255</v>
      </c>
    </row>
    <row r="319" spans="1:18" x14ac:dyDescent="0.2">
      <c r="A319" s="141"/>
      <c r="B319" s="135"/>
      <c r="C319" s="130" t="s">
        <v>34</v>
      </c>
      <c r="D319" s="131">
        <f t="shared" si="23"/>
        <v>0.80499999999999994</v>
      </c>
      <c r="E319" s="131">
        <f t="shared" si="22"/>
        <v>0.89499999999999991</v>
      </c>
      <c r="F319" s="131">
        <v>0.09</v>
      </c>
      <c r="G319" s="133">
        <v>540</v>
      </c>
      <c r="H319" s="133" t="s">
        <v>27</v>
      </c>
      <c r="I319" s="133"/>
      <c r="J319" s="133"/>
      <c r="K319" s="133"/>
      <c r="L319" s="133"/>
      <c r="M319" s="133"/>
      <c r="N319" s="133"/>
      <c r="O319" s="133"/>
      <c r="P319" s="167"/>
      <c r="Q319" s="130">
        <v>80940020272</v>
      </c>
      <c r="R319" s="130">
        <v>80940020255</v>
      </c>
    </row>
    <row r="320" spans="1:18" x14ac:dyDescent="0.2">
      <c r="A320" s="168"/>
      <c r="B320" s="137"/>
      <c r="C320" s="130" t="s">
        <v>34</v>
      </c>
      <c r="D320" s="131">
        <f t="shared" si="23"/>
        <v>0.89499999999999991</v>
      </c>
      <c r="E320" s="131">
        <f t="shared" si="22"/>
        <v>1.25</v>
      </c>
      <c r="F320" s="131">
        <v>0.35499999999999998</v>
      </c>
      <c r="G320" s="133">
        <v>1598</v>
      </c>
      <c r="H320" s="133" t="s">
        <v>27</v>
      </c>
      <c r="I320" s="133"/>
      <c r="J320" s="133"/>
      <c r="K320" s="133"/>
      <c r="L320" s="133"/>
      <c r="M320" s="133"/>
      <c r="N320" s="133"/>
      <c r="O320" s="133"/>
      <c r="P320" s="167"/>
      <c r="Q320" s="130">
        <v>80940020272</v>
      </c>
      <c r="R320" s="130">
        <v>80940020255</v>
      </c>
    </row>
    <row r="321" spans="1:32" x14ac:dyDescent="0.2">
      <c r="A321" s="140">
        <v>8</v>
      </c>
      <c r="B321" s="129" t="s">
        <v>265</v>
      </c>
      <c r="C321" s="130" t="s">
        <v>26</v>
      </c>
      <c r="D321" s="131">
        <v>0</v>
      </c>
      <c r="E321" s="131">
        <f t="shared" si="22"/>
        <v>0.05</v>
      </c>
      <c r="F321" s="131">
        <v>0.05</v>
      </c>
      <c r="G321" s="133">
        <v>150</v>
      </c>
      <c r="H321" s="38" t="s">
        <v>32</v>
      </c>
      <c r="I321" s="133"/>
      <c r="J321" s="133"/>
      <c r="K321" s="133"/>
      <c r="L321" s="133"/>
      <c r="M321" s="133"/>
      <c r="N321" s="133"/>
      <c r="O321" s="133"/>
      <c r="P321" s="167"/>
      <c r="Q321" s="130">
        <v>80940020275</v>
      </c>
      <c r="R321" s="130">
        <v>80940020275</v>
      </c>
    </row>
    <row r="322" spans="1:32" x14ac:dyDescent="0.2">
      <c r="A322" s="141"/>
      <c r="B322" s="135"/>
      <c r="C322" s="130" t="s">
        <v>26</v>
      </c>
      <c r="D322" s="131">
        <v>9.5000000000000001E-2</v>
      </c>
      <c r="E322" s="131">
        <f t="shared" si="22"/>
        <v>0.43999999999999995</v>
      </c>
      <c r="F322" s="131">
        <v>0.34499999999999997</v>
      </c>
      <c r="G322" s="133">
        <v>1380</v>
      </c>
      <c r="H322" s="38" t="s">
        <v>32</v>
      </c>
      <c r="I322" s="133"/>
      <c r="J322" s="133"/>
      <c r="K322" s="133"/>
      <c r="L322" s="133"/>
      <c r="M322" s="133"/>
      <c r="N322" s="133"/>
      <c r="O322" s="133"/>
      <c r="P322" s="167"/>
      <c r="Q322" s="130">
        <v>80940020014</v>
      </c>
      <c r="R322" s="130">
        <v>80940020014</v>
      </c>
    </row>
    <row r="323" spans="1:32" x14ac:dyDescent="0.2">
      <c r="A323" s="168"/>
      <c r="B323" s="137"/>
      <c r="C323" s="130" t="s">
        <v>26</v>
      </c>
      <c r="D323" s="131">
        <f t="shared" si="23"/>
        <v>0.43999999999999995</v>
      </c>
      <c r="E323" s="131">
        <f t="shared" si="22"/>
        <v>0.78499999999999992</v>
      </c>
      <c r="F323" s="131">
        <v>0.34499999999999997</v>
      </c>
      <c r="G323" s="133">
        <v>1380</v>
      </c>
      <c r="H323" s="38" t="s">
        <v>32</v>
      </c>
      <c r="I323" s="133"/>
      <c r="J323" s="133"/>
      <c r="K323" s="133"/>
      <c r="L323" s="133"/>
      <c r="M323" s="133"/>
      <c r="N323" s="133"/>
      <c r="O323" s="133"/>
      <c r="P323" s="167"/>
      <c r="Q323" s="130">
        <v>80940020263</v>
      </c>
      <c r="R323" s="130">
        <v>80940020263</v>
      </c>
    </row>
    <row r="324" spans="1:32" x14ac:dyDescent="0.2">
      <c r="A324" s="140">
        <v>9</v>
      </c>
      <c r="B324" s="129" t="s">
        <v>266</v>
      </c>
      <c r="C324" s="128" t="s">
        <v>26</v>
      </c>
      <c r="D324" s="131">
        <v>0</v>
      </c>
      <c r="E324" s="131">
        <f t="shared" si="22"/>
        <v>0.36499999999999999</v>
      </c>
      <c r="F324" s="131">
        <v>0.36499999999999999</v>
      </c>
      <c r="G324" s="133">
        <v>1643</v>
      </c>
      <c r="H324" s="38" t="s">
        <v>32</v>
      </c>
      <c r="I324" s="133"/>
      <c r="J324" s="133"/>
      <c r="K324" s="133"/>
      <c r="L324" s="133"/>
      <c r="M324" s="133"/>
      <c r="N324" s="133"/>
      <c r="O324" s="133"/>
      <c r="P324" s="167"/>
      <c r="Q324" s="130">
        <v>80940020256</v>
      </c>
      <c r="R324" s="130">
        <v>80940020256</v>
      </c>
    </row>
    <row r="325" spans="1:32" x14ac:dyDescent="0.2">
      <c r="A325" s="140">
        <v>10</v>
      </c>
      <c r="B325" s="129" t="s">
        <v>267</v>
      </c>
      <c r="C325" s="130" t="s">
        <v>34</v>
      </c>
      <c r="D325" s="131">
        <v>0</v>
      </c>
      <c r="E325" s="131">
        <f t="shared" si="22"/>
        <v>0.19</v>
      </c>
      <c r="F325" s="131">
        <v>0.19</v>
      </c>
      <c r="G325" s="133">
        <v>1140</v>
      </c>
      <c r="H325" s="38" t="s">
        <v>32</v>
      </c>
      <c r="I325" s="133"/>
      <c r="J325" s="133"/>
      <c r="K325" s="133"/>
      <c r="L325" s="133"/>
      <c r="M325" s="133"/>
      <c r="N325" s="133"/>
      <c r="O325" s="133"/>
      <c r="P325" s="167"/>
      <c r="Q325" s="130">
        <v>80940020264</v>
      </c>
      <c r="R325" s="130">
        <v>80940020264</v>
      </c>
    </row>
    <row r="326" spans="1:32" x14ac:dyDescent="0.2">
      <c r="A326" s="141"/>
      <c r="B326" s="135"/>
      <c r="C326" s="130" t="s">
        <v>34</v>
      </c>
      <c r="D326" s="131">
        <f t="shared" ref="D326" si="24">E325</f>
        <v>0.19</v>
      </c>
      <c r="E326" s="131">
        <f t="shared" si="22"/>
        <v>0.4</v>
      </c>
      <c r="F326" s="131">
        <v>0.21</v>
      </c>
      <c r="G326" s="133">
        <v>1680</v>
      </c>
      <c r="H326" s="38" t="s">
        <v>32</v>
      </c>
      <c r="I326" s="133"/>
      <c r="J326" s="133"/>
      <c r="K326" s="133"/>
      <c r="L326" s="133"/>
      <c r="M326" s="133"/>
      <c r="N326" s="133"/>
      <c r="O326" s="133"/>
      <c r="P326" s="167"/>
      <c r="Q326" s="130">
        <v>80940020273</v>
      </c>
      <c r="R326" s="130">
        <v>80940020273</v>
      </c>
    </row>
    <row r="327" spans="1:32" x14ac:dyDescent="0.2">
      <c r="A327" s="141"/>
      <c r="B327" s="135"/>
      <c r="C327" s="130" t="s">
        <v>34</v>
      </c>
      <c r="D327" s="131">
        <v>0.4</v>
      </c>
      <c r="E327" s="131">
        <v>0.7</v>
      </c>
      <c r="F327" s="131">
        <v>0.3</v>
      </c>
      <c r="G327" s="133">
        <v>2400</v>
      </c>
      <c r="H327" s="133" t="s">
        <v>27</v>
      </c>
      <c r="I327" s="133"/>
      <c r="J327" s="133"/>
      <c r="K327" s="133"/>
      <c r="L327" s="133"/>
      <c r="M327" s="133"/>
      <c r="N327" s="133"/>
      <c r="O327" s="133"/>
      <c r="P327" s="167"/>
      <c r="Q327" s="130">
        <v>80940020273</v>
      </c>
      <c r="R327" s="130">
        <v>80940020273</v>
      </c>
    </row>
    <row r="328" spans="1:32" x14ac:dyDescent="0.2">
      <c r="A328" s="168"/>
      <c r="B328" s="137"/>
      <c r="C328" s="130" t="s">
        <v>34</v>
      </c>
      <c r="D328" s="131">
        <v>0.7</v>
      </c>
      <c r="E328" s="131">
        <f t="shared" si="22"/>
        <v>0.79999999999999993</v>
      </c>
      <c r="F328" s="131">
        <v>0.1</v>
      </c>
      <c r="G328" s="133">
        <v>600</v>
      </c>
      <c r="H328" s="133" t="s">
        <v>27</v>
      </c>
      <c r="I328" s="133"/>
      <c r="J328" s="133"/>
      <c r="K328" s="133"/>
      <c r="L328" s="133"/>
      <c r="M328" s="133"/>
      <c r="N328" s="133"/>
      <c r="O328" s="133"/>
      <c r="P328" s="167"/>
      <c r="Q328" s="130">
        <v>80940020324</v>
      </c>
      <c r="R328" s="130">
        <v>80940020324</v>
      </c>
    </row>
    <row r="329" spans="1:32" x14ac:dyDescent="0.2">
      <c r="A329" s="139">
        <v>11</v>
      </c>
      <c r="B329" s="138" t="s">
        <v>268</v>
      </c>
      <c r="C329" s="130" t="s">
        <v>26</v>
      </c>
      <c r="D329" s="131">
        <v>0</v>
      </c>
      <c r="E329" s="131">
        <f t="shared" si="22"/>
        <v>7.4999999999999997E-2</v>
      </c>
      <c r="F329" s="131">
        <v>7.4999999999999997E-2</v>
      </c>
      <c r="G329" s="133">
        <v>225</v>
      </c>
      <c r="H329" s="133" t="s">
        <v>27</v>
      </c>
      <c r="I329" s="133"/>
      <c r="J329" s="133"/>
      <c r="K329" s="133"/>
      <c r="L329" s="133"/>
      <c r="M329" s="133"/>
      <c r="N329" s="133"/>
      <c r="O329" s="133"/>
      <c r="P329" s="167"/>
      <c r="Q329" s="130">
        <v>80940020267</v>
      </c>
      <c r="R329" s="130">
        <v>80940020267</v>
      </c>
    </row>
    <row r="330" spans="1:32" x14ac:dyDescent="0.2">
      <c r="A330" s="128">
        <v>12</v>
      </c>
      <c r="B330" s="129" t="s">
        <v>269</v>
      </c>
      <c r="C330" s="128" t="s">
        <v>26</v>
      </c>
      <c r="D330" s="145">
        <v>0</v>
      </c>
      <c r="E330" s="145">
        <f t="shared" si="22"/>
        <v>1.1200000000000001</v>
      </c>
      <c r="F330" s="169">
        <v>1.1200000000000001</v>
      </c>
      <c r="G330" s="170">
        <v>4480</v>
      </c>
      <c r="H330" s="170" t="s">
        <v>27</v>
      </c>
      <c r="I330" s="170"/>
      <c r="J330" s="170"/>
      <c r="K330" s="170"/>
      <c r="L330" s="170"/>
      <c r="M330" s="170"/>
      <c r="N330" s="170"/>
      <c r="O330" s="170"/>
      <c r="P330" s="170"/>
      <c r="Q330" s="171">
        <v>80940020268</v>
      </c>
      <c r="R330" s="171">
        <v>80940020268</v>
      </c>
    </row>
    <row r="331" spans="1:32" x14ac:dyDescent="0.2">
      <c r="A331" s="140">
        <v>13</v>
      </c>
      <c r="B331" s="129" t="s">
        <v>270</v>
      </c>
      <c r="C331" s="130" t="s">
        <v>26</v>
      </c>
      <c r="D331" s="131">
        <v>0</v>
      </c>
      <c r="E331" s="131">
        <f t="shared" si="22"/>
        <v>0.08</v>
      </c>
      <c r="F331" s="131">
        <v>0.08</v>
      </c>
      <c r="G331" s="133">
        <v>320</v>
      </c>
      <c r="H331" s="133" t="s">
        <v>27</v>
      </c>
      <c r="I331" s="133"/>
      <c r="J331" s="133"/>
      <c r="K331" s="133"/>
      <c r="L331" s="133"/>
      <c r="M331" s="133"/>
      <c r="N331" s="133"/>
      <c r="O331" s="133"/>
      <c r="P331" s="167"/>
      <c r="Q331" s="130">
        <v>80940020275</v>
      </c>
      <c r="R331" s="130">
        <v>80940020262</v>
      </c>
    </row>
    <row r="332" spans="1:32" x14ac:dyDescent="0.2">
      <c r="A332" s="141"/>
      <c r="B332" s="135"/>
      <c r="C332" s="130" t="s">
        <v>26</v>
      </c>
      <c r="D332" s="131">
        <v>0.24</v>
      </c>
      <c r="E332" s="131">
        <f t="shared" si="22"/>
        <v>0.375</v>
      </c>
      <c r="F332" s="131">
        <v>0.13500000000000001</v>
      </c>
      <c r="G332" s="133">
        <v>608</v>
      </c>
      <c r="H332" s="133" t="s">
        <v>27</v>
      </c>
      <c r="I332" s="133"/>
      <c r="J332" s="133"/>
      <c r="K332" s="133"/>
      <c r="L332" s="133"/>
      <c r="M332" s="133"/>
      <c r="N332" s="133"/>
      <c r="O332" s="133"/>
      <c r="P332" s="167"/>
      <c r="Q332" s="130">
        <v>80940020275</v>
      </c>
      <c r="R332" s="130">
        <v>80940020262</v>
      </c>
    </row>
    <row r="333" spans="1:32" x14ac:dyDescent="0.2">
      <c r="A333" s="168"/>
      <c r="B333" s="137"/>
      <c r="C333" s="130" t="s">
        <v>26</v>
      </c>
      <c r="D333" s="131">
        <f t="shared" si="23"/>
        <v>0.375</v>
      </c>
      <c r="E333" s="131">
        <f t="shared" si="22"/>
        <v>0.71500000000000008</v>
      </c>
      <c r="F333" s="131">
        <v>0.34</v>
      </c>
      <c r="G333" s="133">
        <v>1530</v>
      </c>
      <c r="H333" s="133" t="s">
        <v>27</v>
      </c>
      <c r="I333" s="133"/>
      <c r="J333" s="133"/>
      <c r="K333" s="133"/>
      <c r="L333" s="133"/>
      <c r="M333" s="133"/>
      <c r="N333" s="133"/>
      <c r="O333" s="133"/>
      <c r="P333" s="167"/>
      <c r="Q333" s="130">
        <v>80940020262</v>
      </c>
      <c r="R333" s="130">
        <v>80940020262</v>
      </c>
    </row>
    <row r="334" spans="1:32" ht="15" x14ac:dyDescent="0.25">
      <c r="A334" s="139">
        <v>14</v>
      </c>
      <c r="B334" s="138" t="s">
        <v>271</v>
      </c>
      <c r="C334" s="130" t="s">
        <v>26</v>
      </c>
      <c r="D334" s="131">
        <v>0</v>
      </c>
      <c r="E334" s="131">
        <f t="shared" si="22"/>
        <v>0.09</v>
      </c>
      <c r="F334" s="131">
        <v>0.09</v>
      </c>
      <c r="G334" s="133">
        <v>270</v>
      </c>
      <c r="H334" s="133" t="s">
        <v>27</v>
      </c>
      <c r="I334" s="133"/>
      <c r="J334" s="133"/>
      <c r="K334" s="133"/>
      <c r="L334" s="133"/>
      <c r="M334" s="133"/>
      <c r="N334" s="133"/>
      <c r="O334" s="133"/>
      <c r="P334" s="167"/>
      <c r="Q334" s="130">
        <v>80940020252</v>
      </c>
      <c r="R334" s="130">
        <v>80940020270</v>
      </c>
      <c r="S334"/>
    </row>
    <row r="335" spans="1:32" ht="12.75" customHeight="1" x14ac:dyDescent="0.25">
      <c r="A335" s="93" t="s">
        <v>272</v>
      </c>
      <c r="B335" s="94"/>
      <c r="C335" s="95"/>
      <c r="D335" s="94"/>
      <c r="E335" s="96"/>
      <c r="F335" s="97">
        <f>SUM(F309:F334)</f>
        <v>6.5649999999999995</v>
      </c>
      <c r="G335" s="98">
        <f>SUM(G309:G334)</f>
        <v>30505</v>
      </c>
      <c r="H335" s="160"/>
      <c r="I335" s="16"/>
      <c r="J335" s="99"/>
      <c r="K335" s="100" t="s">
        <v>213</v>
      </c>
      <c r="L335" s="101">
        <f>SUM(L309:L334)</f>
        <v>0</v>
      </c>
      <c r="M335" s="101">
        <f>SUM(M309:M334)</f>
        <v>0</v>
      </c>
      <c r="N335" s="92"/>
      <c r="O335" s="100" t="s">
        <v>214</v>
      </c>
      <c r="P335" s="101">
        <f>SUM(P309:P334)</f>
        <v>773</v>
      </c>
      <c r="Q335" s="92"/>
      <c r="T335"/>
      <c r="U335"/>
      <c r="V335"/>
      <c r="W335"/>
      <c r="X335"/>
      <c r="Y335"/>
      <c r="Z335"/>
      <c r="AA335" t="s">
        <v>211</v>
      </c>
      <c r="AB335"/>
      <c r="AC335"/>
      <c r="AD335"/>
      <c r="AE335"/>
      <c r="AF335"/>
    </row>
    <row r="336" spans="1:32" ht="12.75" customHeight="1" x14ac:dyDescent="0.2">
      <c r="A336" s="105" t="s">
        <v>220</v>
      </c>
      <c r="B336" s="106"/>
      <c r="C336" s="95"/>
      <c r="D336" s="94"/>
      <c r="E336" s="96"/>
      <c r="F336" s="107">
        <f>SUMIFS(F309:F334,H309:H334,"dubultā virsma")</f>
        <v>2.0249999999999999</v>
      </c>
      <c r="G336" s="108">
        <f>SUMIFS(G309:G334,H309:H334,"dubultā virsma")</f>
        <v>9477</v>
      </c>
      <c r="H336" s="160"/>
      <c r="I336" s="16"/>
      <c r="J336" s="99"/>
      <c r="K336" s="109"/>
      <c r="L336" s="110"/>
      <c r="M336" s="110"/>
      <c r="N336" s="92"/>
      <c r="O336" s="109"/>
      <c r="P336" s="110"/>
      <c r="Q336" s="92"/>
      <c r="T336" s="103" t="s">
        <v>215</v>
      </c>
      <c r="U336" s="103" t="s">
        <v>216</v>
      </c>
      <c r="V336" s="103" t="s">
        <v>217</v>
      </c>
      <c r="W336" s="103" t="s">
        <v>218</v>
      </c>
      <c r="X336" s="103" t="s">
        <v>219</v>
      </c>
      <c r="Y336" s="104" t="s">
        <v>214</v>
      </c>
      <c r="AA336" s="103" t="s">
        <v>215</v>
      </c>
      <c r="AB336" s="103" t="s">
        <v>216</v>
      </c>
      <c r="AC336" s="103" t="s">
        <v>217</v>
      </c>
      <c r="AD336" s="103" t="s">
        <v>218</v>
      </c>
      <c r="AE336" s="103" t="s">
        <v>219</v>
      </c>
      <c r="AF336" s="104" t="s">
        <v>214</v>
      </c>
    </row>
    <row r="337" spans="1:32" ht="12.75" customHeight="1" x14ac:dyDescent="0.2">
      <c r="A337" s="105" t="s">
        <v>221</v>
      </c>
      <c r="B337" s="106"/>
      <c r="C337" s="111"/>
      <c r="D337" s="106"/>
      <c r="E337" s="112"/>
      <c r="F337" s="107">
        <f>SUMIFS(F309:F334,H309:H334,"melnais")</f>
        <v>0.68500000000000005</v>
      </c>
      <c r="G337" s="108">
        <f>SUMIFS(G309:G334,H309:H334,"melnais")</f>
        <v>3809</v>
      </c>
      <c r="H337" s="163"/>
      <c r="I337" s="89"/>
      <c r="J337" s="92"/>
      <c r="K337" s="92"/>
      <c r="L337" s="115"/>
      <c r="M337" s="115"/>
      <c r="N337" s="92"/>
      <c r="O337" s="92"/>
      <c r="P337" s="92"/>
      <c r="Q337" s="92"/>
      <c r="S337" s="102" t="s">
        <v>20</v>
      </c>
      <c r="T337" s="103" t="s">
        <v>23</v>
      </c>
      <c r="U337" s="103" t="s">
        <v>23</v>
      </c>
      <c r="V337" s="103" t="s">
        <v>23</v>
      </c>
      <c r="W337" s="103" t="s">
        <v>23</v>
      </c>
      <c r="X337" s="103" t="s">
        <v>23</v>
      </c>
      <c r="Y337" s="104" t="s">
        <v>23</v>
      </c>
      <c r="Z337" s="102"/>
      <c r="AA337" s="103" t="s">
        <v>23</v>
      </c>
      <c r="AB337" s="103" t="s">
        <v>23</v>
      </c>
      <c r="AC337" s="103" t="s">
        <v>23</v>
      </c>
      <c r="AD337" s="103" t="s">
        <v>23</v>
      </c>
      <c r="AE337" s="103" t="s">
        <v>23</v>
      </c>
      <c r="AF337" s="104" t="s">
        <v>23</v>
      </c>
    </row>
    <row r="338" spans="1:32" ht="12.75" customHeight="1" x14ac:dyDescent="0.2">
      <c r="A338" s="105" t="s">
        <v>223</v>
      </c>
      <c r="B338" s="106"/>
      <c r="C338" s="111"/>
      <c r="D338" s="106"/>
      <c r="E338" s="112"/>
      <c r="F338" s="107">
        <v>0</v>
      </c>
      <c r="G338" s="108"/>
      <c r="I338" s="16"/>
      <c r="J338" s="92"/>
      <c r="N338" s="92"/>
      <c r="O338" s="92"/>
      <c r="P338" s="92"/>
      <c r="Q338" s="92"/>
      <c r="S338" s="116" t="s">
        <v>222</v>
      </c>
      <c r="T338" s="117">
        <f>SUMIFS(F300:F334,C300:C334,"A",H300:H334,"melnais")</f>
        <v>0</v>
      </c>
      <c r="U338" s="117">
        <f>SUMIFS(F300:F334,C300:C334,"A",H300:H334,"dubultā virsma")</f>
        <v>0</v>
      </c>
      <c r="V338" s="117">
        <f>SUMIFS(F300:F334,C300:C334,"A",H300:H334,"bruģis")</f>
        <v>0</v>
      </c>
      <c r="W338" s="117">
        <f>SUMIFS(F300:F334,C300:C334,"A",H300:H334,"grants")</f>
        <v>0</v>
      </c>
      <c r="X338" s="117">
        <f>SUMIFS(F300:F334,C300:C334,"A",H300:H334,"cits segums")</f>
        <v>0</v>
      </c>
      <c r="Y338" s="117">
        <f>SUM(T338:X338)</f>
        <v>0</v>
      </c>
      <c r="Z338" s="116" t="s">
        <v>222</v>
      </c>
      <c r="AA338" s="117">
        <f>SUMIFS(F300:F334,C300:C334,"A",H300:H334,"melnais", Q300:Q334,"Nepiederošs")</f>
        <v>0</v>
      </c>
      <c r="AB338" s="117">
        <f>SUMIFS(F300:F334,C300:C334,"A",H300:H334,"dubultā virsma", Q300:Q334,"Nepiederošs")</f>
        <v>0</v>
      </c>
      <c r="AC338" s="117">
        <f>SUMIFS(F300:F334,C300:C334,"A",H300:H334,"bruģis", Q300:Q334,"Nepiederošs")</f>
        <v>0</v>
      </c>
      <c r="AD338" s="117">
        <f>SUMIFS(F300:F334,C300:C334,"A",H300:H334,"grants", Q300:Q334,"Nepiederošs")</f>
        <v>0</v>
      </c>
      <c r="AE338" s="117">
        <f>SUMIFS(F300:F334,C300:C334,"A",H300:H334,"cits segums", Q300:Q334,"Nepiederošs")</f>
        <v>0</v>
      </c>
      <c r="AF338" s="117">
        <f>SUM(AA338:AE338)</f>
        <v>0</v>
      </c>
    </row>
    <row r="339" spans="1:32" ht="12.75" customHeight="1" x14ac:dyDescent="0.2">
      <c r="A339" s="105" t="s">
        <v>224</v>
      </c>
      <c r="B339" s="106"/>
      <c r="C339" s="111"/>
      <c r="D339" s="106"/>
      <c r="E339" s="112"/>
      <c r="F339" s="107">
        <f>SUMIFS(F309:F334,H309:H334,"grants")</f>
        <v>3.8550000000000004</v>
      </c>
      <c r="G339" s="108">
        <f>SUMIFS(G309:G334,H309:H334,"grants")</f>
        <v>17219</v>
      </c>
      <c r="I339" s="16"/>
      <c r="J339" s="92"/>
      <c r="N339" s="92"/>
      <c r="O339" s="92"/>
      <c r="P339" s="92"/>
      <c r="Q339" s="92"/>
      <c r="S339" s="120" t="s">
        <v>39</v>
      </c>
      <c r="T339" s="117">
        <f>SUMIFS(F300:F334,C300:C334,"B",H300:H334,"melnais")</f>
        <v>0</v>
      </c>
      <c r="U339" s="117">
        <f>SUMIFS(F300:F334,C300:C334,"B",H300:H334,"dubultā virsma")</f>
        <v>0</v>
      </c>
      <c r="V339" s="117">
        <f>SUMIFS(F300:F334,C300:C334,"B",H300:H334,"bruģis")</f>
        <v>0</v>
      </c>
      <c r="W339" s="117">
        <f>SUMIFS(F300:F334,C300:C334,"B",H300:H334,"grants")</f>
        <v>0</v>
      </c>
      <c r="X339" s="117">
        <f>SUMIFS(F300:F334,C300:C334,"B",H300:H334,"cits segums")</f>
        <v>0</v>
      </c>
      <c r="Y339" s="117">
        <f t="shared" ref="Y339:Y341" si="25">SUM(T339:X339)</f>
        <v>0</v>
      </c>
      <c r="Z339" s="120" t="s">
        <v>39</v>
      </c>
      <c r="AA339" s="117">
        <f>SUMIFS(F300:F334,C300:C334,"B",H300:H334,"melnais", Q300:Q334,"Nepiederošs")</f>
        <v>0</v>
      </c>
      <c r="AB339" s="117">
        <f>SUMIFS(F300:F334,C300:C334,"B",H300:H334,"dubultā virsma", Q300:Q334,"Nepiederošs")</f>
        <v>0</v>
      </c>
      <c r="AC339" s="117">
        <f>SUMIFS(F300:F334,C300:C334,"B",H300:H334,"bruģis", Q300:Q334,"Nepiederošs")</f>
        <v>0</v>
      </c>
      <c r="AD339" s="117">
        <f>SUMIFS(F300:F334,C300:C334,"B",H300:H334,"grants", Q300:Q334,"Nepiederošs")</f>
        <v>0</v>
      </c>
      <c r="AE339" s="117">
        <f>SUMIFS(F300:F334,C300:C334,"B",H300:H334,"cits segums", Q300:Q334,"Nepiederošs")</f>
        <v>0</v>
      </c>
      <c r="AF339" s="117">
        <f t="shared" ref="AF339:AF341" si="26">SUM(AA339:AE339)</f>
        <v>0</v>
      </c>
    </row>
    <row r="340" spans="1:32" ht="12.75" customHeight="1" x14ac:dyDescent="0.2">
      <c r="A340" s="105" t="s">
        <v>225</v>
      </c>
      <c r="B340" s="106"/>
      <c r="C340" s="111"/>
      <c r="D340" s="106"/>
      <c r="E340" s="112"/>
      <c r="F340" s="107">
        <f>SUMIFS(F309:F334,H309:H334,"cits segums")</f>
        <v>0</v>
      </c>
      <c r="G340" s="108">
        <f>SUMIFS(G309:G334,H309:H334,"cits segums")</f>
        <v>0</v>
      </c>
      <c r="H340" s="89"/>
      <c r="I340" s="16"/>
      <c r="J340" s="122"/>
      <c r="N340" s="92"/>
      <c r="O340" s="92"/>
      <c r="P340" s="92"/>
      <c r="Q340" s="92"/>
      <c r="S340" s="121" t="s">
        <v>34</v>
      </c>
      <c r="T340" s="117">
        <f>SUMIFS(F300:F334,C300:C334,"C",H300:H334,"melnais")</f>
        <v>0.65500000000000003</v>
      </c>
      <c r="U340" s="117">
        <f>SUMIFS(F300:F334,C300:C334,"C",H300:H334,"dubultā virsma")</f>
        <v>0.4</v>
      </c>
      <c r="V340" s="117">
        <f>SUMIFS(F300:F334,C300:C334,"C",H300:H334,"bruģis")</f>
        <v>0</v>
      </c>
      <c r="W340" s="117">
        <f>SUMIFS(F300:F334,C300:C334,"C",H300:H334,"grants")</f>
        <v>0.995</v>
      </c>
      <c r="X340" s="117">
        <f>SUMIFS(F300:F334,C300:C334,"C",H300:H334,"cits segums")</f>
        <v>0</v>
      </c>
      <c r="Y340" s="117">
        <f t="shared" si="25"/>
        <v>2.0500000000000003</v>
      </c>
      <c r="Z340" s="121" t="s">
        <v>34</v>
      </c>
      <c r="AA340" s="117">
        <f>SUMIFS(F300:F334,C300:C334,"C",H300:H334,"melnais", Q300:Q334,"Nepiederošs")</f>
        <v>0</v>
      </c>
      <c r="AB340" s="117">
        <f>SUMIFS(F300:F334,C300:C334,"C",H300:H334,"dubultā virsma", Q300:Q334,"Nepiederošs")</f>
        <v>0</v>
      </c>
      <c r="AC340" s="117">
        <f>SUMIFS(F300:F334,C300:C334,"C",H300:H334,"bruģis", Q300:Q334,"Nepiederošs")</f>
        <v>0</v>
      </c>
      <c r="AD340" s="117">
        <f>SUMIFS(F300:F334,C300:C334,"C",H300:H334,"grants", Q300:Q334,"Nepiederošs")</f>
        <v>0</v>
      </c>
      <c r="AE340" s="117">
        <f>SUMIFS(F300:F334,C300:C334,"C",H300:H334,"cits segums", Q300:Q334,"Nepiederošs")</f>
        <v>0</v>
      </c>
      <c r="AF340" s="117">
        <f t="shared" si="26"/>
        <v>0</v>
      </c>
    </row>
    <row r="341" spans="1:32" ht="12.75" customHeight="1" x14ac:dyDescent="0.2">
      <c r="A341" s="2"/>
      <c r="B341" s="2"/>
      <c r="C341" s="1"/>
      <c r="D341" s="2"/>
      <c r="E341" s="2"/>
      <c r="F341" s="123"/>
      <c r="G341" s="164"/>
      <c r="H341" s="89"/>
      <c r="I341" s="16"/>
      <c r="J341" s="122"/>
      <c r="N341" s="92"/>
      <c r="O341" s="92"/>
      <c r="P341" s="92"/>
      <c r="Q341" s="92"/>
      <c r="S341" s="116" t="s">
        <v>26</v>
      </c>
      <c r="T341" s="117">
        <f>SUMIFS(F300:F334,C300:C334,"D",H300:H334,"melnais")</f>
        <v>0.03</v>
      </c>
      <c r="U341" s="117">
        <f>SUMIFS(F300:F334,C300:C334,"D",H300:H334,"dubultā virsma")</f>
        <v>1.625</v>
      </c>
      <c r="V341" s="117">
        <f>SUMIFS(F300:F334,C300:C334,"D",H300:H334,"bruģis")</f>
        <v>0</v>
      </c>
      <c r="W341" s="117">
        <f>SUMIFS(F300:F334,C300:C334,"D",H300:H334,"grants")</f>
        <v>2.8599999999999994</v>
      </c>
      <c r="X341" s="117">
        <f>SUMIFS(F300:F334,C300:C334,"D",H300:H334,"cits segums")</f>
        <v>0</v>
      </c>
      <c r="Y341" s="117">
        <f t="shared" si="25"/>
        <v>4.5149999999999997</v>
      </c>
      <c r="Z341" s="116" t="s">
        <v>26</v>
      </c>
      <c r="AA341" s="117">
        <f>SUMIFS(F300:F334,C300:C334,"D",H300:H334,"melnais", Q300:Q334,"Nepiederošs")</f>
        <v>0</v>
      </c>
      <c r="AB341" s="117">
        <f>SUMIFS(F300:F334,C300:C334,"D",H300:H334,"dubultā virsma", Q300:Q334,"Nepiederošs")</f>
        <v>0</v>
      </c>
      <c r="AC341" s="117">
        <f>SUMIFS(F300:F334,C300:C334,"D",H300:H334,"bruģis", Q300:Q334,"Nepiederošs")</f>
        <v>0</v>
      </c>
      <c r="AD341" s="117">
        <f>SUMIFS(F300:F334,C300:C334,"D",H300:H334,"grants", Q300:Q334,"Nepiederošs")</f>
        <v>0</v>
      </c>
      <c r="AE341" s="117">
        <f>SUMIFS(F300:F334,C300:C334,"D",H300:H334,"cits segums", Q300:Q334,"Nepiederošs")</f>
        <v>0</v>
      </c>
      <c r="AF341" s="117">
        <f t="shared" si="26"/>
        <v>0</v>
      </c>
    </row>
    <row r="342" spans="1:32" s="2" customFormat="1" ht="15" customHeight="1" x14ac:dyDescent="0.25">
      <c r="A342" s="1"/>
      <c r="C342" s="1"/>
      <c r="D342" s="6" t="s">
        <v>273</v>
      </c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4"/>
      <c r="R342" s="7"/>
      <c r="S342" s="172"/>
      <c r="T342" s="126">
        <f>SUM(T338:T341)</f>
        <v>0.68500000000000005</v>
      </c>
      <c r="U342" s="126">
        <f t="shared" ref="U342:Y342" si="27">SUM(U338:U341)</f>
        <v>2.0249999999999999</v>
      </c>
      <c r="V342" s="126">
        <f t="shared" si="27"/>
        <v>0</v>
      </c>
      <c r="W342" s="126">
        <f t="shared" si="27"/>
        <v>3.8549999999999995</v>
      </c>
      <c r="X342" s="126">
        <f t="shared" si="27"/>
        <v>0</v>
      </c>
      <c r="Y342" s="126">
        <f t="shared" si="27"/>
        <v>6.5649999999999995</v>
      </c>
      <c r="Z342"/>
      <c r="AA342" s="126">
        <f>SUM(AA338:AA341)</f>
        <v>0</v>
      </c>
      <c r="AB342" s="126">
        <f t="shared" ref="AB342" si="28">SUM(AB338:AB341)</f>
        <v>0</v>
      </c>
      <c r="AC342" s="126">
        <f>SUM(AC338:AC341)</f>
        <v>0</v>
      </c>
      <c r="AD342" s="126">
        <f t="shared" ref="AD342:AF342" si="29">SUM(AD338:AD341)</f>
        <v>0</v>
      </c>
      <c r="AE342" s="126">
        <f t="shared" si="29"/>
        <v>0</v>
      </c>
      <c r="AF342" s="126">
        <f t="shared" si="29"/>
        <v>0</v>
      </c>
    </row>
    <row r="343" spans="1:32" ht="12.75" customHeight="1" x14ac:dyDescent="0.2">
      <c r="A343" s="8" t="s">
        <v>2</v>
      </c>
      <c r="B343" s="9" t="s">
        <v>3</v>
      </c>
      <c r="C343" s="10"/>
      <c r="D343" s="11" t="s">
        <v>4</v>
      </c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3"/>
      <c r="Q343" s="14" t="s">
        <v>5</v>
      </c>
      <c r="R343" s="15"/>
    </row>
    <row r="344" spans="1:32" ht="12.75" customHeight="1" x14ac:dyDescent="0.2">
      <c r="A344" s="8"/>
      <c r="B344" s="9"/>
      <c r="C344" s="17"/>
      <c r="D344" s="9" t="s">
        <v>6</v>
      </c>
      <c r="E344" s="9"/>
      <c r="F344" s="9"/>
      <c r="G344" s="9"/>
      <c r="H344" s="9"/>
      <c r="I344" s="18" t="s">
        <v>7</v>
      </c>
      <c r="J344" s="18"/>
      <c r="K344" s="18"/>
      <c r="L344" s="18"/>
      <c r="M344" s="18"/>
      <c r="N344" s="18"/>
      <c r="O344" s="18"/>
      <c r="P344" s="19" t="s">
        <v>8</v>
      </c>
      <c r="Q344" s="20"/>
      <c r="R344" s="21"/>
    </row>
    <row r="345" spans="1:32" ht="15.2" customHeight="1" x14ac:dyDescent="0.2">
      <c r="A345" s="8"/>
      <c r="B345" s="9"/>
      <c r="C345" s="17"/>
      <c r="D345" s="9" t="s">
        <v>9</v>
      </c>
      <c r="E345" s="9"/>
      <c r="F345" s="8" t="s">
        <v>10</v>
      </c>
      <c r="G345" s="8" t="s">
        <v>11</v>
      </c>
      <c r="H345" s="8" t="s">
        <v>12</v>
      </c>
      <c r="I345" s="18" t="s">
        <v>13</v>
      </c>
      <c r="J345" s="18" t="s">
        <v>14</v>
      </c>
      <c r="K345" s="18"/>
      <c r="L345" s="22" t="s">
        <v>15</v>
      </c>
      <c r="M345" s="22" t="s">
        <v>11</v>
      </c>
      <c r="N345" s="22" t="s">
        <v>16</v>
      </c>
      <c r="O345" s="22" t="s">
        <v>17</v>
      </c>
      <c r="P345" s="23"/>
      <c r="Q345" s="23" t="s">
        <v>18</v>
      </c>
      <c r="R345" s="24" t="s">
        <v>19</v>
      </c>
    </row>
    <row r="346" spans="1:32" ht="33.75" customHeight="1" x14ac:dyDescent="0.2">
      <c r="A346" s="8"/>
      <c r="B346" s="9"/>
      <c r="C346" s="25" t="s">
        <v>20</v>
      </c>
      <c r="D346" s="26" t="s">
        <v>21</v>
      </c>
      <c r="E346" s="26" t="s">
        <v>22</v>
      </c>
      <c r="F346" s="8"/>
      <c r="G346" s="8"/>
      <c r="H346" s="8"/>
      <c r="I346" s="18"/>
      <c r="J346" s="27" t="s">
        <v>23</v>
      </c>
      <c r="K346" s="27" t="s">
        <v>24</v>
      </c>
      <c r="L346" s="22"/>
      <c r="M346" s="22"/>
      <c r="N346" s="22"/>
      <c r="O346" s="22"/>
      <c r="P346" s="28"/>
      <c r="Q346" s="28"/>
      <c r="R346" s="29"/>
    </row>
    <row r="347" spans="1:32" s="32" customFormat="1" ht="12" customHeight="1" x14ac:dyDescent="0.25">
      <c r="A347" s="173">
        <v>1</v>
      </c>
      <c r="B347" s="173">
        <v>2</v>
      </c>
      <c r="C347" s="173"/>
      <c r="D347" s="173">
        <v>3</v>
      </c>
      <c r="E347" s="173">
        <v>4</v>
      </c>
      <c r="F347" s="173">
        <v>5</v>
      </c>
      <c r="G347" s="173">
        <v>6</v>
      </c>
      <c r="H347" s="173">
        <v>7</v>
      </c>
      <c r="I347" s="174">
        <v>8</v>
      </c>
      <c r="J347" s="174">
        <v>9</v>
      </c>
      <c r="K347" s="174">
        <v>10</v>
      </c>
      <c r="L347" s="174">
        <v>11</v>
      </c>
      <c r="M347" s="174">
        <v>12</v>
      </c>
      <c r="N347" s="174">
        <v>13</v>
      </c>
      <c r="O347" s="174">
        <v>14</v>
      </c>
      <c r="P347" s="174">
        <v>15</v>
      </c>
      <c r="Q347" s="174">
        <v>16</v>
      </c>
      <c r="R347" s="173">
        <v>17</v>
      </c>
    </row>
    <row r="348" spans="1:32" x14ac:dyDescent="0.2">
      <c r="A348" s="128">
        <v>1</v>
      </c>
      <c r="B348" s="129" t="s">
        <v>274</v>
      </c>
      <c r="C348" s="130" t="s">
        <v>34</v>
      </c>
      <c r="D348" s="131">
        <v>0</v>
      </c>
      <c r="E348" s="131">
        <f>D348+F348</f>
        <v>0.14399999999999999</v>
      </c>
      <c r="F348" s="131">
        <v>0.14399999999999999</v>
      </c>
      <c r="G348" s="133">
        <v>720</v>
      </c>
      <c r="H348" s="133" t="s">
        <v>29</v>
      </c>
      <c r="I348" s="133"/>
      <c r="J348" s="133"/>
      <c r="K348" s="133"/>
      <c r="L348" s="133"/>
      <c r="M348" s="133"/>
      <c r="N348" s="133"/>
      <c r="O348" s="133"/>
      <c r="P348" s="133"/>
      <c r="Q348" s="130">
        <v>80940030033</v>
      </c>
      <c r="R348" s="130">
        <v>80940030220</v>
      </c>
    </row>
    <row r="349" spans="1:32" x14ac:dyDescent="0.2">
      <c r="A349" s="134"/>
      <c r="B349" s="135"/>
      <c r="C349" s="130" t="s">
        <v>34</v>
      </c>
      <c r="D349" s="131">
        <f>E348</f>
        <v>0.14399999999999999</v>
      </c>
      <c r="E349" s="131">
        <f t="shared" ref="E349:E350" si="30">D349+F349</f>
        <v>0.43999999999999995</v>
      </c>
      <c r="F349" s="131">
        <v>0.29599999999999999</v>
      </c>
      <c r="G349" s="133">
        <v>1480</v>
      </c>
      <c r="H349" s="133" t="s">
        <v>29</v>
      </c>
      <c r="I349" s="133"/>
      <c r="J349" s="133"/>
      <c r="K349" s="133"/>
      <c r="L349" s="133"/>
      <c r="M349" s="133"/>
      <c r="N349" s="133"/>
      <c r="O349" s="133"/>
      <c r="P349" s="133"/>
      <c r="Q349" s="130">
        <v>80940030033</v>
      </c>
      <c r="R349" s="130">
        <v>80940030151</v>
      </c>
    </row>
    <row r="350" spans="1:32" ht="15" x14ac:dyDescent="0.25">
      <c r="A350" s="139">
        <v>2</v>
      </c>
      <c r="B350" s="138" t="s">
        <v>275</v>
      </c>
      <c r="C350" s="130" t="s">
        <v>26</v>
      </c>
      <c r="D350" s="131">
        <v>0</v>
      </c>
      <c r="E350" s="131">
        <f t="shared" si="30"/>
        <v>0.32</v>
      </c>
      <c r="F350" s="131">
        <v>0.32</v>
      </c>
      <c r="G350" s="133">
        <v>960</v>
      </c>
      <c r="H350" s="133" t="s">
        <v>27</v>
      </c>
      <c r="I350" s="133"/>
      <c r="J350" s="133"/>
      <c r="K350" s="133"/>
      <c r="L350" s="133"/>
      <c r="M350" s="133"/>
      <c r="N350" s="133"/>
      <c r="O350" s="133"/>
      <c r="P350" s="133"/>
      <c r="Q350" s="130">
        <v>80940030323</v>
      </c>
      <c r="R350" s="130">
        <v>80940030323</v>
      </c>
      <c r="S350"/>
      <c r="T350"/>
      <c r="U350"/>
      <c r="V350"/>
      <c r="W350"/>
      <c r="X350"/>
      <c r="Y350"/>
      <c r="Z350"/>
      <c r="AA350" t="s">
        <v>211</v>
      </c>
      <c r="AB350"/>
      <c r="AC350"/>
      <c r="AD350"/>
      <c r="AE350"/>
      <c r="AF350"/>
    </row>
    <row r="351" spans="1:32" ht="12.75" customHeight="1" x14ac:dyDescent="0.2">
      <c r="A351" s="93" t="s">
        <v>276</v>
      </c>
      <c r="B351" s="94"/>
      <c r="C351" s="95"/>
      <c r="D351" s="94"/>
      <c r="E351" s="96"/>
      <c r="F351" s="97">
        <f>SUM(F348:F350)</f>
        <v>0.76</v>
      </c>
      <c r="G351" s="98">
        <f>SUM(G348:G350)</f>
        <v>3160</v>
      </c>
      <c r="H351" s="160"/>
      <c r="I351" s="16"/>
      <c r="J351" s="99"/>
      <c r="K351" s="100" t="s">
        <v>213</v>
      </c>
      <c r="L351" s="101">
        <f>SUM(L348:L350)</f>
        <v>0</v>
      </c>
      <c r="M351" s="101">
        <f>SUM(M348:M350)</f>
        <v>0</v>
      </c>
      <c r="N351" s="92"/>
      <c r="O351" s="100" t="s">
        <v>214</v>
      </c>
      <c r="P351" s="101">
        <f>SUM(P348:P350)</f>
        <v>0</v>
      </c>
      <c r="Q351" s="92"/>
      <c r="T351" s="103" t="s">
        <v>215</v>
      </c>
      <c r="U351" s="103" t="s">
        <v>216</v>
      </c>
      <c r="V351" s="103" t="s">
        <v>217</v>
      </c>
      <c r="W351" s="103" t="s">
        <v>218</v>
      </c>
      <c r="X351" s="103" t="s">
        <v>219</v>
      </c>
      <c r="Y351" s="104" t="s">
        <v>214</v>
      </c>
      <c r="AA351" s="103" t="s">
        <v>215</v>
      </c>
      <c r="AB351" s="103" t="s">
        <v>216</v>
      </c>
      <c r="AC351" s="103" t="s">
        <v>217</v>
      </c>
      <c r="AD351" s="103" t="s">
        <v>218</v>
      </c>
      <c r="AE351" s="103" t="s">
        <v>219</v>
      </c>
      <c r="AF351" s="104" t="s">
        <v>214</v>
      </c>
    </row>
    <row r="352" spans="1:32" ht="12.75" customHeight="1" x14ac:dyDescent="0.2">
      <c r="A352" s="105" t="s">
        <v>221</v>
      </c>
      <c r="B352" s="106"/>
      <c r="C352" s="111"/>
      <c r="D352" s="106"/>
      <c r="E352" s="112"/>
      <c r="F352" s="107">
        <f>SUM(F348:F349)</f>
        <v>0.43999999999999995</v>
      </c>
      <c r="G352" s="108">
        <f>SUM(G348:G349)</f>
        <v>2200</v>
      </c>
      <c r="H352" s="163"/>
      <c r="I352" s="89"/>
      <c r="J352" s="92"/>
      <c r="K352" s="92"/>
      <c r="L352" s="115"/>
      <c r="M352" s="115"/>
      <c r="N352" s="92"/>
      <c r="O352" s="92"/>
      <c r="P352" s="92"/>
      <c r="Q352" s="92"/>
      <c r="S352" s="102" t="s">
        <v>20</v>
      </c>
      <c r="T352" s="103" t="s">
        <v>23</v>
      </c>
      <c r="U352" s="103" t="s">
        <v>23</v>
      </c>
      <c r="V352" s="103" t="s">
        <v>23</v>
      </c>
      <c r="W352" s="103" t="s">
        <v>23</v>
      </c>
      <c r="X352" s="103" t="s">
        <v>23</v>
      </c>
      <c r="Y352" s="104" t="s">
        <v>23</v>
      </c>
      <c r="Z352" s="102"/>
      <c r="AA352" s="103" t="s">
        <v>23</v>
      </c>
      <c r="AB352" s="103" t="s">
        <v>23</v>
      </c>
      <c r="AC352" s="103" t="s">
        <v>23</v>
      </c>
      <c r="AD352" s="103" t="s">
        <v>23</v>
      </c>
      <c r="AE352" s="103" t="s">
        <v>23</v>
      </c>
      <c r="AF352" s="104" t="s">
        <v>23</v>
      </c>
    </row>
    <row r="353" spans="1:32" ht="12.75" customHeight="1" x14ac:dyDescent="0.2">
      <c r="A353" s="105" t="s">
        <v>223</v>
      </c>
      <c r="B353" s="106"/>
      <c r="C353" s="111"/>
      <c r="D353" s="106"/>
      <c r="E353" s="112"/>
      <c r="F353" s="107">
        <v>0</v>
      </c>
      <c r="G353" s="108">
        <v>0</v>
      </c>
      <c r="I353" s="16"/>
      <c r="J353" s="92"/>
      <c r="N353" s="92"/>
      <c r="O353" s="92"/>
      <c r="P353" s="92"/>
      <c r="Q353" s="92"/>
      <c r="S353" s="116" t="s">
        <v>222</v>
      </c>
      <c r="T353" s="117">
        <f>SUMIFS(F344:F350,C344:C350,"A",H344:H350,"melnais")</f>
        <v>0</v>
      </c>
      <c r="U353" s="117">
        <f>SUMIFS(F344:F350,C344:C350,"A",H344:H350,"dubultā virsma")</f>
        <v>0</v>
      </c>
      <c r="V353" s="117">
        <f>SUMIFS(F344:F350,C344:C350,"A",H344:H350,"bruģis")</f>
        <v>0</v>
      </c>
      <c r="W353" s="117">
        <f>SUMIFS(F344:F350,C344:C350,"A",H344:H350,"grants")</f>
        <v>0</v>
      </c>
      <c r="X353" s="117">
        <f>SUMIFS(F344:F350,C344:C350,"A",H344:H350,"cits segums")</f>
        <v>0</v>
      </c>
      <c r="Y353" s="117">
        <f>SUM(T353:X353)</f>
        <v>0</v>
      </c>
      <c r="Z353" s="116" t="s">
        <v>222</v>
      </c>
      <c r="AA353" s="117">
        <f>SUMIFS(F344:F350,C344:C350,"A",H344:H350,"melnais", Q344:Q350,"Nepiederošs")</f>
        <v>0</v>
      </c>
      <c r="AB353" s="117">
        <f>SUMIFS(F344:F350,C344:C350,"A",H344:H350,"dubultā virsma", Q344:Q350,"Nepiederošs")</f>
        <v>0</v>
      </c>
      <c r="AC353" s="117">
        <f>SUMIFS(F344:F350,C344:C350,"A",H344:H350,"bruģis", Q344:Q350,"Nepiederošs")</f>
        <v>0</v>
      </c>
      <c r="AD353" s="117">
        <f>SUMIFS(F344:F350,C344:C350,"A",H344:H350,"grants", Q344:Q350,"Nepiederošs")</f>
        <v>0</v>
      </c>
      <c r="AE353" s="117">
        <f>SUMIFS(F344:F350,C344:C350,"A",H344:H350,"cits segums", Q344:Q350,"Nepiederošs")</f>
        <v>0</v>
      </c>
      <c r="AF353" s="117">
        <f>SUM(AA353:AE353)</f>
        <v>0</v>
      </c>
    </row>
    <row r="354" spans="1:32" ht="12.75" customHeight="1" x14ac:dyDescent="0.2">
      <c r="A354" s="105" t="s">
        <v>224</v>
      </c>
      <c r="B354" s="106"/>
      <c r="C354" s="111"/>
      <c r="D354" s="106"/>
      <c r="E354" s="112"/>
      <c r="F354" s="107">
        <f>F350</f>
        <v>0.32</v>
      </c>
      <c r="G354" s="108">
        <f>G350</f>
        <v>960</v>
      </c>
      <c r="I354" s="16"/>
      <c r="J354" s="92"/>
      <c r="N354" s="92"/>
      <c r="O354" s="92"/>
      <c r="P354" s="92"/>
      <c r="Q354" s="92"/>
      <c r="S354" s="120" t="s">
        <v>39</v>
      </c>
      <c r="T354" s="117">
        <f>SUMIFS(F344:F350,C344:C350,"B",H344:H350,"melnais")</f>
        <v>0</v>
      </c>
      <c r="U354" s="117">
        <f>SUMIFS(F344:F350,C344:C350,"B",H344:H350,"dubultā virsma")</f>
        <v>0</v>
      </c>
      <c r="V354" s="117">
        <f>SUMIFS(F344:F350,C344:C350,"B",H344:H350,"bruģis")</f>
        <v>0</v>
      </c>
      <c r="W354" s="117">
        <f>SUMIFS(F344:F350,C344:C350,"B",H344:H350,"grants")</f>
        <v>0</v>
      </c>
      <c r="X354" s="117">
        <f>SUMIFS(F344:F350,C344:C350,"B",H344:H350,"cits segums")</f>
        <v>0</v>
      </c>
      <c r="Y354" s="117">
        <f t="shared" ref="Y354:Y356" si="31">SUM(T354:X354)</f>
        <v>0</v>
      </c>
      <c r="Z354" s="120" t="s">
        <v>39</v>
      </c>
      <c r="AA354" s="117">
        <f>SUMIFS(F344:F350,C344:C350,"B",H344:H350,"melnais", Q344:Q350,"Nepiederošs")</f>
        <v>0</v>
      </c>
      <c r="AB354" s="117">
        <f>SUMIFS(F344:F350,C344:C350,"B",H344:H350,"dubultā virsma", Q344:Q350,"Nepiederošs")</f>
        <v>0</v>
      </c>
      <c r="AC354" s="117">
        <f>SUMIFS(F344:F350,C344:C350,"B",H344:H350,"bruģis", Q344:Q350,"Nepiederošs")</f>
        <v>0</v>
      </c>
      <c r="AD354" s="117">
        <f>SUMIFS(F344:F350,C344:C350,"B",H344:H350,"grants", Q344:Q350,"Nepiederošs")</f>
        <v>0</v>
      </c>
      <c r="AE354" s="117">
        <f>SUMIFS(F344:F350,C344:C350,"B",H344:H350,"cits segums", Q344:Q350,"Nepiederošs")</f>
        <v>0</v>
      </c>
      <c r="AF354" s="117">
        <f t="shared" ref="AF354:AF356" si="32">SUM(AA354:AE354)</f>
        <v>0</v>
      </c>
    </row>
    <row r="355" spans="1:32" ht="12.75" customHeight="1" x14ac:dyDescent="0.2">
      <c r="A355" s="105" t="s">
        <v>225</v>
      </c>
      <c r="B355" s="106"/>
      <c r="C355" s="111"/>
      <c r="D355" s="106"/>
      <c r="E355" s="112"/>
      <c r="F355" s="107">
        <v>0</v>
      </c>
      <c r="G355" s="119">
        <v>0</v>
      </c>
      <c r="H355" s="89"/>
      <c r="I355" s="16"/>
      <c r="J355" s="122"/>
      <c r="N355" s="92"/>
      <c r="O355" s="92"/>
      <c r="P355" s="92"/>
      <c r="Q355" s="92"/>
      <c r="S355" s="121" t="s">
        <v>34</v>
      </c>
      <c r="T355" s="117">
        <f>SUMIFS(F344:F350,C344:C350,"C",H344:H350,"melnais")</f>
        <v>0.43999999999999995</v>
      </c>
      <c r="U355" s="117">
        <f>SUMIFS(F344:F350,C344:C350,"C",H344:H350,"dubultā virsma")</f>
        <v>0</v>
      </c>
      <c r="V355" s="117">
        <f>SUMIFS(F344:F350,C344:C350,"C",H344:H350,"bruģis")</f>
        <v>0</v>
      </c>
      <c r="W355" s="117">
        <f>SUMIFS(F344:F350,C344:C350,"C",H344:H350,"grants")</f>
        <v>0</v>
      </c>
      <c r="X355" s="117">
        <f>SUMIFS(F344:F350,C344:C350,"C",H344:H350,"cits segums")</f>
        <v>0</v>
      </c>
      <c r="Y355" s="117">
        <f t="shared" si="31"/>
        <v>0.43999999999999995</v>
      </c>
      <c r="Z355" s="121" t="s">
        <v>34</v>
      </c>
      <c r="AA355" s="117">
        <f>SUMIFS(F344:F350,C344:C350,"C",H344:H350,"melnais", Q344:Q350,"Nepiederošs")</f>
        <v>0</v>
      </c>
      <c r="AB355" s="117">
        <f>SUMIFS(F344:F350,C344:C350,"C",H344:H350,"dubultā virsma", Q344:Q350,"Nepiederošs")</f>
        <v>0</v>
      </c>
      <c r="AC355" s="117">
        <f>SUMIFS(F344:F350,C344:C350,"C",H344:H350,"bruģis", Q344:Q350,"Nepiederošs")</f>
        <v>0</v>
      </c>
      <c r="AD355" s="117">
        <f>SUMIFS(F344:F350,C344:C350,"C",H344:H350,"grants", Q344:Q350,"Nepiederošs")</f>
        <v>0</v>
      </c>
      <c r="AE355" s="117">
        <f>SUMIFS(F344:F350,C344:C350,"C",H344:H350,"cits segums", Q344:Q350,"Nepiederošs")</f>
        <v>0</v>
      </c>
      <c r="AF355" s="117">
        <f t="shared" si="32"/>
        <v>0</v>
      </c>
    </row>
    <row r="356" spans="1:32" ht="12.75" customHeight="1" x14ac:dyDescent="0.2">
      <c r="A356" s="2"/>
      <c r="B356" s="2"/>
      <c r="C356" s="1"/>
      <c r="D356" s="2"/>
      <c r="E356" s="2"/>
      <c r="F356" s="123"/>
      <c r="G356" s="124"/>
      <c r="H356" s="89"/>
      <c r="I356" s="16"/>
      <c r="J356" s="122"/>
      <c r="N356" s="92"/>
      <c r="O356" s="92"/>
      <c r="P356" s="92"/>
      <c r="Q356" s="92"/>
      <c r="S356" s="116" t="s">
        <v>26</v>
      </c>
      <c r="T356" s="117">
        <f>SUMIFS(F344:F350,C344:C350,"D",H344:H350,"melnais")</f>
        <v>0</v>
      </c>
      <c r="U356" s="117">
        <f>SUMIFS(F344:F350,C344:C350,"D",H344:H350,"dubultā virsma")</f>
        <v>0</v>
      </c>
      <c r="V356" s="117">
        <f>SUMIFS(F344:F350,C344:C350,"D",H344:H350,"bruģis")</f>
        <v>0</v>
      </c>
      <c r="W356" s="117">
        <f>SUMIFS(F344:F350,C344:C350,"D",H344:H350,"grants")</f>
        <v>0.32</v>
      </c>
      <c r="X356" s="117">
        <f>SUMIFS(F344:F350,C344:C350,"D",H344:H350,"cits segums")</f>
        <v>0</v>
      </c>
      <c r="Y356" s="117">
        <f t="shared" si="31"/>
        <v>0.32</v>
      </c>
      <c r="Z356" s="116" t="s">
        <v>26</v>
      </c>
      <c r="AA356" s="117">
        <f>SUMIFS(F344:F350,C344:C350,"D",H344:H350,"melnais", Q344:Q350,"Nepiederošs")</f>
        <v>0</v>
      </c>
      <c r="AB356" s="117">
        <f>SUMIFS(F344:F350,C344:C350,"D",H344:H350,"dubultā virsma", Q344:Q350,"Nepiederošs")</f>
        <v>0</v>
      </c>
      <c r="AC356" s="117">
        <f>SUMIFS(F344:F350,C344:C350,"D",H344:H350,"bruģis", Q344:Q350,"Nepiederošs")</f>
        <v>0</v>
      </c>
      <c r="AD356" s="117">
        <f>SUMIFS(F344:F350,C344:C350,"D",H344:H350,"grants", Q344:Q350,"Nepiederošs")</f>
        <v>0</v>
      </c>
      <c r="AE356" s="117">
        <f>SUMIFS(F344:F350,C344:C350,"D",H344:H350,"cits segums", Q344:Q350,"Nepiederošs")</f>
        <v>0</v>
      </c>
      <c r="AF356" s="117">
        <f t="shared" si="32"/>
        <v>0</v>
      </c>
    </row>
    <row r="357" spans="1:32" ht="12.75" customHeight="1" x14ac:dyDescent="0.25">
      <c r="A357" s="93" t="s">
        <v>277</v>
      </c>
      <c r="B357" s="94"/>
      <c r="C357" s="95"/>
      <c r="D357" s="94"/>
      <c r="E357" s="96"/>
      <c r="F357" s="97">
        <f>F351+F335+F295+F247</f>
        <v>91.95499999999997</v>
      </c>
      <c r="G357" s="175">
        <f>G351+G335+G295+G247</f>
        <v>483769</v>
      </c>
      <c r="H357" s="176"/>
      <c r="I357" s="2"/>
      <c r="J357" s="2"/>
      <c r="K357" s="2"/>
      <c r="L357" s="2"/>
      <c r="M357" s="2"/>
      <c r="N357" s="2"/>
      <c r="O357" s="177" t="s">
        <v>214</v>
      </c>
      <c r="P357" s="178">
        <f>P351+P335+P247+P295</f>
        <v>63239.19</v>
      </c>
      <c r="Q357" s="2"/>
      <c r="R357" s="2"/>
      <c r="S357" s="172"/>
      <c r="T357" s="126">
        <f>SUM(T353:T356)</f>
        <v>0.43999999999999995</v>
      </c>
      <c r="U357" s="126">
        <f t="shared" ref="U357:Y357" si="33">SUM(U353:U356)</f>
        <v>0</v>
      </c>
      <c r="V357" s="126">
        <f t="shared" si="33"/>
        <v>0</v>
      </c>
      <c r="W357" s="126">
        <f t="shared" si="33"/>
        <v>0.32</v>
      </c>
      <c r="X357" s="126">
        <f t="shared" si="33"/>
        <v>0</v>
      </c>
      <c r="Y357" s="126">
        <f t="shared" si="33"/>
        <v>0.76</v>
      </c>
      <c r="Z357"/>
      <c r="AA357" s="126">
        <f>SUM(AA353:AA356)</f>
        <v>0</v>
      </c>
      <c r="AB357" s="126">
        <f t="shared" ref="AB357" si="34">SUM(AB353:AB356)</f>
        <v>0</v>
      </c>
      <c r="AC357" s="126">
        <f>SUM(AC353:AC356)</f>
        <v>0</v>
      </c>
      <c r="AD357" s="126">
        <f t="shared" ref="AD357:AF357" si="35">SUM(AD353:AD356)</f>
        <v>0</v>
      </c>
      <c r="AE357" s="126">
        <f t="shared" si="35"/>
        <v>0</v>
      </c>
      <c r="AF357" s="126">
        <f t="shared" si="35"/>
        <v>0</v>
      </c>
    </row>
    <row r="358" spans="1:32" ht="12.75" customHeight="1" x14ac:dyDescent="0.2">
      <c r="A358" s="105" t="s">
        <v>221</v>
      </c>
      <c r="B358" s="106"/>
      <c r="C358" s="111"/>
      <c r="D358" s="106"/>
      <c r="E358" s="112"/>
      <c r="F358" s="179">
        <f t="shared" ref="F358:G361" si="36">F352+F337+F297+F249</f>
        <v>46.948000000000015</v>
      </c>
      <c r="G358" s="180">
        <f t="shared" si="36"/>
        <v>285024</v>
      </c>
      <c r="H358" s="89"/>
      <c r="I358" s="16"/>
      <c r="J358" s="122"/>
      <c r="N358" s="92"/>
      <c r="O358" s="92"/>
      <c r="P358" s="92"/>
      <c r="Q358" s="92"/>
    </row>
    <row r="359" spans="1:32" ht="12.75" customHeight="1" x14ac:dyDescent="0.2">
      <c r="A359" s="105" t="s">
        <v>223</v>
      </c>
      <c r="B359" s="106"/>
      <c r="C359" s="111"/>
      <c r="D359" s="106"/>
      <c r="E359" s="112"/>
      <c r="F359" s="179">
        <f t="shared" si="36"/>
        <v>3.6080000000000001</v>
      </c>
      <c r="G359" s="180">
        <f t="shared" si="36"/>
        <v>19546</v>
      </c>
      <c r="H359" s="89"/>
      <c r="I359" s="16"/>
      <c r="J359" s="122"/>
      <c r="N359" s="92"/>
      <c r="O359" s="92"/>
      <c r="P359" s="92"/>
      <c r="Q359" s="92"/>
    </row>
    <row r="360" spans="1:32" ht="12.75" customHeight="1" x14ac:dyDescent="0.2">
      <c r="A360" s="105" t="s">
        <v>224</v>
      </c>
      <c r="B360" s="106"/>
      <c r="C360" s="111"/>
      <c r="D360" s="106"/>
      <c r="E360" s="112"/>
      <c r="F360" s="179">
        <f t="shared" si="36"/>
        <v>28.623000000000001</v>
      </c>
      <c r="G360" s="180">
        <f t="shared" si="36"/>
        <v>123114</v>
      </c>
      <c r="H360" s="89"/>
      <c r="I360" s="16"/>
      <c r="J360" s="122"/>
      <c r="N360" s="92"/>
      <c r="O360" s="92"/>
      <c r="P360" s="92"/>
      <c r="Q360" s="92"/>
    </row>
    <row r="361" spans="1:32" ht="12.75" customHeight="1" x14ac:dyDescent="0.2">
      <c r="A361" s="105" t="s">
        <v>225</v>
      </c>
      <c r="B361" s="106"/>
      <c r="C361" s="111"/>
      <c r="D361" s="106"/>
      <c r="E361" s="112"/>
      <c r="F361" s="179">
        <f t="shared" si="36"/>
        <v>0.37</v>
      </c>
      <c r="G361" s="180">
        <f t="shared" si="36"/>
        <v>1220</v>
      </c>
      <c r="H361" s="125"/>
      <c r="I361" s="89"/>
      <c r="J361" s="122"/>
      <c r="N361" s="92"/>
      <c r="O361" s="92"/>
      <c r="P361" s="92"/>
      <c r="Q361" s="92"/>
    </row>
    <row r="362" spans="1:32" ht="12.75" customHeight="1" x14ac:dyDescent="0.2">
      <c r="A362" s="2"/>
      <c r="B362" s="2"/>
      <c r="C362" s="1"/>
      <c r="D362" s="2"/>
      <c r="E362" s="2"/>
      <c r="F362" s="122"/>
      <c r="G362" s="181"/>
      <c r="H362" s="125"/>
      <c r="I362" s="89"/>
      <c r="J362" s="122"/>
      <c r="N362" s="92"/>
      <c r="O362" s="92"/>
      <c r="P362" s="92"/>
      <c r="Q362" s="92"/>
    </row>
    <row r="363" spans="1:32" ht="12.75" customHeight="1" x14ac:dyDescent="0.2">
      <c r="B363" s="2"/>
      <c r="C363" s="1"/>
      <c r="D363" s="6" t="s">
        <v>278</v>
      </c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4"/>
      <c r="R363" s="7"/>
    </row>
    <row r="364" spans="1:32" ht="12.75" customHeight="1" x14ac:dyDescent="0.2">
      <c r="A364" s="8" t="s">
        <v>2</v>
      </c>
      <c r="B364" s="9" t="s">
        <v>3</v>
      </c>
      <c r="C364" s="10"/>
      <c r="D364" s="11" t="s">
        <v>4</v>
      </c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3"/>
      <c r="Q364" s="14" t="s">
        <v>5</v>
      </c>
      <c r="R364" s="15"/>
    </row>
    <row r="365" spans="1:32" ht="12.75" customHeight="1" x14ac:dyDescent="0.2">
      <c r="A365" s="8"/>
      <c r="B365" s="9"/>
      <c r="C365" s="17"/>
      <c r="D365" s="9" t="s">
        <v>6</v>
      </c>
      <c r="E365" s="9"/>
      <c r="F365" s="9"/>
      <c r="G365" s="9"/>
      <c r="H365" s="9"/>
      <c r="I365" s="18" t="s">
        <v>7</v>
      </c>
      <c r="J365" s="18"/>
      <c r="K365" s="18"/>
      <c r="L365" s="18"/>
      <c r="M365" s="18"/>
      <c r="N365" s="18"/>
      <c r="O365" s="18"/>
      <c r="P365" s="19" t="s">
        <v>8</v>
      </c>
      <c r="Q365" s="20"/>
      <c r="R365" s="21"/>
    </row>
    <row r="366" spans="1:32" ht="12.75" customHeight="1" x14ac:dyDescent="0.2">
      <c r="A366" s="8"/>
      <c r="B366" s="9"/>
      <c r="C366" s="17"/>
      <c r="D366" s="9" t="s">
        <v>9</v>
      </c>
      <c r="E366" s="9"/>
      <c r="F366" s="8" t="s">
        <v>10</v>
      </c>
      <c r="G366" s="8" t="s">
        <v>11</v>
      </c>
      <c r="H366" s="8" t="s">
        <v>12</v>
      </c>
      <c r="I366" s="18" t="s">
        <v>13</v>
      </c>
      <c r="J366" s="18" t="s">
        <v>14</v>
      </c>
      <c r="K366" s="18"/>
      <c r="L366" s="22" t="s">
        <v>15</v>
      </c>
      <c r="M366" s="22" t="s">
        <v>11</v>
      </c>
      <c r="N366" s="22" t="s">
        <v>16</v>
      </c>
      <c r="O366" s="22" t="s">
        <v>17</v>
      </c>
      <c r="P366" s="23"/>
      <c r="Q366" s="23" t="s">
        <v>18</v>
      </c>
      <c r="R366" s="24" t="s">
        <v>19</v>
      </c>
    </row>
    <row r="367" spans="1:32" ht="27" customHeight="1" x14ac:dyDescent="0.2">
      <c r="A367" s="8"/>
      <c r="B367" s="9"/>
      <c r="C367" s="25" t="s">
        <v>20</v>
      </c>
      <c r="D367" s="26" t="s">
        <v>21</v>
      </c>
      <c r="E367" s="26" t="s">
        <v>22</v>
      </c>
      <c r="F367" s="8"/>
      <c r="G367" s="8"/>
      <c r="H367" s="8"/>
      <c r="I367" s="18"/>
      <c r="J367" s="27" t="s">
        <v>23</v>
      </c>
      <c r="K367" s="27" t="s">
        <v>24</v>
      </c>
      <c r="L367" s="22"/>
      <c r="M367" s="22"/>
      <c r="N367" s="22"/>
      <c r="O367" s="22"/>
      <c r="P367" s="28"/>
      <c r="Q367" s="28"/>
      <c r="R367" s="29"/>
    </row>
    <row r="368" spans="1:32" ht="12.75" customHeight="1" x14ac:dyDescent="0.2">
      <c r="A368" s="173">
        <v>1</v>
      </c>
      <c r="B368" s="173">
        <v>2</v>
      </c>
      <c r="C368" s="173"/>
      <c r="D368" s="173">
        <v>3</v>
      </c>
      <c r="E368" s="173">
        <v>4</v>
      </c>
      <c r="F368" s="173">
        <v>5</v>
      </c>
      <c r="G368" s="173">
        <v>6</v>
      </c>
      <c r="H368" s="173">
        <v>7</v>
      </c>
      <c r="I368" s="174">
        <v>8</v>
      </c>
      <c r="J368" s="174">
        <v>9</v>
      </c>
      <c r="K368" s="174">
        <v>10</v>
      </c>
      <c r="L368" s="174">
        <v>11</v>
      </c>
      <c r="M368" s="174">
        <v>12</v>
      </c>
      <c r="N368" s="174">
        <v>13</v>
      </c>
      <c r="O368" s="174">
        <v>14</v>
      </c>
      <c r="P368" s="174">
        <v>15</v>
      </c>
      <c r="Q368" s="174">
        <v>16</v>
      </c>
      <c r="R368" s="173">
        <v>17</v>
      </c>
    </row>
    <row r="369" spans="1:32" ht="12.75" customHeight="1" x14ac:dyDescent="0.2">
      <c r="A369" s="140">
        <v>1</v>
      </c>
      <c r="B369" s="129" t="s">
        <v>279</v>
      </c>
      <c r="C369" s="130" t="s">
        <v>34</v>
      </c>
      <c r="D369" s="131">
        <v>0</v>
      </c>
      <c r="E369" s="131">
        <f t="shared" ref="E369:E372" si="37">D369+F369</f>
        <v>0.9</v>
      </c>
      <c r="F369" s="131">
        <v>0.9</v>
      </c>
      <c r="G369" s="133">
        <v>4950</v>
      </c>
      <c r="H369" s="133" t="s">
        <v>29</v>
      </c>
      <c r="I369" s="133"/>
      <c r="J369" s="133"/>
      <c r="K369" s="133"/>
      <c r="L369" s="133"/>
      <c r="M369" s="133"/>
      <c r="N369" s="133"/>
      <c r="O369" s="133"/>
      <c r="P369" s="133"/>
      <c r="Q369" s="130">
        <v>80940030252</v>
      </c>
      <c r="R369" s="130">
        <v>80940030252</v>
      </c>
    </row>
    <row r="370" spans="1:32" ht="12.75" customHeight="1" x14ac:dyDescent="0.2">
      <c r="A370" s="141"/>
      <c r="B370" s="135"/>
      <c r="C370" s="130" t="s">
        <v>34</v>
      </c>
      <c r="D370" s="131">
        <f t="shared" ref="D370:D372" si="38">E369</f>
        <v>0.9</v>
      </c>
      <c r="E370" s="131">
        <f t="shared" si="37"/>
        <v>0.94200000000000006</v>
      </c>
      <c r="F370" s="131">
        <v>4.2000000000000003E-2</v>
      </c>
      <c r="G370" s="133">
        <v>231</v>
      </c>
      <c r="H370" s="133" t="s">
        <v>29</v>
      </c>
      <c r="I370" s="133"/>
      <c r="J370" s="133"/>
      <c r="K370" s="133"/>
      <c r="L370" s="133"/>
      <c r="M370" s="133"/>
      <c r="N370" s="133"/>
      <c r="O370" s="133"/>
      <c r="P370" s="133"/>
      <c r="Q370" s="130">
        <v>80940030269</v>
      </c>
      <c r="R370" s="130">
        <v>80940030269</v>
      </c>
    </row>
    <row r="371" spans="1:32" ht="12.75" customHeight="1" x14ac:dyDescent="0.2">
      <c r="A371" s="141"/>
      <c r="B371" s="135"/>
      <c r="C371" s="130" t="s">
        <v>34</v>
      </c>
      <c r="D371" s="131">
        <f t="shared" si="38"/>
        <v>0.94200000000000006</v>
      </c>
      <c r="E371" s="131">
        <f t="shared" si="37"/>
        <v>1.48</v>
      </c>
      <c r="F371" s="131">
        <v>0.53800000000000003</v>
      </c>
      <c r="G371" s="133">
        <v>2959</v>
      </c>
      <c r="H371" s="133" t="s">
        <v>29</v>
      </c>
      <c r="I371" s="133"/>
      <c r="J371" s="133"/>
      <c r="K371" s="133"/>
      <c r="L371" s="133"/>
      <c r="M371" s="133"/>
      <c r="N371" s="133"/>
      <c r="O371" s="133"/>
      <c r="P371" s="133"/>
      <c r="Q371" s="130">
        <v>80940030218</v>
      </c>
      <c r="R371" s="130">
        <v>80940030218</v>
      </c>
    </row>
    <row r="372" spans="1:32" ht="12.75" customHeight="1" x14ac:dyDescent="0.25">
      <c r="A372" s="141"/>
      <c r="B372" s="135"/>
      <c r="C372" s="130" t="s">
        <v>34</v>
      </c>
      <c r="D372" s="131">
        <f t="shared" si="38"/>
        <v>1.48</v>
      </c>
      <c r="E372" s="131">
        <f t="shared" si="37"/>
        <v>2.71</v>
      </c>
      <c r="F372" s="131">
        <v>1.23</v>
      </c>
      <c r="G372" s="133">
        <v>7380</v>
      </c>
      <c r="H372" s="133" t="s">
        <v>27</v>
      </c>
      <c r="I372" s="133"/>
      <c r="J372" s="133"/>
      <c r="K372" s="133"/>
      <c r="L372" s="133"/>
      <c r="M372" s="133"/>
      <c r="N372" s="133"/>
      <c r="O372" s="133"/>
      <c r="P372" s="133"/>
      <c r="Q372" s="130">
        <v>80940030218</v>
      </c>
      <c r="R372" s="130">
        <v>80940030218</v>
      </c>
      <c r="S372"/>
      <c r="T372"/>
      <c r="U372"/>
      <c r="V372"/>
      <c r="W372"/>
      <c r="X372"/>
      <c r="Y372"/>
      <c r="Z372"/>
      <c r="AA372" t="s">
        <v>211</v>
      </c>
      <c r="AB372"/>
      <c r="AC372"/>
      <c r="AD372"/>
      <c r="AE372"/>
      <c r="AF372"/>
    </row>
    <row r="373" spans="1:32" ht="12.75" customHeight="1" x14ac:dyDescent="0.2">
      <c r="A373" s="93" t="s">
        <v>280</v>
      </c>
      <c r="B373" s="94"/>
      <c r="C373" s="95"/>
      <c r="D373" s="94"/>
      <c r="E373" s="96"/>
      <c r="F373" s="97">
        <f>SUM(F369:F372)</f>
        <v>2.71</v>
      </c>
      <c r="G373" s="98">
        <f>SUM(G369:G372)</f>
        <v>15520</v>
      </c>
      <c r="H373" s="182"/>
      <c r="I373" s="182"/>
      <c r="J373" s="182"/>
      <c r="K373" s="182"/>
      <c r="L373" s="182"/>
      <c r="M373" s="182"/>
      <c r="N373" s="182"/>
      <c r="O373" s="182"/>
      <c r="P373" s="182"/>
      <c r="Q373" s="183"/>
      <c r="R373" s="183"/>
      <c r="T373" s="103" t="s">
        <v>215</v>
      </c>
      <c r="U373" s="103" t="s">
        <v>216</v>
      </c>
      <c r="V373" s="103" t="s">
        <v>217</v>
      </c>
      <c r="W373" s="103" t="s">
        <v>218</v>
      </c>
      <c r="X373" s="103" t="s">
        <v>219</v>
      </c>
      <c r="Y373" s="104" t="s">
        <v>214</v>
      </c>
      <c r="AA373" s="103" t="s">
        <v>215</v>
      </c>
      <c r="AB373" s="103" t="s">
        <v>216</v>
      </c>
      <c r="AC373" s="103" t="s">
        <v>217</v>
      </c>
      <c r="AD373" s="103" t="s">
        <v>218</v>
      </c>
      <c r="AE373" s="103" t="s">
        <v>219</v>
      </c>
      <c r="AF373" s="104" t="s">
        <v>214</v>
      </c>
    </row>
    <row r="374" spans="1:32" ht="12.75" customHeight="1" x14ac:dyDescent="0.2">
      <c r="A374" s="105" t="s">
        <v>221</v>
      </c>
      <c r="B374" s="106"/>
      <c r="C374" s="111"/>
      <c r="D374" s="106"/>
      <c r="E374" s="112"/>
      <c r="F374" s="107">
        <f>SUM(F369:F371)</f>
        <v>1.48</v>
      </c>
      <c r="G374" s="108">
        <f>SUM(G369:G371)</f>
        <v>8140</v>
      </c>
      <c r="H374" s="182"/>
      <c r="I374" s="182"/>
      <c r="J374" s="182"/>
      <c r="K374" s="182"/>
      <c r="L374" s="182"/>
      <c r="M374" s="182"/>
      <c r="N374" s="182"/>
      <c r="O374" s="182"/>
      <c r="P374" s="182"/>
      <c r="Q374" s="183"/>
      <c r="R374" s="183"/>
      <c r="S374" s="102" t="s">
        <v>20</v>
      </c>
      <c r="T374" s="103" t="s">
        <v>23</v>
      </c>
      <c r="U374" s="103" t="s">
        <v>23</v>
      </c>
      <c r="V374" s="103" t="s">
        <v>23</v>
      </c>
      <c r="W374" s="103" t="s">
        <v>23</v>
      </c>
      <c r="X374" s="103" t="s">
        <v>23</v>
      </c>
      <c r="Y374" s="104" t="s">
        <v>23</v>
      </c>
      <c r="Z374" s="102"/>
      <c r="AA374" s="103" t="s">
        <v>23</v>
      </c>
      <c r="AB374" s="103" t="s">
        <v>23</v>
      </c>
      <c r="AC374" s="103" t="s">
        <v>23</v>
      </c>
      <c r="AD374" s="103" t="s">
        <v>23</v>
      </c>
      <c r="AE374" s="103" t="s">
        <v>23</v>
      </c>
      <c r="AF374" s="104" t="s">
        <v>23</v>
      </c>
    </row>
    <row r="375" spans="1:32" ht="12.75" customHeight="1" x14ac:dyDescent="0.2">
      <c r="A375" s="105" t="s">
        <v>223</v>
      </c>
      <c r="B375" s="106"/>
      <c r="C375" s="111"/>
      <c r="D375" s="106"/>
      <c r="E375" s="112"/>
      <c r="F375" s="107">
        <v>0</v>
      </c>
      <c r="G375" s="108">
        <v>0</v>
      </c>
      <c r="H375" s="182"/>
      <c r="I375" s="182"/>
      <c r="J375" s="182"/>
      <c r="K375" s="182"/>
      <c r="L375" s="182"/>
      <c r="M375" s="182"/>
      <c r="N375" s="182"/>
      <c r="O375" s="182"/>
      <c r="P375" s="182"/>
      <c r="Q375" s="183"/>
      <c r="R375" s="183"/>
      <c r="S375" s="116" t="s">
        <v>222</v>
      </c>
      <c r="T375" s="117">
        <f>SUMIFS(F366:F372,C366:C372,"A",H366:H372,"melnais")</f>
        <v>0</v>
      </c>
      <c r="U375" s="117">
        <f>SUMIFS(F366:F372,C366:C372,"A",H366:H372,"dubultā virsma")</f>
        <v>0</v>
      </c>
      <c r="V375" s="117">
        <f>SUMIFS(F366:F372,C366:C372,"A",H366:H372,"bruģis")</f>
        <v>0</v>
      </c>
      <c r="W375" s="117">
        <f>SUMIFS(F366:F372,C366:C372,"A",H366:H372,"grants")</f>
        <v>0</v>
      </c>
      <c r="X375" s="117">
        <f>SUMIFS(F366:F372,C366:C372,"A",H366:H372,"cits segums")</f>
        <v>0</v>
      </c>
      <c r="Y375" s="117">
        <f>SUM(T375:X375)</f>
        <v>0</v>
      </c>
      <c r="Z375" s="116" t="s">
        <v>222</v>
      </c>
      <c r="AA375" s="117">
        <f>SUMIFS(F366:F372,C366:C372,"A",H366:H372,"melnais", Q366:Q372,"Nepiederošs")</f>
        <v>0</v>
      </c>
      <c r="AB375" s="117">
        <f>SUMIFS(F366:F372,C366:C372,"A",H366:H372,"dubultā virsma", Q366:Q372,"Nepiederošs")</f>
        <v>0</v>
      </c>
      <c r="AC375" s="117">
        <f>SUMIFS(F366:F372,C366:C372,"A",H366:H372,"bruģis", Q366:Q372,"Nepiederošs")</f>
        <v>0</v>
      </c>
      <c r="AD375" s="117">
        <f>SUMIFS(F366:F372,C366:C372,"A",H366:H372,"grants", Q366:Q372,"Nepiederošs")</f>
        <v>0</v>
      </c>
      <c r="AE375" s="117">
        <f>SUMIFS(F366:F372,C366:C372,"A",H366:H372,"cits segums", Q366:Q372,"Nepiederošs")</f>
        <v>0</v>
      </c>
      <c r="AF375" s="117">
        <f>SUM(AA375:AE375)</f>
        <v>0</v>
      </c>
    </row>
    <row r="376" spans="1:32" ht="12.75" customHeight="1" x14ac:dyDescent="0.2">
      <c r="A376" s="105" t="s">
        <v>224</v>
      </c>
      <c r="B376" s="106"/>
      <c r="C376" s="111"/>
      <c r="D376" s="106"/>
      <c r="E376" s="112"/>
      <c r="F376" s="107">
        <f>F372</f>
        <v>1.23</v>
      </c>
      <c r="G376" s="108">
        <f>G372</f>
        <v>7380</v>
      </c>
      <c r="H376" s="184"/>
      <c r="I376" s="182"/>
      <c r="J376" s="182"/>
      <c r="K376" s="182"/>
      <c r="L376" s="182"/>
      <c r="M376" s="182"/>
      <c r="N376" s="182"/>
      <c r="O376" s="182"/>
      <c r="P376" s="182"/>
      <c r="Q376" s="183"/>
      <c r="R376" s="183"/>
      <c r="S376" s="120" t="s">
        <v>39</v>
      </c>
      <c r="T376" s="117">
        <f>SUMIFS(F366:F372,C366:C372,"B",H366:H372,"melnais")</f>
        <v>0</v>
      </c>
      <c r="U376" s="117">
        <f>SUMIFS(F366:F372,C366:C372,"B",H366:H372,"dubultā virsma")</f>
        <v>0</v>
      </c>
      <c r="V376" s="117">
        <f>SUMIFS(F366:F372,C366:C372,"B",H366:H372,"bruģis")</f>
        <v>0</v>
      </c>
      <c r="W376" s="117">
        <f>SUMIFS(F366:F372,C366:C372,"B",H366:H372,"grants")</f>
        <v>0</v>
      </c>
      <c r="X376" s="117">
        <f>SUMIFS(F366:F372,C366:C372,"B",H366:H372,"cits segums")</f>
        <v>0</v>
      </c>
      <c r="Y376" s="117">
        <f t="shared" ref="Y376:Y378" si="39">SUM(T376:X376)</f>
        <v>0</v>
      </c>
      <c r="Z376" s="120" t="s">
        <v>39</v>
      </c>
      <c r="AA376" s="117">
        <f>SUMIFS(F366:F372,C366:C372,"B",H366:H372,"melnais", Q366:Q372,"Nepiederošs")</f>
        <v>0</v>
      </c>
      <c r="AB376" s="117">
        <f>SUMIFS(F366:F372,C366:C372,"B",H366:H372,"dubultā virsma", Q366:Q372,"Nepiederošs")</f>
        <v>0</v>
      </c>
      <c r="AC376" s="117">
        <f>SUMIFS(F366:F372,C366:C372,"B",H366:H372,"bruģis", Q366:Q372,"Nepiederošs")</f>
        <v>0</v>
      </c>
      <c r="AD376" s="117">
        <f>SUMIFS(F366:F372,C366:C372,"B",H366:H372,"grants", Q366:Q372,"Nepiederošs")</f>
        <v>0</v>
      </c>
      <c r="AE376" s="117">
        <f>SUMIFS(F366:F372,C366:C372,"B",H366:H372,"cits segums", Q366:Q372,"Nepiederošs")</f>
        <v>0</v>
      </c>
      <c r="AF376" s="117">
        <f t="shared" ref="AF376:AF378" si="40">SUM(AA376:AE376)</f>
        <v>0</v>
      </c>
    </row>
    <row r="377" spans="1:32" ht="12.75" customHeight="1" x14ac:dyDescent="0.2">
      <c r="A377" s="105" t="s">
        <v>225</v>
      </c>
      <c r="B377" s="106"/>
      <c r="C377" s="111"/>
      <c r="D377" s="106"/>
      <c r="E377" s="112"/>
      <c r="F377" s="107">
        <v>0</v>
      </c>
      <c r="G377" s="119">
        <v>0</v>
      </c>
      <c r="H377" s="182"/>
      <c r="I377" s="182"/>
      <c r="J377" s="182"/>
      <c r="K377" s="182"/>
      <c r="L377" s="182"/>
      <c r="M377" s="182"/>
      <c r="N377" s="182"/>
      <c r="O377" s="182"/>
      <c r="P377" s="182"/>
      <c r="Q377" s="183"/>
      <c r="R377" s="183"/>
      <c r="S377" s="121" t="s">
        <v>34</v>
      </c>
      <c r="T377" s="117">
        <f>SUMIFS(F366:F372,C366:C372,"C",H366:H372,"melnais")</f>
        <v>1.48</v>
      </c>
      <c r="U377" s="117">
        <f>SUMIFS(F366:F372,C366:C372,"C",H366:H372,"dubultā virsma")</f>
        <v>0</v>
      </c>
      <c r="V377" s="117">
        <f>SUMIFS(F366:F372,C366:C372,"C",H366:H372,"bruģis")</f>
        <v>0</v>
      </c>
      <c r="W377" s="117">
        <f>SUMIFS(F366:F372,C366:C372,"C",H366:H372,"grants")</f>
        <v>1.23</v>
      </c>
      <c r="X377" s="117">
        <f>SUMIFS(F366:F372,C366:C372,"C",H366:H372,"cits segums")</f>
        <v>0</v>
      </c>
      <c r="Y377" s="117">
        <f t="shared" si="39"/>
        <v>2.71</v>
      </c>
      <c r="Z377" s="121" t="s">
        <v>34</v>
      </c>
      <c r="AA377" s="117">
        <f>SUMIFS(F366:F372,C366:C372,"C",H366:H372,"melnais", Q366:Q372,"Nepiederošs")</f>
        <v>0</v>
      </c>
      <c r="AB377" s="117">
        <f>SUMIFS(F366:F372,C366:C372,"C",H366:H372,"dubultā virsma", Q366:Q372,"Nepiederošs")</f>
        <v>0</v>
      </c>
      <c r="AC377" s="117">
        <f>SUMIFS(F366:F372,C366:C372,"C",H366:H372,"bruģis", Q366:Q372,"Nepiederošs")</f>
        <v>0</v>
      </c>
      <c r="AD377" s="117">
        <f>SUMIFS(F366:F372,C366:C372,"C",H366:H372,"grants", Q366:Q372,"Nepiederošs")</f>
        <v>0</v>
      </c>
      <c r="AE377" s="117">
        <f>SUMIFS(F366:F372,C366:C372,"C",H366:H372,"cits segums", Q366:Q372,"Nepiederošs")</f>
        <v>0</v>
      </c>
      <c r="AF377" s="117">
        <f t="shared" si="40"/>
        <v>0</v>
      </c>
    </row>
    <row r="378" spans="1:32" ht="12.75" customHeight="1" x14ac:dyDescent="0.2">
      <c r="A378" s="185"/>
      <c r="B378" s="186"/>
      <c r="C378" s="183"/>
      <c r="D378" s="187"/>
      <c r="E378" s="187"/>
      <c r="F378" s="187"/>
      <c r="G378" s="182"/>
      <c r="H378" s="182"/>
      <c r="I378" s="182"/>
      <c r="J378" s="182"/>
      <c r="K378" s="182"/>
      <c r="L378" s="182"/>
      <c r="M378" s="182"/>
      <c r="N378" s="182"/>
      <c r="O378" s="182"/>
      <c r="P378" s="182"/>
      <c r="Q378" s="183"/>
      <c r="R378" s="183"/>
      <c r="S378" s="116" t="s">
        <v>26</v>
      </c>
      <c r="T378" s="117">
        <f>SUMIFS(F366:F372,C366:C372,"D",H366:H372,"melnais")</f>
        <v>0</v>
      </c>
      <c r="U378" s="117">
        <f>SUMIFS(F366:F372,C366:C372,"D",H366:H372,"dubultā virsma")</f>
        <v>0</v>
      </c>
      <c r="V378" s="117">
        <f>SUMIFS(F366:F372,C366:C372,"D",H366:H372,"bruģis")</f>
        <v>0</v>
      </c>
      <c r="W378" s="117">
        <f>SUMIFS(F366:F372,C366:C372,"D",H366:H372,"grants")</f>
        <v>0</v>
      </c>
      <c r="X378" s="117">
        <f>SUMIFS(F366:F372,C366:C372,"D",H366:H372,"cits segums")</f>
        <v>0</v>
      </c>
      <c r="Y378" s="117">
        <f t="shared" si="39"/>
        <v>0</v>
      </c>
      <c r="Z378" s="116" t="s">
        <v>26</v>
      </c>
      <c r="AA378" s="117">
        <f>SUMIFS(F366:F372,C366:C372,"D",H366:H372,"melnais", Q366:Q372,"Nepiederošs")</f>
        <v>0</v>
      </c>
      <c r="AB378" s="117">
        <f>SUMIFS(F366:F372,C366:C372,"D",H366:H372,"dubultā virsma", Q366:Q372,"Nepiederošs")</f>
        <v>0</v>
      </c>
      <c r="AC378" s="117">
        <f>SUMIFS(F366:F372,C366:C372,"D",H366:H372,"bruģis", Q366:Q372,"Nepiederošs")</f>
        <v>0</v>
      </c>
      <c r="AD378" s="117">
        <f>SUMIFS(F366:F372,C366:C372,"D",H366:H372,"grants", Q366:Q372,"Nepiederošs")</f>
        <v>0</v>
      </c>
      <c r="AE378" s="117">
        <f>SUMIFS(F366:F372,C366:C372,"D",H366:H372,"cits segums", Q366:Q372,"Nepiederošs")</f>
        <v>0</v>
      </c>
      <c r="AF378" s="117">
        <f t="shared" si="40"/>
        <v>0</v>
      </c>
    </row>
    <row r="379" spans="1:32" s="2" customFormat="1" ht="15" customHeight="1" x14ac:dyDescent="0.25">
      <c r="A379" s="1"/>
      <c r="C379" s="1"/>
      <c r="D379" s="6" t="s">
        <v>281</v>
      </c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4"/>
      <c r="R379" s="7"/>
      <c r="S379" s="172"/>
      <c r="T379" s="126">
        <f>SUM(T375:T378)</f>
        <v>1.48</v>
      </c>
      <c r="U379" s="126">
        <f t="shared" ref="U379:Y379" si="41">SUM(U375:U378)</f>
        <v>0</v>
      </c>
      <c r="V379" s="126">
        <f t="shared" si="41"/>
        <v>0</v>
      </c>
      <c r="W379" s="126">
        <f t="shared" si="41"/>
        <v>1.23</v>
      </c>
      <c r="X379" s="126">
        <f t="shared" si="41"/>
        <v>0</v>
      </c>
      <c r="Y379" s="126">
        <f t="shared" si="41"/>
        <v>2.71</v>
      </c>
      <c r="Z379"/>
      <c r="AA379" s="126">
        <f>SUM(AA375:AA378)</f>
        <v>0</v>
      </c>
      <c r="AB379" s="126">
        <f t="shared" ref="AB379" si="42">SUM(AB375:AB378)</f>
        <v>0</v>
      </c>
      <c r="AC379" s="126">
        <f>SUM(AC375:AC378)</f>
        <v>0</v>
      </c>
      <c r="AD379" s="126">
        <f t="shared" ref="AD379:AF379" si="43">SUM(AD375:AD378)</f>
        <v>0</v>
      </c>
      <c r="AE379" s="126">
        <f t="shared" si="43"/>
        <v>0</v>
      </c>
      <c r="AF379" s="126">
        <f t="shared" si="43"/>
        <v>0</v>
      </c>
    </row>
    <row r="380" spans="1:32" ht="12.75" customHeight="1" x14ac:dyDescent="0.2">
      <c r="A380" s="8" t="s">
        <v>2</v>
      </c>
      <c r="B380" s="9" t="s">
        <v>3</v>
      </c>
      <c r="C380" s="10"/>
      <c r="D380" s="11" t="s">
        <v>4</v>
      </c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3"/>
      <c r="Q380" s="14" t="s">
        <v>5</v>
      </c>
      <c r="R380" s="15"/>
    </row>
    <row r="381" spans="1:32" ht="12.75" customHeight="1" x14ac:dyDescent="0.2">
      <c r="A381" s="8"/>
      <c r="B381" s="9"/>
      <c r="C381" s="17"/>
      <c r="D381" s="9" t="s">
        <v>6</v>
      </c>
      <c r="E381" s="9"/>
      <c r="F381" s="9"/>
      <c r="G381" s="9"/>
      <c r="H381" s="9"/>
      <c r="I381" s="18" t="s">
        <v>7</v>
      </c>
      <c r="J381" s="18"/>
      <c r="K381" s="18"/>
      <c r="L381" s="18"/>
      <c r="M381" s="18"/>
      <c r="N381" s="18"/>
      <c r="O381" s="18"/>
      <c r="P381" s="19" t="s">
        <v>8</v>
      </c>
      <c r="Q381" s="20"/>
      <c r="R381" s="21"/>
    </row>
    <row r="382" spans="1:32" ht="15.2" customHeight="1" x14ac:dyDescent="0.2">
      <c r="A382" s="8"/>
      <c r="B382" s="9"/>
      <c r="C382" s="17"/>
      <c r="D382" s="9" t="s">
        <v>9</v>
      </c>
      <c r="E382" s="9"/>
      <c r="F382" s="8" t="s">
        <v>10</v>
      </c>
      <c r="G382" s="8" t="s">
        <v>11</v>
      </c>
      <c r="H382" s="8" t="s">
        <v>12</v>
      </c>
      <c r="I382" s="18" t="s">
        <v>13</v>
      </c>
      <c r="J382" s="18" t="s">
        <v>14</v>
      </c>
      <c r="K382" s="18"/>
      <c r="L382" s="22" t="s">
        <v>15</v>
      </c>
      <c r="M382" s="22" t="s">
        <v>11</v>
      </c>
      <c r="N382" s="22" t="s">
        <v>16</v>
      </c>
      <c r="O382" s="22" t="s">
        <v>17</v>
      </c>
      <c r="P382" s="23"/>
      <c r="Q382" s="23" t="s">
        <v>18</v>
      </c>
      <c r="R382" s="24" t="s">
        <v>19</v>
      </c>
    </row>
    <row r="383" spans="1:32" ht="33.75" customHeight="1" x14ac:dyDescent="0.2">
      <c r="A383" s="8"/>
      <c r="B383" s="9"/>
      <c r="C383" s="25" t="s">
        <v>20</v>
      </c>
      <c r="D383" s="26" t="s">
        <v>21</v>
      </c>
      <c r="E383" s="26" t="s">
        <v>22</v>
      </c>
      <c r="F383" s="8"/>
      <c r="G383" s="8"/>
      <c r="H383" s="8"/>
      <c r="I383" s="18"/>
      <c r="J383" s="27" t="s">
        <v>23</v>
      </c>
      <c r="K383" s="27" t="s">
        <v>24</v>
      </c>
      <c r="L383" s="22"/>
      <c r="M383" s="22"/>
      <c r="N383" s="22"/>
      <c r="O383" s="22"/>
      <c r="P383" s="28"/>
      <c r="Q383" s="28"/>
      <c r="R383" s="29"/>
    </row>
    <row r="384" spans="1:32" s="32" customFormat="1" ht="12" customHeight="1" x14ac:dyDescent="0.25">
      <c r="A384" s="173">
        <v>1</v>
      </c>
      <c r="B384" s="173">
        <v>2</v>
      </c>
      <c r="C384" s="173"/>
      <c r="D384" s="173">
        <v>3</v>
      </c>
      <c r="E384" s="173">
        <v>4</v>
      </c>
      <c r="F384" s="173">
        <v>5</v>
      </c>
      <c r="G384" s="173">
        <v>6</v>
      </c>
      <c r="H384" s="173">
        <v>7</v>
      </c>
      <c r="I384" s="174">
        <v>8</v>
      </c>
      <c r="J384" s="174">
        <v>9</v>
      </c>
      <c r="K384" s="174">
        <v>10</v>
      </c>
      <c r="L384" s="174">
        <v>11</v>
      </c>
      <c r="M384" s="174">
        <v>12</v>
      </c>
      <c r="N384" s="174">
        <v>13</v>
      </c>
      <c r="O384" s="174">
        <v>14</v>
      </c>
      <c r="P384" s="174">
        <v>15</v>
      </c>
      <c r="Q384" s="174">
        <v>16</v>
      </c>
      <c r="R384" s="173">
        <v>17</v>
      </c>
    </row>
    <row r="385" spans="1:32" x14ac:dyDescent="0.2">
      <c r="A385" s="128">
        <v>1</v>
      </c>
      <c r="B385" s="129" t="s">
        <v>282</v>
      </c>
      <c r="C385" s="128" t="s">
        <v>26</v>
      </c>
      <c r="D385" s="188">
        <v>0</v>
      </c>
      <c r="E385" s="188">
        <f>D385+F385</f>
        <v>0.40500000000000003</v>
      </c>
      <c r="F385" s="189">
        <v>0.40500000000000003</v>
      </c>
      <c r="G385" s="190">
        <v>1215</v>
      </c>
      <c r="H385" s="190" t="s">
        <v>27</v>
      </c>
      <c r="I385" s="190"/>
      <c r="J385" s="190"/>
      <c r="K385" s="190"/>
      <c r="L385" s="190"/>
      <c r="M385" s="190"/>
      <c r="N385" s="190"/>
      <c r="O385" s="190"/>
      <c r="P385" s="190"/>
      <c r="Q385" s="191">
        <v>80940041051</v>
      </c>
      <c r="R385" s="191">
        <v>80940041040</v>
      </c>
    </row>
    <row r="386" spans="1:32" x14ac:dyDescent="0.2">
      <c r="A386" s="130">
        <v>2</v>
      </c>
      <c r="B386" s="138" t="s">
        <v>283</v>
      </c>
      <c r="C386" s="130" t="s">
        <v>26</v>
      </c>
      <c r="D386" s="145">
        <v>0</v>
      </c>
      <c r="E386" s="145">
        <f t="shared" ref="E386:E391" si="44">D386+F386</f>
        <v>0.41499999999999998</v>
      </c>
      <c r="F386" s="131">
        <v>0.41499999999999998</v>
      </c>
      <c r="G386" s="133">
        <v>1245</v>
      </c>
      <c r="H386" s="133" t="s">
        <v>27</v>
      </c>
      <c r="I386" s="133"/>
      <c r="J386" s="133"/>
      <c r="K386" s="133"/>
      <c r="L386" s="133"/>
      <c r="M386" s="133"/>
      <c r="N386" s="133"/>
      <c r="O386" s="133"/>
      <c r="P386" s="133"/>
      <c r="Q386" s="130">
        <v>80940041050</v>
      </c>
      <c r="R386" s="130">
        <v>80940041043</v>
      </c>
    </row>
    <row r="387" spans="1:32" x14ac:dyDescent="0.2">
      <c r="A387" s="130">
        <v>3</v>
      </c>
      <c r="B387" s="138" t="s">
        <v>284</v>
      </c>
      <c r="C387" s="130" t="s">
        <v>34</v>
      </c>
      <c r="D387" s="145">
        <v>0</v>
      </c>
      <c r="E387" s="145">
        <f t="shared" si="44"/>
        <v>0.17</v>
      </c>
      <c r="F387" s="131">
        <v>0.17</v>
      </c>
      <c r="G387" s="133">
        <v>850</v>
      </c>
      <c r="H387" s="133" t="s">
        <v>27</v>
      </c>
      <c r="I387" s="133"/>
      <c r="J387" s="133"/>
      <c r="K387" s="133"/>
      <c r="L387" s="133"/>
      <c r="M387" s="133"/>
      <c r="N387" s="133"/>
      <c r="O387" s="133"/>
      <c r="P387" s="133"/>
      <c r="Q387" s="130">
        <v>80940040645</v>
      </c>
      <c r="R387" s="130">
        <v>80940040645</v>
      </c>
    </row>
    <row r="388" spans="1:32" x14ac:dyDescent="0.2">
      <c r="A388" s="130">
        <v>4</v>
      </c>
      <c r="B388" s="138" t="s">
        <v>285</v>
      </c>
      <c r="C388" s="130" t="s">
        <v>26</v>
      </c>
      <c r="D388" s="131">
        <v>0</v>
      </c>
      <c r="E388" s="131">
        <f t="shared" si="44"/>
        <v>0.22500000000000001</v>
      </c>
      <c r="F388" s="131">
        <v>0.22500000000000001</v>
      </c>
      <c r="G388" s="133">
        <v>675</v>
      </c>
      <c r="H388" s="133" t="s">
        <v>27</v>
      </c>
      <c r="I388" s="133"/>
      <c r="J388" s="133"/>
      <c r="K388" s="133"/>
      <c r="L388" s="133"/>
      <c r="M388" s="133"/>
      <c r="N388" s="133"/>
      <c r="O388" s="133"/>
      <c r="P388" s="133"/>
      <c r="Q388" s="130">
        <v>80940040084</v>
      </c>
      <c r="R388" s="130">
        <v>80940040759</v>
      </c>
    </row>
    <row r="389" spans="1:32" x14ac:dyDescent="0.2">
      <c r="A389" s="140">
        <v>5</v>
      </c>
      <c r="B389" s="129" t="s">
        <v>286</v>
      </c>
      <c r="C389" s="130" t="s">
        <v>26</v>
      </c>
      <c r="D389" s="131">
        <v>0</v>
      </c>
      <c r="E389" s="131">
        <f t="shared" si="44"/>
        <v>0.34699999999999998</v>
      </c>
      <c r="F389" s="131">
        <v>0.34699999999999998</v>
      </c>
      <c r="G389" s="133">
        <v>1041</v>
      </c>
      <c r="H389" s="133" t="s">
        <v>27</v>
      </c>
      <c r="I389" s="133"/>
      <c r="J389" s="133"/>
      <c r="K389" s="133"/>
      <c r="L389" s="133"/>
      <c r="M389" s="133"/>
      <c r="N389" s="133"/>
      <c r="O389" s="133"/>
      <c r="P389" s="133"/>
      <c r="Q389" s="130">
        <v>80940041052</v>
      </c>
      <c r="R389" s="130">
        <v>80940041049</v>
      </c>
    </row>
    <row r="390" spans="1:32" x14ac:dyDescent="0.2">
      <c r="A390" s="141"/>
      <c r="B390" s="135"/>
      <c r="C390" s="130" t="s">
        <v>26</v>
      </c>
      <c r="D390" s="131">
        <f>E389</f>
        <v>0.34699999999999998</v>
      </c>
      <c r="E390" s="131">
        <f t="shared" si="44"/>
        <v>0.56199999999999994</v>
      </c>
      <c r="F390" s="131">
        <v>0.215</v>
      </c>
      <c r="G390" s="133">
        <v>645</v>
      </c>
      <c r="H390" s="133" t="s">
        <v>27</v>
      </c>
      <c r="I390" s="133"/>
      <c r="J390" s="133"/>
      <c r="K390" s="133"/>
      <c r="L390" s="133"/>
      <c r="M390" s="133"/>
      <c r="N390" s="133"/>
      <c r="O390" s="133"/>
      <c r="P390" s="133"/>
      <c r="Q390" s="130">
        <v>80940041052</v>
      </c>
      <c r="R390" s="130">
        <v>80940041042</v>
      </c>
    </row>
    <row r="391" spans="1:32" ht="15" x14ac:dyDescent="0.25">
      <c r="A391" s="139">
        <v>6</v>
      </c>
      <c r="B391" s="138" t="s">
        <v>287</v>
      </c>
      <c r="C391" s="130" t="s">
        <v>26</v>
      </c>
      <c r="D391" s="131">
        <v>0</v>
      </c>
      <c r="E391" s="131">
        <f t="shared" si="44"/>
        <v>0.14499999999999999</v>
      </c>
      <c r="F391" s="131">
        <v>0.14499999999999999</v>
      </c>
      <c r="G391" s="133">
        <v>435</v>
      </c>
      <c r="H391" s="133" t="s">
        <v>27</v>
      </c>
      <c r="I391" s="133"/>
      <c r="J391" s="133"/>
      <c r="K391" s="133"/>
      <c r="L391" s="133"/>
      <c r="M391" s="133"/>
      <c r="N391" s="133"/>
      <c r="O391" s="133"/>
      <c r="P391" s="133"/>
      <c r="Q391" s="130">
        <v>80940041053</v>
      </c>
      <c r="R391" s="130">
        <v>80940041044</v>
      </c>
      <c r="S391"/>
      <c r="T391"/>
      <c r="U391"/>
      <c r="V391"/>
      <c r="W391"/>
      <c r="X391"/>
      <c r="Y391"/>
      <c r="Z391"/>
      <c r="AA391" t="s">
        <v>211</v>
      </c>
      <c r="AB391"/>
      <c r="AC391"/>
      <c r="AD391"/>
      <c r="AE391"/>
      <c r="AF391"/>
    </row>
    <row r="392" spans="1:32" ht="12.75" customHeight="1" x14ac:dyDescent="0.2">
      <c r="A392" s="93" t="s">
        <v>288</v>
      </c>
      <c r="B392" s="94"/>
      <c r="C392" s="95"/>
      <c r="D392" s="94"/>
      <c r="E392" s="96"/>
      <c r="F392" s="97">
        <f>SUM(F385:F391)</f>
        <v>1.9220000000000002</v>
      </c>
      <c r="G392" s="98">
        <f>SUM(G385:G391)</f>
        <v>6106</v>
      </c>
      <c r="H392" s="160"/>
      <c r="I392" s="16"/>
      <c r="J392" s="99"/>
      <c r="K392" s="100" t="s">
        <v>213</v>
      </c>
      <c r="L392" s="101">
        <f>SUM(L385:L391)</f>
        <v>0</v>
      </c>
      <c r="M392" s="101">
        <f>SUM(M385:M391)</f>
        <v>0</v>
      </c>
      <c r="N392" s="92"/>
      <c r="O392" s="100" t="s">
        <v>214</v>
      </c>
      <c r="P392" s="101">
        <f>SUM(P385:P391)</f>
        <v>0</v>
      </c>
      <c r="Q392" s="92"/>
      <c r="T392" s="103" t="s">
        <v>215</v>
      </c>
      <c r="U392" s="103" t="s">
        <v>216</v>
      </c>
      <c r="V392" s="103" t="s">
        <v>217</v>
      </c>
      <c r="W392" s="103" t="s">
        <v>218</v>
      </c>
      <c r="X392" s="103" t="s">
        <v>219</v>
      </c>
      <c r="Y392" s="104" t="s">
        <v>214</v>
      </c>
      <c r="AA392" s="103" t="s">
        <v>215</v>
      </c>
      <c r="AB392" s="103" t="s">
        <v>216</v>
      </c>
      <c r="AC392" s="103" t="s">
        <v>217</v>
      </c>
      <c r="AD392" s="103" t="s">
        <v>218</v>
      </c>
      <c r="AE392" s="103" t="s">
        <v>219</v>
      </c>
      <c r="AF392" s="104" t="s">
        <v>214</v>
      </c>
    </row>
    <row r="393" spans="1:32" ht="12.75" customHeight="1" x14ac:dyDescent="0.2">
      <c r="A393" s="105" t="s">
        <v>221</v>
      </c>
      <c r="B393" s="106"/>
      <c r="C393" s="111"/>
      <c r="D393" s="106"/>
      <c r="E393" s="112"/>
      <c r="F393" s="107">
        <v>0</v>
      </c>
      <c r="G393" s="119">
        <v>0</v>
      </c>
      <c r="H393" s="163"/>
      <c r="I393" s="89"/>
      <c r="J393" s="92"/>
      <c r="K393" s="92"/>
      <c r="L393" s="115"/>
      <c r="M393" s="115"/>
      <c r="N393" s="92"/>
      <c r="O393" s="92"/>
      <c r="P393" s="92"/>
      <c r="Q393" s="92"/>
      <c r="S393" s="102" t="s">
        <v>20</v>
      </c>
      <c r="T393" s="103" t="s">
        <v>23</v>
      </c>
      <c r="U393" s="103" t="s">
        <v>23</v>
      </c>
      <c r="V393" s="103" t="s">
        <v>23</v>
      </c>
      <c r="W393" s="103" t="s">
        <v>23</v>
      </c>
      <c r="X393" s="103" t="s">
        <v>23</v>
      </c>
      <c r="Y393" s="104" t="s">
        <v>23</v>
      </c>
      <c r="Z393" s="102"/>
      <c r="AA393" s="103" t="s">
        <v>23</v>
      </c>
      <c r="AB393" s="103" t="s">
        <v>23</v>
      </c>
      <c r="AC393" s="103" t="s">
        <v>23</v>
      </c>
      <c r="AD393" s="103" t="s">
        <v>23</v>
      </c>
      <c r="AE393" s="103" t="s">
        <v>23</v>
      </c>
      <c r="AF393" s="104" t="s">
        <v>23</v>
      </c>
    </row>
    <row r="394" spans="1:32" ht="12.75" customHeight="1" x14ac:dyDescent="0.2">
      <c r="A394" s="105" t="s">
        <v>223</v>
      </c>
      <c r="B394" s="106"/>
      <c r="C394" s="111"/>
      <c r="D394" s="106"/>
      <c r="E394" s="112"/>
      <c r="F394" s="107">
        <v>0</v>
      </c>
      <c r="G394" s="119">
        <v>0</v>
      </c>
      <c r="I394" s="16"/>
      <c r="J394" s="92"/>
      <c r="N394" s="92"/>
      <c r="O394" s="92"/>
      <c r="P394" s="92"/>
      <c r="Q394" s="92"/>
      <c r="S394" s="116" t="s">
        <v>222</v>
      </c>
      <c r="T394" s="117">
        <f>SUMIFS(F385:F391,C385:C391,"A",H385:H391,"melnais")</f>
        <v>0</v>
      </c>
      <c r="U394" s="117">
        <f>SUMIFS(F385:F391,C385:C391,"A",H385:H391,"dubultā virsma")</f>
        <v>0</v>
      </c>
      <c r="V394" s="117">
        <f>SUMIFS(F385:F391,C385:C391,"A",H385:H391,"bruģis")</f>
        <v>0</v>
      </c>
      <c r="W394" s="117">
        <f>SUMIFS(F385:F391,C385:C391,"A",H385:H391,"grants")</f>
        <v>0</v>
      </c>
      <c r="X394" s="117">
        <f>SUMIFS(F385:F391,C385:C391,"A",H385:H391,"cits segums")</f>
        <v>0</v>
      </c>
      <c r="Y394" s="117">
        <f>SUM(T394:X394)</f>
        <v>0</v>
      </c>
      <c r="Z394" s="116" t="s">
        <v>222</v>
      </c>
      <c r="AA394" s="117">
        <f>SUMIFS(F385:F391,C385:C391,"A",H385:H391,"melnais", Q385:Q391,"Nepiederošs")</f>
        <v>0</v>
      </c>
      <c r="AB394" s="117">
        <f>SUMIFS(F385:F391,C385:C391,"A",H385:H391,"dubultā virsma", Q385:Q391,"Nepiederošs")</f>
        <v>0</v>
      </c>
      <c r="AC394" s="117">
        <f>SUMIFS(F385:F391,C385:C391,"A",H385:H391,"bruģis", Q385:Q391,"Nepiederošs")</f>
        <v>0</v>
      </c>
      <c r="AD394" s="117">
        <f>SUMIFS(F385:F391,C385:C391,"A",H385:H391,"grants", Q385:Q391,"Nepiederošs")</f>
        <v>0</v>
      </c>
      <c r="AE394" s="117">
        <f>SUMIFS(F385:F391,C385:C391,"A",H385:H391,"cits segums", Q385:Q391,"Nepiederošs")</f>
        <v>0</v>
      </c>
      <c r="AF394" s="117">
        <f>SUM(AA394:AE394)</f>
        <v>0</v>
      </c>
    </row>
    <row r="395" spans="1:32" ht="12.75" customHeight="1" x14ac:dyDescent="0.2">
      <c r="A395" s="105" t="s">
        <v>224</v>
      </c>
      <c r="B395" s="106"/>
      <c r="C395" s="111"/>
      <c r="D395" s="106"/>
      <c r="E395" s="112"/>
      <c r="F395" s="107">
        <f>SUM(F385:F391)</f>
        <v>1.9220000000000002</v>
      </c>
      <c r="G395" s="108">
        <f>SUM(G385:G391)</f>
        <v>6106</v>
      </c>
      <c r="I395" s="16"/>
      <c r="J395" s="92"/>
      <c r="N395" s="92"/>
      <c r="O395" s="92"/>
      <c r="P395" s="92"/>
      <c r="Q395" s="92"/>
      <c r="S395" s="120" t="s">
        <v>39</v>
      </c>
      <c r="T395" s="117">
        <f>SUMIFS(F385:F391,C385:C391,"B",H385:H391,"melnais")</f>
        <v>0</v>
      </c>
      <c r="U395" s="117">
        <f>SUMIFS(F385:F391,C385:C391,"B",H385:H391,"dubultā virsma")</f>
        <v>0</v>
      </c>
      <c r="V395" s="117">
        <f>SUMIFS(F385:F391,C385:C391,"B",H385:H391,"bruģis")</f>
        <v>0</v>
      </c>
      <c r="W395" s="117">
        <f>SUMIFS(F385:F391,C385:C391,"B",H385:H391,"grants")</f>
        <v>0</v>
      </c>
      <c r="X395" s="117">
        <f>SUMIFS(F385:F391,C385:C391,"B",H385:H391,"cits segums")</f>
        <v>0</v>
      </c>
      <c r="Y395" s="117">
        <f t="shared" ref="Y395:Y397" si="45">SUM(T395:X395)</f>
        <v>0</v>
      </c>
      <c r="Z395" s="120" t="s">
        <v>39</v>
      </c>
      <c r="AA395" s="117">
        <f>SUMIFS(F385:F391,C385:C391,"B",H385:H391,"melnais", Q385:Q391,"Nepiederošs")</f>
        <v>0</v>
      </c>
      <c r="AB395" s="117">
        <f>SUMIFS(F385:F391,C385:C391,"B",H385:H391,"dubultā virsma", Q385:Q391,"Nepiederošs")</f>
        <v>0</v>
      </c>
      <c r="AC395" s="117">
        <f>SUMIFS(F385:F391,C385:C391,"B",H385:H391,"bruģis", Q385:Q391,"Nepiederošs")</f>
        <v>0</v>
      </c>
      <c r="AD395" s="117">
        <f>SUMIFS(F385:F391,C385:C391,"B",H385:H391,"grants", Q385:Q391,"Nepiederošs")</f>
        <v>0</v>
      </c>
      <c r="AE395" s="117">
        <f>SUMIFS(F385:F391,C385:C391,"B",H385:H391,"cits segums", Q385:Q391,"Nepiederošs")</f>
        <v>0</v>
      </c>
      <c r="AF395" s="117">
        <f t="shared" ref="AF395:AF397" si="46">SUM(AA395:AE395)</f>
        <v>0</v>
      </c>
    </row>
    <row r="396" spans="1:32" ht="12.75" customHeight="1" x14ac:dyDescent="0.2">
      <c r="A396" s="105" t="s">
        <v>225</v>
      </c>
      <c r="B396" s="106"/>
      <c r="C396" s="111"/>
      <c r="D396" s="106"/>
      <c r="E396" s="112"/>
      <c r="F396" s="107">
        <v>0</v>
      </c>
      <c r="G396" s="119">
        <v>0</v>
      </c>
      <c r="H396" s="89"/>
      <c r="I396" s="16"/>
      <c r="J396" s="122"/>
      <c r="N396" s="92"/>
      <c r="O396" s="92"/>
      <c r="P396" s="92"/>
      <c r="Q396" s="92"/>
      <c r="S396" s="121" t="s">
        <v>34</v>
      </c>
      <c r="T396" s="117">
        <f>SUMIFS(F385:F391,C385:C391,"C",H385:H391,"melnais")</f>
        <v>0</v>
      </c>
      <c r="U396" s="117">
        <f>SUMIFS(F385:F391,C385:C391,"C",H385:H391,"dubultā virsma")</f>
        <v>0</v>
      </c>
      <c r="V396" s="117">
        <f>SUMIFS(F385:F391,C385:C391,"C",H385:H391,"bruģis")</f>
        <v>0</v>
      </c>
      <c r="W396" s="117">
        <f>SUMIFS(F385:F391,C385:C391,"C",H385:H391,"grants")</f>
        <v>0.17</v>
      </c>
      <c r="X396" s="117">
        <f>SUMIFS(F385:F391,C385:C391,"C",H385:H391,"cits segums")</f>
        <v>0</v>
      </c>
      <c r="Y396" s="117">
        <f t="shared" si="45"/>
        <v>0.17</v>
      </c>
      <c r="Z396" s="121" t="s">
        <v>34</v>
      </c>
      <c r="AA396" s="117">
        <f>SUMIFS(F385:F391,C385:C391,"C",H385:H391,"melnais", Q385:Q391,"Nepiederošs")</f>
        <v>0</v>
      </c>
      <c r="AB396" s="117">
        <f>SUMIFS(F385:F391,C385:C391,"C",H385:H391,"dubultā virsma", Q385:Q391,"Nepiederošs")</f>
        <v>0</v>
      </c>
      <c r="AC396" s="117">
        <f>SUMIFS(F385:F391,C385:C391,"C",H385:H391,"bruģis", Q385:Q391,"Nepiederošs")</f>
        <v>0</v>
      </c>
      <c r="AD396" s="117">
        <f>SUMIFS(F385:F391,C385:C391,"C",H385:H391,"grants", Q385:Q391,"Nepiederošs")</f>
        <v>0</v>
      </c>
      <c r="AE396" s="117">
        <f>SUMIFS(F385:F391,C385:C391,"C",H385:H391,"cits segums", Q385:Q391,"Nepiederošs")</f>
        <v>0</v>
      </c>
      <c r="AF396" s="117">
        <f t="shared" si="46"/>
        <v>0</v>
      </c>
    </row>
    <row r="397" spans="1:32" ht="12.75" customHeight="1" x14ac:dyDescent="0.2">
      <c r="A397" s="2"/>
      <c r="B397" s="2"/>
      <c r="C397" s="1"/>
      <c r="D397" s="2"/>
      <c r="E397" s="2"/>
      <c r="F397" s="123"/>
      <c r="G397" s="124"/>
      <c r="H397" s="89"/>
      <c r="I397" s="16"/>
      <c r="J397" s="122"/>
      <c r="N397" s="92"/>
      <c r="O397" s="92"/>
      <c r="P397" s="92"/>
      <c r="Q397" s="92"/>
      <c r="S397" s="116" t="s">
        <v>26</v>
      </c>
      <c r="T397" s="117">
        <f>SUMIFS(F385:F391,C385:C391,"D",H385:H391,"melnais")</f>
        <v>0</v>
      </c>
      <c r="U397" s="117">
        <f>SUMIFS(F385:F391,C385:C391,"D",H385:H391,"dubultā virsma")</f>
        <v>0</v>
      </c>
      <c r="V397" s="117">
        <f>SUMIFS(F385:F391,C385:C391,"D",H385:H391,"bruģis")</f>
        <v>0</v>
      </c>
      <c r="W397" s="117">
        <f>SUMIFS(F385:F391,C385:C391,"D",H385:H391,"grants")</f>
        <v>1.7520000000000002</v>
      </c>
      <c r="X397" s="117">
        <f>SUMIFS(F385:F391,C385:C391,"D",H385:H391,"cits segums")</f>
        <v>0</v>
      </c>
      <c r="Y397" s="117">
        <f t="shared" si="45"/>
        <v>1.7520000000000002</v>
      </c>
      <c r="Z397" s="116" t="s">
        <v>26</v>
      </c>
      <c r="AA397" s="117">
        <f>SUMIFS(F385:F391,C385:C391,"D",H385:H391,"melnais", Q385:Q391,"Nepiederošs")</f>
        <v>0</v>
      </c>
      <c r="AB397" s="117">
        <f>SUMIFS(F385:F391,C385:C391,"D",H385:H391,"dubultā virsma", Q385:Q391,"Nepiederošs")</f>
        <v>0</v>
      </c>
      <c r="AC397" s="117">
        <f>SUMIFS(F385:F391,C385:C391,"D",H385:H391,"bruģis", Q385:Q391,"Nepiederošs")</f>
        <v>0</v>
      </c>
      <c r="AD397" s="117">
        <f>SUMIFS(F385:F391,C385:C391,"D",H385:H391,"grants", Q385:Q391,"Nepiederošs")</f>
        <v>0</v>
      </c>
      <c r="AE397" s="117">
        <f>SUMIFS(F385:F391,C385:C391,"D",H385:H391,"cits segums", Q385:Q391,"Nepiederošs")</f>
        <v>0</v>
      </c>
      <c r="AF397" s="117">
        <f t="shared" si="46"/>
        <v>0</v>
      </c>
    </row>
    <row r="398" spans="1:32" s="2" customFormat="1" ht="15" customHeight="1" x14ac:dyDescent="0.25">
      <c r="A398" s="1"/>
      <c r="C398" s="1"/>
      <c r="D398" s="6" t="s">
        <v>289</v>
      </c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4"/>
      <c r="R398" s="7"/>
      <c r="S398" s="172"/>
      <c r="T398" s="126">
        <f>SUM(T394:T397)</f>
        <v>0</v>
      </c>
      <c r="U398" s="126">
        <f t="shared" ref="U398:Y398" si="47">SUM(U394:U397)</f>
        <v>0</v>
      </c>
      <c r="V398" s="126">
        <f t="shared" si="47"/>
        <v>0</v>
      </c>
      <c r="W398" s="126">
        <f t="shared" si="47"/>
        <v>1.9220000000000002</v>
      </c>
      <c r="X398" s="126">
        <f t="shared" si="47"/>
        <v>0</v>
      </c>
      <c r="Y398" s="126">
        <f t="shared" si="47"/>
        <v>1.9220000000000002</v>
      </c>
      <c r="Z398"/>
      <c r="AA398" s="126">
        <f>SUM(AA394:AA397)</f>
        <v>0</v>
      </c>
      <c r="AB398" s="126">
        <f t="shared" ref="AB398" si="48">SUM(AB394:AB397)</f>
        <v>0</v>
      </c>
      <c r="AC398" s="126">
        <f>SUM(AC394:AC397)</f>
        <v>0</v>
      </c>
      <c r="AD398" s="126">
        <f t="shared" ref="AD398:AF398" si="49">SUM(AD394:AD397)</f>
        <v>0</v>
      </c>
      <c r="AE398" s="126">
        <f t="shared" si="49"/>
        <v>0</v>
      </c>
      <c r="AF398" s="126">
        <f t="shared" si="49"/>
        <v>0</v>
      </c>
    </row>
    <row r="399" spans="1:32" ht="12.75" customHeight="1" x14ac:dyDescent="0.2">
      <c r="A399" s="8" t="s">
        <v>2</v>
      </c>
      <c r="B399" s="9" t="s">
        <v>3</v>
      </c>
      <c r="C399" s="10"/>
      <c r="D399" s="11" t="s">
        <v>4</v>
      </c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3"/>
      <c r="Q399" s="14" t="s">
        <v>5</v>
      </c>
      <c r="R399" s="15"/>
    </row>
    <row r="400" spans="1:32" ht="12.75" customHeight="1" x14ac:dyDescent="0.2">
      <c r="A400" s="8"/>
      <c r="B400" s="9"/>
      <c r="C400" s="17"/>
      <c r="D400" s="9" t="s">
        <v>6</v>
      </c>
      <c r="E400" s="9"/>
      <c r="F400" s="9"/>
      <c r="G400" s="9"/>
      <c r="H400" s="9"/>
      <c r="I400" s="18" t="s">
        <v>7</v>
      </c>
      <c r="J400" s="18"/>
      <c r="K400" s="18"/>
      <c r="L400" s="18"/>
      <c r="M400" s="18"/>
      <c r="N400" s="18"/>
      <c r="O400" s="18"/>
      <c r="P400" s="19" t="s">
        <v>8</v>
      </c>
      <c r="Q400" s="20"/>
      <c r="R400" s="21"/>
    </row>
    <row r="401" spans="1:32" ht="15.2" customHeight="1" x14ac:dyDescent="0.2">
      <c r="A401" s="8"/>
      <c r="B401" s="9"/>
      <c r="C401" s="17"/>
      <c r="D401" s="9" t="s">
        <v>9</v>
      </c>
      <c r="E401" s="9"/>
      <c r="F401" s="8" t="s">
        <v>10</v>
      </c>
      <c r="G401" s="8" t="s">
        <v>11</v>
      </c>
      <c r="H401" s="8" t="s">
        <v>12</v>
      </c>
      <c r="I401" s="18" t="s">
        <v>13</v>
      </c>
      <c r="J401" s="18" t="s">
        <v>14</v>
      </c>
      <c r="K401" s="18"/>
      <c r="L401" s="22" t="s">
        <v>15</v>
      </c>
      <c r="M401" s="22" t="s">
        <v>11</v>
      </c>
      <c r="N401" s="22" t="s">
        <v>16</v>
      </c>
      <c r="O401" s="22" t="s">
        <v>17</v>
      </c>
      <c r="P401" s="23"/>
      <c r="Q401" s="23" t="s">
        <v>18</v>
      </c>
      <c r="R401" s="24" t="s">
        <v>19</v>
      </c>
    </row>
    <row r="402" spans="1:32" ht="33.75" customHeight="1" x14ac:dyDescent="0.2">
      <c r="A402" s="8"/>
      <c r="B402" s="9"/>
      <c r="C402" s="25" t="s">
        <v>20</v>
      </c>
      <c r="D402" s="26" t="s">
        <v>21</v>
      </c>
      <c r="E402" s="26" t="s">
        <v>22</v>
      </c>
      <c r="F402" s="8"/>
      <c r="G402" s="8"/>
      <c r="H402" s="8"/>
      <c r="I402" s="18"/>
      <c r="J402" s="27" t="s">
        <v>23</v>
      </c>
      <c r="K402" s="27" t="s">
        <v>24</v>
      </c>
      <c r="L402" s="22"/>
      <c r="M402" s="22"/>
      <c r="N402" s="22"/>
      <c r="O402" s="22"/>
      <c r="P402" s="28"/>
      <c r="Q402" s="28"/>
      <c r="R402" s="29"/>
    </row>
    <row r="403" spans="1:32" s="32" customFormat="1" ht="12" customHeight="1" x14ac:dyDescent="0.25">
      <c r="A403" s="173">
        <v>1</v>
      </c>
      <c r="B403" s="173">
        <v>2</v>
      </c>
      <c r="C403" s="173"/>
      <c r="D403" s="173">
        <v>3</v>
      </c>
      <c r="E403" s="173">
        <v>4</v>
      </c>
      <c r="F403" s="173">
        <v>5</v>
      </c>
      <c r="G403" s="173">
        <v>6</v>
      </c>
      <c r="H403" s="173">
        <v>7</v>
      </c>
      <c r="I403" s="174">
        <v>8</v>
      </c>
      <c r="J403" s="174">
        <v>9</v>
      </c>
      <c r="K403" s="174">
        <v>10</v>
      </c>
      <c r="L403" s="174">
        <v>11</v>
      </c>
      <c r="M403" s="174">
        <v>12</v>
      </c>
      <c r="N403" s="174">
        <v>13</v>
      </c>
      <c r="O403" s="174">
        <v>14</v>
      </c>
      <c r="P403" s="174">
        <v>15</v>
      </c>
      <c r="Q403" s="174">
        <v>16</v>
      </c>
      <c r="R403" s="173">
        <v>17</v>
      </c>
    </row>
    <row r="404" spans="1:32" x14ac:dyDescent="0.2">
      <c r="A404" s="130">
        <v>1</v>
      </c>
      <c r="B404" s="138" t="s">
        <v>290</v>
      </c>
      <c r="C404" s="130" t="s">
        <v>26</v>
      </c>
      <c r="D404" s="145">
        <v>0</v>
      </c>
      <c r="E404" s="145">
        <f>D404+F404</f>
        <v>6.5000000000000002E-2</v>
      </c>
      <c r="F404" s="131">
        <v>6.5000000000000002E-2</v>
      </c>
      <c r="G404" s="190">
        <v>195</v>
      </c>
      <c r="H404" s="133" t="s">
        <v>29</v>
      </c>
      <c r="I404" s="190"/>
      <c r="J404" s="190"/>
      <c r="K404" s="190"/>
      <c r="L404" s="190"/>
      <c r="M404" s="190"/>
      <c r="N404" s="190"/>
      <c r="O404" s="190"/>
      <c r="P404" s="190"/>
      <c r="Q404" s="130">
        <v>80940050326</v>
      </c>
      <c r="R404" s="130">
        <v>80940050326</v>
      </c>
    </row>
    <row r="405" spans="1:32" ht="15" x14ac:dyDescent="0.25">
      <c r="A405" s="130">
        <v>2</v>
      </c>
      <c r="B405" s="138" t="s">
        <v>131</v>
      </c>
      <c r="C405" s="130" t="s">
        <v>26</v>
      </c>
      <c r="D405" s="131">
        <v>0</v>
      </c>
      <c r="E405" s="131">
        <f>D405+F405</f>
        <v>0.46</v>
      </c>
      <c r="F405" s="131">
        <v>0.46</v>
      </c>
      <c r="G405" s="133">
        <v>1380</v>
      </c>
      <c r="H405" s="133" t="s">
        <v>27</v>
      </c>
      <c r="I405" s="133"/>
      <c r="J405" s="133"/>
      <c r="K405" s="133"/>
      <c r="L405" s="133"/>
      <c r="M405" s="133"/>
      <c r="N405" s="133"/>
      <c r="O405" s="133"/>
      <c r="P405" s="133"/>
      <c r="Q405" s="130">
        <v>80940050324</v>
      </c>
      <c r="R405" s="130">
        <v>80940050324</v>
      </c>
      <c r="S405"/>
      <c r="T405"/>
      <c r="U405"/>
      <c r="V405"/>
      <c r="W405"/>
      <c r="X405"/>
      <c r="Y405"/>
      <c r="Z405"/>
      <c r="AA405" t="s">
        <v>211</v>
      </c>
      <c r="AB405"/>
      <c r="AC405"/>
      <c r="AD405"/>
      <c r="AE405"/>
      <c r="AF405"/>
    </row>
    <row r="406" spans="1:32" ht="12.75" customHeight="1" x14ac:dyDescent="0.2">
      <c r="A406" s="93" t="s">
        <v>291</v>
      </c>
      <c r="B406" s="94"/>
      <c r="C406" s="95"/>
      <c r="D406" s="94"/>
      <c r="E406" s="96"/>
      <c r="F406" s="97">
        <f>SUM(F404:F405)</f>
        <v>0.52500000000000002</v>
      </c>
      <c r="G406" s="98">
        <f>SUM(G404:G405)</f>
        <v>1575</v>
      </c>
      <c r="H406" s="160"/>
      <c r="I406" s="16"/>
      <c r="J406" s="99"/>
      <c r="K406" s="100" t="s">
        <v>213</v>
      </c>
      <c r="L406" s="101">
        <f>SUM(L404:L405)</f>
        <v>0</v>
      </c>
      <c r="M406" s="101">
        <f>SUM(M404:M405)</f>
        <v>0</v>
      </c>
      <c r="N406" s="92"/>
      <c r="O406" s="100" t="s">
        <v>214</v>
      </c>
      <c r="P406" s="101">
        <f>SUM(P404:P405)</f>
        <v>0</v>
      </c>
      <c r="Q406" s="92"/>
      <c r="T406" s="103" t="s">
        <v>215</v>
      </c>
      <c r="U406" s="103" t="s">
        <v>216</v>
      </c>
      <c r="V406" s="103" t="s">
        <v>217</v>
      </c>
      <c r="W406" s="103" t="s">
        <v>218</v>
      </c>
      <c r="X406" s="103" t="s">
        <v>219</v>
      </c>
      <c r="Y406" s="104" t="s">
        <v>214</v>
      </c>
      <c r="AA406" s="103" t="s">
        <v>215</v>
      </c>
      <c r="AB406" s="103" t="s">
        <v>216</v>
      </c>
      <c r="AC406" s="103" t="s">
        <v>217</v>
      </c>
      <c r="AD406" s="103" t="s">
        <v>218</v>
      </c>
      <c r="AE406" s="103" t="s">
        <v>219</v>
      </c>
      <c r="AF406" s="104" t="s">
        <v>214</v>
      </c>
    </row>
    <row r="407" spans="1:32" ht="12.75" customHeight="1" x14ac:dyDescent="0.2">
      <c r="A407" s="105" t="s">
        <v>221</v>
      </c>
      <c r="B407" s="106"/>
      <c r="C407" s="111"/>
      <c r="D407" s="106"/>
      <c r="E407" s="112"/>
      <c r="F407" s="107">
        <v>6.5000000000000002E-2</v>
      </c>
      <c r="G407" s="119">
        <v>195</v>
      </c>
      <c r="H407" s="163"/>
      <c r="I407" s="89"/>
      <c r="J407" s="92"/>
      <c r="K407" s="92"/>
      <c r="L407" s="115"/>
      <c r="M407" s="115"/>
      <c r="N407" s="92"/>
      <c r="O407" s="92"/>
      <c r="P407" s="92"/>
      <c r="Q407" s="92"/>
      <c r="S407" s="102" t="s">
        <v>20</v>
      </c>
      <c r="T407" s="103" t="s">
        <v>23</v>
      </c>
      <c r="U407" s="103" t="s">
        <v>23</v>
      </c>
      <c r="V407" s="103" t="s">
        <v>23</v>
      </c>
      <c r="W407" s="103" t="s">
        <v>23</v>
      </c>
      <c r="X407" s="103" t="s">
        <v>23</v>
      </c>
      <c r="Y407" s="104" t="s">
        <v>23</v>
      </c>
      <c r="Z407" s="102"/>
      <c r="AA407" s="103" t="s">
        <v>23</v>
      </c>
      <c r="AB407" s="103" t="s">
        <v>23</v>
      </c>
      <c r="AC407" s="103" t="s">
        <v>23</v>
      </c>
      <c r="AD407" s="103" t="s">
        <v>23</v>
      </c>
      <c r="AE407" s="103" t="s">
        <v>23</v>
      </c>
      <c r="AF407" s="104" t="s">
        <v>23</v>
      </c>
    </row>
    <row r="408" spans="1:32" ht="12.75" customHeight="1" x14ac:dyDescent="0.2">
      <c r="A408" s="105" t="s">
        <v>223</v>
      </c>
      <c r="B408" s="106"/>
      <c r="C408" s="111"/>
      <c r="D408" s="106"/>
      <c r="E408" s="112"/>
      <c r="F408" s="107">
        <v>0</v>
      </c>
      <c r="G408" s="119">
        <v>0</v>
      </c>
      <c r="I408" s="16"/>
      <c r="J408" s="92"/>
      <c r="N408" s="92"/>
      <c r="O408" s="92"/>
      <c r="P408" s="92"/>
      <c r="Q408" s="92"/>
      <c r="S408" s="116" t="s">
        <v>222</v>
      </c>
      <c r="T408" s="117">
        <f>SUMIFS(F399:F405,C399:C405,"A",H399:H405,"melnais")</f>
        <v>0</v>
      </c>
      <c r="U408" s="117">
        <f>SUMIFS(F399:F405,C399:C405,"A",H399:H405,"dubultā virsma")</f>
        <v>0</v>
      </c>
      <c r="V408" s="117">
        <f>SUMIFS(F399:F405,C399:C405,"A",H399:H405,"bruģis")</f>
        <v>0</v>
      </c>
      <c r="W408" s="117">
        <f>SUMIFS(F399:F405,C399:C405,"A",H399:H405,"grants")</f>
        <v>0</v>
      </c>
      <c r="X408" s="117">
        <f>SUMIFS(F399:F405,C399:C405,"A",H399:H405,"cits segums")</f>
        <v>0</v>
      </c>
      <c r="Y408" s="117">
        <f>SUM(T408:X408)</f>
        <v>0</v>
      </c>
      <c r="Z408" s="116" t="s">
        <v>222</v>
      </c>
      <c r="AA408" s="117">
        <f>SUMIFS(F399:F405,C399:C405,"A",H399:H405,"melnais", Q399:Q405,"Nepiederošs")</f>
        <v>0</v>
      </c>
      <c r="AB408" s="117">
        <f>SUMIFS(F399:F405,C399:C405,"A",H399:H405,"dubultā virsma", Q399:Q405,"Nepiederošs")</f>
        <v>0</v>
      </c>
      <c r="AC408" s="117">
        <f>SUMIFS(F399:F405,C399:C405,"A",H399:H405,"bruģis", Q399:Q405,"Nepiederošs")</f>
        <v>0</v>
      </c>
      <c r="AD408" s="117">
        <f>SUMIFS(F399:F405,C399:C405,"A",H399:H405,"grants", Q399:Q405,"Nepiederošs")</f>
        <v>0</v>
      </c>
      <c r="AE408" s="117">
        <f>SUMIFS(F399:F405,C399:C405,"A",H399:H405,"cits segums", Q399:Q405,"Nepiederošs")</f>
        <v>0</v>
      </c>
      <c r="AF408" s="117">
        <f>SUM(AA408:AE408)</f>
        <v>0</v>
      </c>
    </row>
    <row r="409" spans="1:32" ht="12.75" customHeight="1" x14ac:dyDescent="0.2">
      <c r="A409" s="105" t="s">
        <v>224</v>
      </c>
      <c r="B409" s="106"/>
      <c r="C409" s="111"/>
      <c r="D409" s="106"/>
      <c r="E409" s="112"/>
      <c r="F409" s="107">
        <v>0.46</v>
      </c>
      <c r="G409" s="119">
        <v>1380</v>
      </c>
      <c r="I409" s="16"/>
      <c r="J409" s="92"/>
      <c r="N409" s="92"/>
      <c r="O409" s="92"/>
      <c r="P409" s="92"/>
      <c r="Q409" s="92"/>
      <c r="S409" s="120" t="s">
        <v>39</v>
      </c>
      <c r="T409" s="117">
        <f>SUMIFS(F399:F405,C399:C405,"B",H399:H405,"melnais")</f>
        <v>0</v>
      </c>
      <c r="U409" s="117">
        <f>SUMIFS(F399:F405,C399:C405,"B",H399:H405,"dubultā virsma")</f>
        <v>0</v>
      </c>
      <c r="V409" s="117">
        <f>SUMIFS(F399:F405,C399:C405,"B",H399:H405,"bruģis")</f>
        <v>0</v>
      </c>
      <c r="W409" s="117">
        <f>SUMIFS(F399:F405,C399:C405,"B",H399:H405,"grants")</f>
        <v>0</v>
      </c>
      <c r="X409" s="117">
        <f>SUMIFS(F399:F405,C399:C405,"B",H399:H405,"cits segums")</f>
        <v>0</v>
      </c>
      <c r="Y409" s="117">
        <f t="shared" ref="Y409:Y411" si="50">SUM(T409:X409)</f>
        <v>0</v>
      </c>
      <c r="Z409" s="120" t="s">
        <v>39</v>
      </c>
      <c r="AA409" s="117">
        <f>SUMIFS(F399:F405,C399:C405,"B",H399:H405,"melnais", Q399:Q405,"Nepiederošs")</f>
        <v>0</v>
      </c>
      <c r="AB409" s="117">
        <f>SUMIFS(F399:F405,C399:C405,"B",H399:H405,"dubultā virsma", Q399:Q405,"Nepiederošs")</f>
        <v>0</v>
      </c>
      <c r="AC409" s="117">
        <f>SUMIFS(F399:F405,C399:C405,"B",H399:H405,"bruģis", Q399:Q405,"Nepiederošs")</f>
        <v>0</v>
      </c>
      <c r="AD409" s="117">
        <f>SUMIFS(F399:F405,C399:C405,"B",H399:H405,"grants", Q399:Q405,"Nepiederošs")</f>
        <v>0</v>
      </c>
      <c r="AE409" s="117">
        <f>SUMIFS(F399:F405,C399:C405,"B",H399:H405,"cits segums", Q399:Q405,"Nepiederošs")</f>
        <v>0</v>
      </c>
      <c r="AF409" s="117">
        <f t="shared" ref="AF409:AF411" si="51">SUM(AA409:AE409)</f>
        <v>0</v>
      </c>
    </row>
    <row r="410" spans="1:32" ht="12.75" customHeight="1" x14ac:dyDescent="0.2">
      <c r="A410" s="105" t="s">
        <v>225</v>
      </c>
      <c r="B410" s="106"/>
      <c r="C410" s="111"/>
      <c r="D410" s="106"/>
      <c r="E410" s="112"/>
      <c r="F410" s="107">
        <v>0</v>
      </c>
      <c r="G410" s="119">
        <v>0</v>
      </c>
      <c r="H410" s="89"/>
      <c r="I410" s="16"/>
      <c r="J410" s="122"/>
      <c r="N410" s="92"/>
      <c r="O410" s="92"/>
      <c r="P410" s="92"/>
      <c r="Q410" s="92"/>
      <c r="S410" s="121" t="s">
        <v>34</v>
      </c>
      <c r="T410" s="117">
        <f>SUMIFS(F399:F405,C399:C405,"C",H399:H405,"melnais")</f>
        <v>0</v>
      </c>
      <c r="U410" s="117">
        <f>SUMIFS(F399:F405,C399:C405,"C",H399:H405,"dubultā virsma")</f>
        <v>0</v>
      </c>
      <c r="V410" s="117">
        <f>SUMIFS(F399:F405,C399:C405,"C",H399:H405,"bruģis")</f>
        <v>0</v>
      </c>
      <c r="W410" s="117">
        <f>SUMIFS(F399:F405,C399:C405,"C",H399:H405,"grants")</f>
        <v>0</v>
      </c>
      <c r="X410" s="117">
        <f>SUMIFS(F399:F405,C399:C405,"C",H399:H405,"cits segums")</f>
        <v>0</v>
      </c>
      <c r="Y410" s="117">
        <f t="shared" si="50"/>
        <v>0</v>
      </c>
      <c r="Z410" s="121" t="s">
        <v>34</v>
      </c>
      <c r="AA410" s="117">
        <f>SUMIFS(F399:F405,C399:C405,"C",H399:H405,"melnais", Q399:Q405,"Nepiederošs")</f>
        <v>0</v>
      </c>
      <c r="AB410" s="117">
        <f>SUMIFS(F399:F405,C399:C405,"C",H399:H405,"dubultā virsma", Q399:Q405,"Nepiederošs")</f>
        <v>0</v>
      </c>
      <c r="AC410" s="117">
        <f>SUMIFS(F399:F405,C399:C405,"C",H399:H405,"bruģis", Q399:Q405,"Nepiederošs")</f>
        <v>0</v>
      </c>
      <c r="AD410" s="117">
        <f>SUMIFS(F399:F405,C399:C405,"C",H399:H405,"grants", Q399:Q405,"Nepiederošs")</f>
        <v>0</v>
      </c>
      <c r="AE410" s="117">
        <f>SUMIFS(F399:F405,C399:C405,"C",H399:H405,"cits segums", Q399:Q405,"Nepiederošs")</f>
        <v>0</v>
      </c>
      <c r="AF410" s="117">
        <f t="shared" si="51"/>
        <v>0</v>
      </c>
    </row>
    <row r="411" spans="1:32" ht="12.75" customHeight="1" x14ac:dyDescent="0.2">
      <c r="A411" s="2"/>
      <c r="B411" s="2"/>
      <c r="C411" s="1"/>
      <c r="D411" s="2"/>
      <c r="E411" s="2"/>
      <c r="F411" s="123"/>
      <c r="G411" s="124"/>
      <c r="H411" s="89"/>
      <c r="I411" s="16"/>
      <c r="J411" s="122"/>
      <c r="N411" s="92"/>
      <c r="O411" s="92"/>
      <c r="P411" s="92"/>
      <c r="Q411" s="92"/>
      <c r="S411" s="116" t="s">
        <v>26</v>
      </c>
      <c r="T411" s="117">
        <f>SUMIFS(F399:F405,C399:C405,"D",H399:H405,"melnais")</f>
        <v>6.5000000000000002E-2</v>
      </c>
      <c r="U411" s="117">
        <f>SUMIFS(F399:F405,C399:C405,"D",H399:H405,"dubultā virsma")</f>
        <v>0</v>
      </c>
      <c r="V411" s="117">
        <f>SUMIFS(F399:F405,C399:C405,"D",H399:H405,"bruģis")</f>
        <v>0</v>
      </c>
      <c r="W411" s="117">
        <f>SUMIFS(F399:F405,C399:C405,"D",H399:H405,"grants")</f>
        <v>0.46</v>
      </c>
      <c r="X411" s="117">
        <f>SUMIFS(F399:F405,C399:C405,"D",H399:H405,"cits segums")</f>
        <v>0</v>
      </c>
      <c r="Y411" s="117">
        <f t="shared" si="50"/>
        <v>0.52500000000000002</v>
      </c>
      <c r="Z411" s="116" t="s">
        <v>26</v>
      </c>
      <c r="AA411" s="117">
        <f>SUMIFS(F399:F405,C399:C405,"D",H399:H405,"melnais", Q399:Q405,"Nepiederošs")</f>
        <v>0</v>
      </c>
      <c r="AB411" s="117">
        <f>SUMIFS(F399:F405,C399:C405,"D",H399:H405,"dubultā virsma", Q399:Q405,"Nepiederošs")</f>
        <v>0</v>
      </c>
      <c r="AC411" s="117">
        <f>SUMIFS(F399:F405,C399:C405,"D",H399:H405,"bruģis", Q399:Q405,"Nepiederošs")</f>
        <v>0</v>
      </c>
      <c r="AD411" s="117">
        <f>SUMIFS(F399:F405,C399:C405,"D",H399:H405,"grants", Q399:Q405,"Nepiederošs")</f>
        <v>0</v>
      </c>
      <c r="AE411" s="117">
        <f>SUMIFS(F399:F405,C399:C405,"D",H399:H405,"cits segums", Q399:Q405,"Nepiederošs")</f>
        <v>0</v>
      </c>
      <c r="AF411" s="117">
        <f t="shared" si="51"/>
        <v>0</v>
      </c>
    </row>
    <row r="412" spans="1:32" s="2" customFormat="1" ht="15" customHeight="1" x14ac:dyDescent="0.25">
      <c r="A412" s="1"/>
      <c r="C412" s="1"/>
      <c r="D412" s="6" t="s">
        <v>292</v>
      </c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4"/>
      <c r="R412" s="7"/>
      <c r="S412" s="172"/>
      <c r="T412" s="126">
        <f>SUM(T408:T411)</f>
        <v>6.5000000000000002E-2</v>
      </c>
      <c r="U412" s="126">
        <f t="shared" ref="U412:Y412" si="52">SUM(U408:U411)</f>
        <v>0</v>
      </c>
      <c r="V412" s="126">
        <f t="shared" si="52"/>
        <v>0</v>
      </c>
      <c r="W412" s="126">
        <f t="shared" si="52"/>
        <v>0.46</v>
      </c>
      <c r="X412" s="126">
        <f t="shared" si="52"/>
        <v>0</v>
      </c>
      <c r="Y412" s="126">
        <f t="shared" si="52"/>
        <v>0.52500000000000002</v>
      </c>
      <c r="Z412"/>
      <c r="AA412" s="126">
        <f>SUM(AA408:AA411)</f>
        <v>0</v>
      </c>
      <c r="AB412" s="126">
        <f t="shared" ref="AB412" si="53">SUM(AB408:AB411)</f>
        <v>0</v>
      </c>
      <c r="AC412" s="126">
        <f>SUM(AC408:AC411)</f>
        <v>0</v>
      </c>
      <c r="AD412" s="126">
        <f t="shared" ref="AD412:AF412" si="54">SUM(AD408:AD411)</f>
        <v>0</v>
      </c>
      <c r="AE412" s="126">
        <f t="shared" si="54"/>
        <v>0</v>
      </c>
      <c r="AF412" s="126">
        <f t="shared" si="54"/>
        <v>0</v>
      </c>
    </row>
    <row r="413" spans="1:32" ht="12.75" customHeight="1" x14ac:dyDescent="0.2">
      <c r="A413" s="8" t="s">
        <v>2</v>
      </c>
      <c r="B413" s="9" t="s">
        <v>3</v>
      </c>
      <c r="C413" s="10"/>
      <c r="D413" s="11" t="s">
        <v>4</v>
      </c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3"/>
      <c r="Q413" s="14" t="s">
        <v>5</v>
      </c>
      <c r="R413" s="15"/>
    </row>
    <row r="414" spans="1:32" ht="12.75" customHeight="1" x14ac:dyDescent="0.2">
      <c r="A414" s="8"/>
      <c r="B414" s="9"/>
      <c r="C414" s="17"/>
      <c r="D414" s="9" t="s">
        <v>6</v>
      </c>
      <c r="E414" s="9"/>
      <c r="F414" s="9"/>
      <c r="G414" s="9"/>
      <c r="H414" s="9"/>
      <c r="I414" s="18" t="s">
        <v>7</v>
      </c>
      <c r="J414" s="18"/>
      <c r="K414" s="18"/>
      <c r="L414" s="18"/>
      <c r="M414" s="18"/>
      <c r="N414" s="18"/>
      <c r="O414" s="18"/>
      <c r="P414" s="19" t="s">
        <v>8</v>
      </c>
      <c r="Q414" s="20"/>
      <c r="R414" s="21"/>
    </row>
    <row r="415" spans="1:32" ht="15.2" customHeight="1" x14ac:dyDescent="0.2">
      <c r="A415" s="8"/>
      <c r="B415" s="9"/>
      <c r="C415" s="17"/>
      <c r="D415" s="9" t="s">
        <v>9</v>
      </c>
      <c r="E415" s="9"/>
      <c r="F415" s="8" t="s">
        <v>10</v>
      </c>
      <c r="G415" s="8" t="s">
        <v>11</v>
      </c>
      <c r="H415" s="8" t="s">
        <v>12</v>
      </c>
      <c r="I415" s="18" t="s">
        <v>13</v>
      </c>
      <c r="J415" s="18" t="s">
        <v>14</v>
      </c>
      <c r="K415" s="18"/>
      <c r="L415" s="22" t="s">
        <v>15</v>
      </c>
      <c r="M415" s="22" t="s">
        <v>11</v>
      </c>
      <c r="N415" s="22" t="s">
        <v>16</v>
      </c>
      <c r="O415" s="22" t="s">
        <v>17</v>
      </c>
      <c r="P415" s="23"/>
      <c r="Q415" s="23" t="s">
        <v>18</v>
      </c>
      <c r="R415" s="24" t="s">
        <v>19</v>
      </c>
    </row>
    <row r="416" spans="1:32" ht="33.75" customHeight="1" x14ac:dyDescent="0.2">
      <c r="A416" s="8"/>
      <c r="B416" s="9"/>
      <c r="C416" s="25" t="s">
        <v>20</v>
      </c>
      <c r="D416" s="26" t="s">
        <v>21</v>
      </c>
      <c r="E416" s="26" t="s">
        <v>22</v>
      </c>
      <c r="F416" s="8"/>
      <c r="G416" s="8"/>
      <c r="H416" s="8"/>
      <c r="I416" s="18"/>
      <c r="J416" s="27" t="s">
        <v>23</v>
      </c>
      <c r="K416" s="27" t="s">
        <v>24</v>
      </c>
      <c r="L416" s="22"/>
      <c r="M416" s="22"/>
      <c r="N416" s="22"/>
      <c r="O416" s="22"/>
      <c r="P416" s="28"/>
      <c r="Q416" s="28"/>
      <c r="R416" s="29"/>
    </row>
    <row r="417" spans="1:32" s="32" customFormat="1" ht="12" customHeight="1" x14ac:dyDescent="0.25">
      <c r="A417" s="30">
        <v>1</v>
      </c>
      <c r="B417" s="30">
        <v>2</v>
      </c>
      <c r="C417" s="30"/>
      <c r="D417" s="30">
        <v>3</v>
      </c>
      <c r="E417" s="30">
        <v>4</v>
      </c>
      <c r="F417" s="30">
        <v>5</v>
      </c>
      <c r="G417" s="30">
        <v>6</v>
      </c>
      <c r="H417" s="30">
        <v>7</v>
      </c>
      <c r="I417" s="174">
        <v>8</v>
      </c>
      <c r="J417" s="174">
        <v>9</v>
      </c>
      <c r="K417" s="174">
        <v>10</v>
      </c>
      <c r="L417" s="174">
        <v>11</v>
      </c>
      <c r="M417" s="174">
        <v>12</v>
      </c>
      <c r="N417" s="174">
        <v>13</v>
      </c>
      <c r="O417" s="174">
        <v>14</v>
      </c>
      <c r="P417" s="174">
        <v>15</v>
      </c>
      <c r="Q417" s="31">
        <v>16</v>
      </c>
      <c r="R417" s="30">
        <v>17</v>
      </c>
    </row>
    <row r="418" spans="1:32" x14ac:dyDescent="0.2">
      <c r="A418" s="192">
        <v>1</v>
      </c>
      <c r="B418" s="193" t="s">
        <v>65</v>
      </c>
      <c r="C418" s="192" t="s">
        <v>26</v>
      </c>
      <c r="D418" s="194">
        <v>0</v>
      </c>
      <c r="E418" s="194">
        <f>D418+F418</f>
        <v>0.40500000000000003</v>
      </c>
      <c r="F418" s="195">
        <v>0.40500000000000003</v>
      </c>
      <c r="G418" s="196">
        <v>1944</v>
      </c>
      <c r="H418" s="83" t="s">
        <v>27</v>
      </c>
      <c r="I418" s="190"/>
      <c r="J418" s="190"/>
      <c r="K418" s="190"/>
      <c r="L418" s="190"/>
      <c r="M418" s="190"/>
      <c r="N418" s="190"/>
      <c r="O418" s="190"/>
      <c r="P418" s="190"/>
      <c r="Q418" s="197">
        <v>42660040170</v>
      </c>
      <c r="R418" s="197">
        <v>42660040170</v>
      </c>
    </row>
    <row r="419" spans="1:32" x14ac:dyDescent="0.2">
      <c r="A419" s="35">
        <v>2</v>
      </c>
      <c r="B419" s="198" t="s">
        <v>293</v>
      </c>
      <c r="C419" s="199" t="s">
        <v>26</v>
      </c>
      <c r="D419" s="145">
        <v>0</v>
      </c>
      <c r="E419" s="145">
        <f t="shared" ref="E419:E421" si="55">D419+F419</f>
        <v>0.125</v>
      </c>
      <c r="F419" s="36">
        <v>0.125</v>
      </c>
      <c r="G419" s="133">
        <v>500</v>
      </c>
      <c r="H419" s="58" t="s">
        <v>27</v>
      </c>
      <c r="I419" s="133"/>
      <c r="J419" s="133"/>
      <c r="K419" s="133"/>
      <c r="L419" s="133"/>
      <c r="M419" s="133"/>
      <c r="N419" s="133"/>
      <c r="O419" s="133"/>
      <c r="P419" s="133"/>
      <c r="Q419" s="171">
        <v>42660040171</v>
      </c>
      <c r="R419" s="171">
        <v>42660040171</v>
      </c>
    </row>
    <row r="420" spans="1:32" x14ac:dyDescent="0.2">
      <c r="A420" s="48">
        <v>3</v>
      </c>
      <c r="B420" s="200" t="s">
        <v>170</v>
      </c>
      <c r="C420" s="48" t="s">
        <v>26</v>
      </c>
      <c r="D420" s="194">
        <v>0</v>
      </c>
      <c r="E420" s="194">
        <f t="shared" si="55"/>
        <v>0.152</v>
      </c>
      <c r="F420" s="195">
        <v>0.152</v>
      </c>
      <c r="G420" s="133">
        <v>608</v>
      </c>
      <c r="H420" s="83" t="s">
        <v>27</v>
      </c>
      <c r="I420" s="133"/>
      <c r="J420" s="133"/>
      <c r="K420" s="133"/>
      <c r="L420" s="133"/>
      <c r="M420" s="133"/>
      <c r="N420" s="133"/>
      <c r="O420" s="133"/>
      <c r="P420" s="133"/>
      <c r="Q420" s="197">
        <v>42660040172</v>
      </c>
      <c r="R420" s="197">
        <v>42660040172</v>
      </c>
    </row>
    <row r="421" spans="1:32" ht="15" x14ac:dyDescent="0.25">
      <c r="A421" s="35">
        <v>4</v>
      </c>
      <c r="B421" s="201" t="s">
        <v>294</v>
      </c>
      <c r="C421" s="130" t="s">
        <v>26</v>
      </c>
      <c r="D421" s="145">
        <v>0</v>
      </c>
      <c r="E421" s="145">
        <f t="shared" si="55"/>
        <v>0.16</v>
      </c>
      <c r="F421" s="36">
        <v>0.16</v>
      </c>
      <c r="G421" s="133">
        <v>976</v>
      </c>
      <c r="H421" s="58" t="s">
        <v>29</v>
      </c>
      <c r="I421" s="133"/>
      <c r="J421" s="133"/>
      <c r="K421" s="133"/>
      <c r="L421" s="133"/>
      <c r="M421" s="133"/>
      <c r="N421" s="133"/>
      <c r="O421" s="133"/>
      <c r="P421" s="133">
        <v>84</v>
      </c>
      <c r="Q421" s="171">
        <v>42660040115</v>
      </c>
      <c r="R421" s="171">
        <v>42660040115</v>
      </c>
      <c r="T421"/>
      <c r="U421"/>
      <c r="V421"/>
      <c r="W421"/>
      <c r="X421"/>
      <c r="Y421"/>
      <c r="Z421"/>
      <c r="AA421" t="s">
        <v>211</v>
      </c>
      <c r="AB421"/>
      <c r="AC421"/>
      <c r="AD421"/>
      <c r="AE421"/>
      <c r="AF421"/>
    </row>
    <row r="422" spans="1:32" ht="12.75" customHeight="1" x14ac:dyDescent="0.2">
      <c r="A422" s="93" t="s">
        <v>295</v>
      </c>
      <c r="B422" s="94"/>
      <c r="C422" s="95"/>
      <c r="D422" s="94"/>
      <c r="E422" s="96"/>
      <c r="F422" s="97">
        <f>SUM(F418:F421)</f>
        <v>0.84200000000000008</v>
      </c>
      <c r="G422" s="98">
        <f>SUM(G418:G421)</f>
        <v>4028</v>
      </c>
      <c r="H422" s="160"/>
      <c r="I422" s="16"/>
      <c r="J422" s="99"/>
      <c r="K422" s="100" t="s">
        <v>213</v>
      </c>
      <c r="L422" s="101">
        <f>SUM(L418:L421)</f>
        <v>0</v>
      </c>
      <c r="M422" s="101">
        <f>SUM(M418:M421)</f>
        <v>0</v>
      </c>
      <c r="N422" s="92"/>
      <c r="O422" s="100" t="s">
        <v>214</v>
      </c>
      <c r="P422" s="101">
        <f>SUM(P418:P421)</f>
        <v>84</v>
      </c>
      <c r="Q422" s="92"/>
      <c r="T422" s="103" t="s">
        <v>215</v>
      </c>
      <c r="U422" s="103" t="s">
        <v>216</v>
      </c>
      <c r="V422" s="103" t="s">
        <v>217</v>
      </c>
      <c r="W422" s="103" t="s">
        <v>218</v>
      </c>
      <c r="X422" s="103" t="s">
        <v>219</v>
      </c>
      <c r="Y422" s="104" t="s">
        <v>214</v>
      </c>
      <c r="AA422" s="103" t="s">
        <v>215</v>
      </c>
      <c r="AB422" s="103" t="s">
        <v>216</v>
      </c>
      <c r="AC422" s="103" t="s">
        <v>217</v>
      </c>
      <c r="AD422" s="103" t="s">
        <v>218</v>
      </c>
      <c r="AE422" s="103" t="s">
        <v>219</v>
      </c>
      <c r="AF422" s="104" t="s">
        <v>214</v>
      </c>
    </row>
    <row r="423" spans="1:32" ht="12.75" customHeight="1" x14ac:dyDescent="0.2">
      <c r="A423" s="105" t="s">
        <v>221</v>
      </c>
      <c r="B423" s="106"/>
      <c r="C423" s="111"/>
      <c r="D423" s="106"/>
      <c r="E423" s="112"/>
      <c r="F423" s="107">
        <f>F421</f>
        <v>0.16</v>
      </c>
      <c r="G423" s="108">
        <f>G421</f>
        <v>976</v>
      </c>
      <c r="H423" s="163"/>
      <c r="I423" s="89"/>
      <c r="J423" s="92"/>
      <c r="K423" s="92"/>
      <c r="L423" s="115"/>
      <c r="M423" s="115"/>
      <c r="N423" s="92"/>
      <c r="O423" s="92"/>
      <c r="P423" s="92"/>
      <c r="Q423" s="92"/>
      <c r="S423" s="102" t="s">
        <v>20</v>
      </c>
      <c r="T423" s="103" t="s">
        <v>23</v>
      </c>
      <c r="U423" s="103" t="s">
        <v>23</v>
      </c>
      <c r="V423" s="103" t="s">
        <v>23</v>
      </c>
      <c r="W423" s="103" t="s">
        <v>23</v>
      </c>
      <c r="X423" s="103" t="s">
        <v>23</v>
      </c>
      <c r="Y423" s="104" t="s">
        <v>23</v>
      </c>
      <c r="Z423" s="102"/>
      <c r="AA423" s="103" t="s">
        <v>23</v>
      </c>
      <c r="AB423" s="103" t="s">
        <v>23</v>
      </c>
      <c r="AC423" s="103" t="s">
        <v>23</v>
      </c>
      <c r="AD423" s="103" t="s">
        <v>23</v>
      </c>
      <c r="AE423" s="103" t="s">
        <v>23</v>
      </c>
      <c r="AF423" s="104" t="s">
        <v>23</v>
      </c>
    </row>
    <row r="424" spans="1:32" ht="12.75" customHeight="1" x14ac:dyDescent="0.2">
      <c r="A424" s="105" t="s">
        <v>223</v>
      </c>
      <c r="B424" s="106"/>
      <c r="C424" s="111"/>
      <c r="D424" s="106"/>
      <c r="E424" s="112"/>
      <c r="F424" s="107">
        <v>0</v>
      </c>
      <c r="G424" s="108">
        <v>0</v>
      </c>
      <c r="I424" s="16"/>
      <c r="J424" s="92"/>
      <c r="N424" s="92"/>
      <c r="O424" s="92"/>
      <c r="P424" s="92"/>
      <c r="Q424" s="92"/>
      <c r="S424" s="116" t="s">
        <v>222</v>
      </c>
      <c r="T424" s="117">
        <f>SUMIFS(F415:F421,C415:C421,"A",H415:H421,"melnais")</f>
        <v>0</v>
      </c>
      <c r="U424" s="117">
        <f>SUMIFS(F415:F421,C415:C421,"A",H415:H421,"dubultā virsma")</f>
        <v>0</v>
      </c>
      <c r="V424" s="117">
        <f>SUMIFS(F415:F421,C415:C421,"A",H415:H421,"bruģis")</f>
        <v>0</v>
      </c>
      <c r="W424" s="117">
        <f>SUMIFS(F415:F421,C415:C421,"A",H415:H421,"grants")</f>
        <v>0</v>
      </c>
      <c r="X424" s="117">
        <f>SUMIFS(F415:F421,C415:C421,"A",H415:H421,"cits segums")</f>
        <v>0</v>
      </c>
      <c r="Y424" s="117">
        <f>SUM(T424:X424)</f>
        <v>0</v>
      </c>
      <c r="Z424" s="116" t="s">
        <v>222</v>
      </c>
      <c r="AA424" s="117">
        <f>SUMIFS(F415:F421,C415:C421,"A",H415:H421,"melnais", Q415:Q421,"Nepiederošs")</f>
        <v>0</v>
      </c>
      <c r="AB424" s="117">
        <f>SUMIFS(F415:F421,C415:C421,"A",H415:H421,"dubultā virsma", Q415:Q421,"Nepiederošs")</f>
        <v>0</v>
      </c>
      <c r="AC424" s="117">
        <f>SUMIFS(F415:F421,C415:C421,"A",H415:H421,"bruģis", Q415:Q421,"Nepiederošs")</f>
        <v>0</v>
      </c>
      <c r="AD424" s="117">
        <f>SUMIFS(F415:F421,C415:C421,"A",H415:H421,"grants", Q415:Q421,"Nepiederošs")</f>
        <v>0</v>
      </c>
      <c r="AE424" s="117">
        <f>SUMIFS(F415:F421,C415:C421,"A",H415:H421,"cits segums", Q415:Q421,"Nepiederošs")</f>
        <v>0</v>
      </c>
      <c r="AF424" s="117">
        <f>SUM(AA424:AE424)</f>
        <v>0</v>
      </c>
    </row>
    <row r="425" spans="1:32" ht="12.75" customHeight="1" x14ac:dyDescent="0.2">
      <c r="A425" s="105" t="s">
        <v>224</v>
      </c>
      <c r="B425" s="106"/>
      <c r="C425" s="111"/>
      <c r="D425" s="106"/>
      <c r="E425" s="112"/>
      <c r="F425" s="107">
        <f>F418+F419+F420</f>
        <v>0.68200000000000005</v>
      </c>
      <c r="G425" s="108">
        <f>G418+G419+G420</f>
        <v>3052</v>
      </c>
      <c r="I425" s="16"/>
      <c r="J425" s="92"/>
      <c r="N425" s="92"/>
      <c r="O425" s="92"/>
      <c r="P425" s="92"/>
      <c r="Q425" s="92"/>
      <c r="S425" s="120" t="s">
        <v>39</v>
      </c>
      <c r="T425" s="117">
        <f>SUMIFS(F415:F421,C415:C421,"B",H415:H421,"melnais")</f>
        <v>0</v>
      </c>
      <c r="U425" s="117">
        <f>SUMIFS(F415:F421,C415:C421,"B",H415:H421,"dubultā virsma")</f>
        <v>0</v>
      </c>
      <c r="V425" s="117">
        <f>SUMIFS(F415:F421,C415:C421,"B",H415:H421,"bruģis")</f>
        <v>0</v>
      </c>
      <c r="W425" s="117">
        <f>SUMIFS(F415:F421,C415:C421,"B",H415:H421,"grants")</f>
        <v>0</v>
      </c>
      <c r="X425" s="117">
        <f>SUMIFS(F415:F421,C415:C421,"B",H415:H421,"cits segums")</f>
        <v>0</v>
      </c>
      <c r="Y425" s="117">
        <f t="shared" ref="Y425:Y427" si="56">SUM(T425:X425)</f>
        <v>0</v>
      </c>
      <c r="Z425" s="120" t="s">
        <v>39</v>
      </c>
      <c r="AA425" s="117">
        <f>SUMIFS(F415:F421,C415:C421,"B",H415:H421,"melnais", Q415:Q421,"Nepiederošs")</f>
        <v>0</v>
      </c>
      <c r="AB425" s="117">
        <f>SUMIFS(F415:F421,C415:C421,"B",H415:H421,"dubultā virsma", Q415:Q421,"Nepiederošs")</f>
        <v>0</v>
      </c>
      <c r="AC425" s="117">
        <f>SUMIFS(F415:F421,C415:C421,"B",H415:H421,"bruģis", Q415:Q421,"Nepiederošs")</f>
        <v>0</v>
      </c>
      <c r="AD425" s="117">
        <f>SUMIFS(F415:F421,C415:C421,"B",H415:H421,"grants", Q415:Q421,"Nepiederošs")</f>
        <v>0</v>
      </c>
      <c r="AE425" s="117">
        <f>SUMIFS(F415:F421,C415:C421,"B",H415:H421,"cits segums", Q415:Q421,"Nepiederošs")</f>
        <v>0</v>
      </c>
      <c r="AF425" s="117">
        <f t="shared" ref="AF425:AF427" si="57">SUM(AA425:AE425)</f>
        <v>0</v>
      </c>
    </row>
    <row r="426" spans="1:32" ht="12.75" customHeight="1" x14ac:dyDescent="0.2">
      <c r="A426" s="105" t="s">
        <v>225</v>
      </c>
      <c r="B426" s="106"/>
      <c r="C426" s="111"/>
      <c r="D426" s="106"/>
      <c r="E426" s="112"/>
      <c r="F426" s="107">
        <v>0</v>
      </c>
      <c r="G426" s="108">
        <v>0</v>
      </c>
      <c r="H426" s="89"/>
      <c r="I426" s="16"/>
      <c r="J426" s="122"/>
      <c r="N426" s="92"/>
      <c r="O426" s="92"/>
      <c r="P426" s="92"/>
      <c r="Q426" s="92"/>
      <c r="S426" s="121" t="s">
        <v>34</v>
      </c>
      <c r="T426" s="117">
        <f>SUMIFS(F415:F421,C415:C421,"C",H415:H421,"melnais")</f>
        <v>0</v>
      </c>
      <c r="U426" s="117">
        <f>SUMIFS(F415:F421,C415:C421,"C",H415:H421,"dubultā virsma")</f>
        <v>0</v>
      </c>
      <c r="V426" s="117">
        <f>SUMIFS(F415:F421,C415:C421,"C",H415:H421,"bruģis")</f>
        <v>0</v>
      </c>
      <c r="W426" s="117">
        <f>SUMIFS(F415:F421,C415:C421,"C",H415:H421,"grants")</f>
        <v>0</v>
      </c>
      <c r="X426" s="117">
        <f>SUMIFS(F415:F421,C415:C421,"C",H415:H421,"cits segums")</f>
        <v>0</v>
      </c>
      <c r="Y426" s="117">
        <f t="shared" si="56"/>
        <v>0</v>
      </c>
      <c r="Z426" s="121" t="s">
        <v>34</v>
      </c>
      <c r="AA426" s="117">
        <f>SUMIFS(F415:F421,C415:C421,"C",H415:H421,"melnais", Q415:Q421,"Nepiederošs")</f>
        <v>0</v>
      </c>
      <c r="AB426" s="117">
        <f>SUMIFS(F415:F421,C415:C421,"C",H415:H421,"dubultā virsma", Q415:Q421,"Nepiederošs")</f>
        <v>0</v>
      </c>
      <c r="AC426" s="117">
        <f>SUMIFS(F415:F421,C415:C421,"C",H415:H421,"bruģis", Q415:Q421,"Nepiederošs")</f>
        <v>0</v>
      </c>
      <c r="AD426" s="117">
        <f>SUMIFS(F415:F421,C415:C421,"C",H415:H421,"grants", Q415:Q421,"Nepiederošs")</f>
        <v>0</v>
      </c>
      <c r="AE426" s="117">
        <f>SUMIFS(F415:F421,C415:C421,"C",H415:H421,"cits segums", Q415:Q421,"Nepiederošs")</f>
        <v>0</v>
      </c>
      <c r="AF426" s="117">
        <f t="shared" si="57"/>
        <v>0</v>
      </c>
    </row>
    <row r="427" spans="1:32" ht="12.75" customHeight="1" x14ac:dyDescent="0.2">
      <c r="A427" s="2"/>
      <c r="B427" s="2"/>
      <c r="C427" s="1"/>
      <c r="D427" s="2"/>
      <c r="E427" s="2"/>
      <c r="F427" s="123"/>
      <c r="G427" s="164"/>
      <c r="H427" s="89"/>
      <c r="I427" s="16"/>
      <c r="J427" s="122"/>
      <c r="N427" s="92"/>
      <c r="O427" s="92"/>
      <c r="P427" s="92"/>
      <c r="Q427" s="92"/>
      <c r="S427" s="116" t="s">
        <v>26</v>
      </c>
      <c r="T427" s="117">
        <f>SUMIFS(F415:F421,C415:C421,"D",H415:H421,"melnais")</f>
        <v>0.16</v>
      </c>
      <c r="U427" s="117">
        <f>SUMIFS(F415:F421,C415:C421,"D",H415:H421,"dubultā virsma")</f>
        <v>0</v>
      </c>
      <c r="V427" s="117">
        <f>SUMIFS(F415:F421,C415:C421,"D",H415:H421,"bruģis")</f>
        <v>0</v>
      </c>
      <c r="W427" s="117">
        <f>SUMIFS(F415:F421,C415:C421,"D",H415:H421,"grants")</f>
        <v>0.68200000000000005</v>
      </c>
      <c r="X427" s="117">
        <f>SUMIFS(F415:F421,C415:C421,"D",H415:H421,"cits segums")</f>
        <v>0</v>
      </c>
      <c r="Y427" s="117">
        <f t="shared" si="56"/>
        <v>0.84200000000000008</v>
      </c>
      <c r="Z427" s="116" t="s">
        <v>26</v>
      </c>
      <c r="AA427" s="117">
        <f>SUMIFS(F415:F421,C415:C421,"D",H415:H421,"melnais", Q415:Q421,"Nepiederošs")</f>
        <v>0</v>
      </c>
      <c r="AB427" s="117">
        <f>SUMIFS(F415:F421,C415:C421,"D",H415:H421,"dubultā virsma", Q415:Q421,"Nepiederošs")</f>
        <v>0</v>
      </c>
      <c r="AC427" s="117">
        <f>SUMIFS(F415:F421,C415:C421,"D",H415:H421,"bruģis", Q415:Q421,"Nepiederošs")</f>
        <v>0</v>
      </c>
      <c r="AD427" s="117">
        <f>SUMIFS(F415:F421,C415:C421,"D",H415:H421,"grants", Q415:Q421,"Nepiederošs")</f>
        <v>0</v>
      </c>
      <c r="AE427" s="117">
        <f>SUMIFS(F415:F421,C415:C421,"D",H415:H421,"cits segums", Q415:Q421,"Nepiederošs")</f>
        <v>0</v>
      </c>
      <c r="AF427" s="117">
        <f t="shared" si="57"/>
        <v>0</v>
      </c>
    </row>
    <row r="428" spans="1:32" s="2" customFormat="1" ht="15" customHeight="1" x14ac:dyDescent="0.25">
      <c r="A428" s="1"/>
      <c r="C428" s="1"/>
      <c r="D428" s="6" t="s">
        <v>296</v>
      </c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4"/>
      <c r="R428" s="7"/>
      <c r="S428" s="172"/>
      <c r="T428" s="126">
        <f>SUM(T424:T427)</f>
        <v>0.16</v>
      </c>
      <c r="U428" s="126">
        <f t="shared" ref="U428:Y428" si="58">SUM(U424:U427)</f>
        <v>0</v>
      </c>
      <c r="V428" s="126">
        <f t="shared" si="58"/>
        <v>0</v>
      </c>
      <c r="W428" s="126">
        <f t="shared" si="58"/>
        <v>0.68200000000000005</v>
      </c>
      <c r="X428" s="126">
        <f t="shared" si="58"/>
        <v>0</v>
      </c>
      <c r="Y428" s="126">
        <f t="shared" si="58"/>
        <v>0.84200000000000008</v>
      </c>
      <c r="Z428"/>
      <c r="AA428" s="126">
        <f>SUM(AA424:AA427)</f>
        <v>0</v>
      </c>
      <c r="AB428" s="126">
        <f t="shared" ref="AB428" si="59">SUM(AB424:AB427)</f>
        <v>0</v>
      </c>
      <c r="AC428" s="126">
        <f>SUM(AC424:AC427)</f>
        <v>0</v>
      </c>
      <c r="AD428" s="126">
        <f t="shared" ref="AD428:AF428" si="60">SUM(AD424:AD427)</f>
        <v>0</v>
      </c>
      <c r="AE428" s="126">
        <f t="shared" si="60"/>
        <v>0</v>
      </c>
      <c r="AF428" s="126">
        <f t="shared" si="60"/>
        <v>0</v>
      </c>
    </row>
    <row r="429" spans="1:32" ht="12.75" customHeight="1" x14ac:dyDescent="0.2">
      <c r="A429" s="8" t="s">
        <v>2</v>
      </c>
      <c r="B429" s="9" t="s">
        <v>3</v>
      </c>
      <c r="C429" s="10"/>
      <c r="D429" s="11" t="s">
        <v>4</v>
      </c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3"/>
      <c r="Q429" s="14" t="s">
        <v>5</v>
      </c>
      <c r="R429" s="15"/>
    </row>
    <row r="430" spans="1:32" ht="12.75" customHeight="1" x14ac:dyDescent="0.2">
      <c r="A430" s="8"/>
      <c r="B430" s="9"/>
      <c r="C430" s="17"/>
      <c r="D430" s="9" t="s">
        <v>6</v>
      </c>
      <c r="E430" s="9"/>
      <c r="F430" s="9"/>
      <c r="G430" s="9"/>
      <c r="H430" s="9"/>
      <c r="I430" s="18" t="s">
        <v>7</v>
      </c>
      <c r="J430" s="18"/>
      <c r="K430" s="18"/>
      <c r="L430" s="18"/>
      <c r="M430" s="18"/>
      <c r="N430" s="18"/>
      <c r="O430" s="18"/>
      <c r="P430" s="19" t="s">
        <v>8</v>
      </c>
      <c r="Q430" s="20"/>
      <c r="R430" s="21"/>
    </row>
    <row r="431" spans="1:32" ht="15.2" customHeight="1" x14ac:dyDescent="0.2">
      <c r="A431" s="8"/>
      <c r="B431" s="9"/>
      <c r="C431" s="17"/>
      <c r="D431" s="9" t="s">
        <v>9</v>
      </c>
      <c r="E431" s="9"/>
      <c r="F431" s="8" t="s">
        <v>10</v>
      </c>
      <c r="G431" s="8" t="s">
        <v>11</v>
      </c>
      <c r="H431" s="8" t="s">
        <v>12</v>
      </c>
      <c r="I431" s="18" t="s">
        <v>13</v>
      </c>
      <c r="J431" s="18" t="s">
        <v>14</v>
      </c>
      <c r="K431" s="18"/>
      <c r="L431" s="22" t="s">
        <v>15</v>
      </c>
      <c r="M431" s="22" t="s">
        <v>11</v>
      </c>
      <c r="N431" s="22" t="s">
        <v>16</v>
      </c>
      <c r="O431" s="22" t="s">
        <v>17</v>
      </c>
      <c r="P431" s="23"/>
      <c r="Q431" s="23" t="s">
        <v>18</v>
      </c>
      <c r="R431" s="24" t="s">
        <v>19</v>
      </c>
    </row>
    <row r="432" spans="1:32" ht="33.75" customHeight="1" x14ac:dyDescent="0.2">
      <c r="A432" s="8"/>
      <c r="B432" s="9"/>
      <c r="C432" s="25" t="s">
        <v>20</v>
      </c>
      <c r="D432" s="26" t="s">
        <v>21</v>
      </c>
      <c r="E432" s="26" t="s">
        <v>22</v>
      </c>
      <c r="F432" s="8"/>
      <c r="G432" s="8"/>
      <c r="H432" s="8"/>
      <c r="I432" s="18"/>
      <c r="J432" s="27" t="s">
        <v>23</v>
      </c>
      <c r="K432" s="27" t="s">
        <v>24</v>
      </c>
      <c r="L432" s="22"/>
      <c r="M432" s="22"/>
      <c r="N432" s="22"/>
      <c r="O432" s="22"/>
      <c r="P432" s="28"/>
      <c r="Q432" s="28"/>
      <c r="R432" s="29"/>
    </row>
    <row r="433" spans="1:18" s="32" customFormat="1" ht="12" customHeight="1" x14ac:dyDescent="0.25">
      <c r="A433" s="173">
        <v>1</v>
      </c>
      <c r="B433" s="173">
        <v>2</v>
      </c>
      <c r="C433" s="173"/>
      <c r="D433" s="173">
        <v>3</v>
      </c>
      <c r="E433" s="173">
        <v>4</v>
      </c>
      <c r="F433" s="173">
        <v>5</v>
      </c>
      <c r="G433" s="173">
        <v>6</v>
      </c>
      <c r="H433" s="173">
        <v>7</v>
      </c>
      <c r="I433" s="174">
        <v>8</v>
      </c>
      <c r="J433" s="174">
        <v>9</v>
      </c>
      <c r="K433" s="174">
        <v>10</v>
      </c>
      <c r="L433" s="174">
        <v>11</v>
      </c>
      <c r="M433" s="174">
        <v>12</v>
      </c>
      <c r="N433" s="174">
        <v>13</v>
      </c>
      <c r="O433" s="174">
        <v>14</v>
      </c>
      <c r="P433" s="174">
        <v>15</v>
      </c>
      <c r="Q433" s="174">
        <v>16</v>
      </c>
      <c r="R433" s="173">
        <v>17</v>
      </c>
    </row>
    <row r="434" spans="1:18" x14ac:dyDescent="0.2">
      <c r="A434" s="202">
        <v>1</v>
      </c>
      <c r="B434" s="203" t="s">
        <v>54</v>
      </c>
      <c r="C434" s="204" t="s">
        <v>26</v>
      </c>
      <c r="D434" s="205">
        <v>0</v>
      </c>
      <c r="E434" s="205">
        <f>D434+F434</f>
        <v>0.28000000000000003</v>
      </c>
      <c r="F434" s="205">
        <v>0.28000000000000003</v>
      </c>
      <c r="G434" s="206">
        <v>1120</v>
      </c>
      <c r="H434" s="207" t="s">
        <v>29</v>
      </c>
      <c r="I434" s="204"/>
      <c r="J434" s="204"/>
      <c r="K434" s="204"/>
      <c r="L434" s="204"/>
      <c r="M434" s="204"/>
      <c r="N434" s="204"/>
      <c r="O434" s="204"/>
      <c r="P434" s="204"/>
      <c r="Q434" s="204">
        <v>80420040270</v>
      </c>
      <c r="R434" s="204">
        <v>80420040291</v>
      </c>
    </row>
    <row r="435" spans="1:18" x14ac:dyDescent="0.2">
      <c r="A435" s="208"/>
      <c r="B435" s="209"/>
      <c r="C435" s="204" t="s">
        <v>26</v>
      </c>
      <c r="D435" s="205">
        <f>E434</f>
        <v>0.28000000000000003</v>
      </c>
      <c r="E435" s="205">
        <f t="shared" ref="E435:E453" si="61">D435+F435</f>
        <v>0.52</v>
      </c>
      <c r="F435" s="205">
        <v>0.24</v>
      </c>
      <c r="G435" s="206">
        <v>960</v>
      </c>
      <c r="H435" s="207" t="s">
        <v>29</v>
      </c>
      <c r="I435" s="204"/>
      <c r="J435" s="204"/>
      <c r="K435" s="204"/>
      <c r="L435" s="204"/>
      <c r="M435" s="204"/>
      <c r="N435" s="204"/>
      <c r="O435" s="204"/>
      <c r="P435" s="204"/>
      <c r="Q435" s="204">
        <v>80420040270</v>
      </c>
      <c r="R435" s="204">
        <v>80420040270</v>
      </c>
    </row>
    <row r="436" spans="1:18" x14ac:dyDescent="0.2">
      <c r="A436" s="202">
        <v>2</v>
      </c>
      <c r="B436" s="203" t="s">
        <v>297</v>
      </c>
      <c r="C436" s="204" t="s">
        <v>26</v>
      </c>
      <c r="D436" s="205">
        <v>0</v>
      </c>
      <c r="E436" s="205">
        <f t="shared" si="61"/>
        <v>0.375</v>
      </c>
      <c r="F436" s="205">
        <v>0.375</v>
      </c>
      <c r="G436" s="206">
        <v>2625</v>
      </c>
      <c r="H436" s="207" t="s">
        <v>29</v>
      </c>
      <c r="I436" s="204"/>
      <c r="J436" s="204"/>
      <c r="K436" s="204"/>
      <c r="L436" s="204"/>
      <c r="M436" s="204"/>
      <c r="N436" s="204"/>
      <c r="O436" s="204"/>
      <c r="P436" s="204"/>
      <c r="Q436" s="204">
        <v>80420040271</v>
      </c>
      <c r="R436" s="204">
        <v>80420040271</v>
      </c>
    </row>
    <row r="437" spans="1:18" x14ac:dyDescent="0.2">
      <c r="A437" s="210"/>
      <c r="B437" s="211"/>
      <c r="C437" s="204" t="s">
        <v>26</v>
      </c>
      <c r="D437" s="205">
        <f t="shared" ref="D437:D453" si="62">E436</f>
        <v>0.375</v>
      </c>
      <c r="E437" s="205">
        <f t="shared" si="61"/>
        <v>0.41499999999999998</v>
      </c>
      <c r="F437" s="205">
        <v>0.04</v>
      </c>
      <c r="G437" s="206">
        <v>240</v>
      </c>
      <c r="H437" s="207" t="s">
        <v>29</v>
      </c>
      <c r="I437" s="204"/>
      <c r="J437" s="204"/>
      <c r="K437" s="204"/>
      <c r="L437" s="204"/>
      <c r="M437" s="204"/>
      <c r="N437" s="204"/>
      <c r="O437" s="204"/>
      <c r="P437" s="204"/>
      <c r="Q437" s="204">
        <v>80420040256</v>
      </c>
      <c r="R437" s="204">
        <v>80420040256</v>
      </c>
    </row>
    <row r="438" spans="1:18" x14ac:dyDescent="0.2">
      <c r="A438" s="208">
        <v>3</v>
      </c>
      <c r="B438" s="212" t="s">
        <v>298</v>
      </c>
      <c r="C438" s="204" t="s">
        <v>26</v>
      </c>
      <c r="D438" s="205">
        <v>0</v>
      </c>
      <c r="E438" s="205">
        <f t="shared" si="61"/>
        <v>0.05</v>
      </c>
      <c r="F438" s="205">
        <v>0.05</v>
      </c>
      <c r="G438" s="206">
        <v>200</v>
      </c>
      <c r="H438" s="207" t="s">
        <v>29</v>
      </c>
      <c r="I438" s="204"/>
      <c r="J438" s="204"/>
      <c r="K438" s="204"/>
      <c r="L438" s="204"/>
      <c r="M438" s="204"/>
      <c r="N438" s="204"/>
      <c r="O438" s="204"/>
      <c r="P438" s="204"/>
      <c r="Q438" s="204">
        <v>80420040248</v>
      </c>
      <c r="R438" s="204">
        <v>80420040248</v>
      </c>
    </row>
    <row r="439" spans="1:18" x14ac:dyDescent="0.2">
      <c r="A439" s="202">
        <v>4</v>
      </c>
      <c r="B439" s="203" t="s">
        <v>299</v>
      </c>
      <c r="C439" s="204" t="s">
        <v>26</v>
      </c>
      <c r="D439" s="205">
        <v>0</v>
      </c>
      <c r="E439" s="205">
        <f t="shared" si="61"/>
        <v>6.5000000000000002E-2</v>
      </c>
      <c r="F439" s="205">
        <v>6.5000000000000002E-2</v>
      </c>
      <c r="G439" s="206">
        <v>358</v>
      </c>
      <c r="H439" s="207" t="s">
        <v>29</v>
      </c>
      <c r="I439" s="204"/>
      <c r="J439" s="204"/>
      <c r="K439" s="204"/>
      <c r="L439" s="204"/>
      <c r="M439" s="204"/>
      <c r="N439" s="204"/>
      <c r="O439" s="204"/>
      <c r="P439" s="204"/>
      <c r="Q439" s="204">
        <v>80420040265</v>
      </c>
      <c r="R439" s="204">
        <v>80420040265</v>
      </c>
    </row>
    <row r="440" spans="1:18" x14ac:dyDescent="0.2">
      <c r="A440" s="208"/>
      <c r="B440" s="209"/>
      <c r="C440" s="204" t="s">
        <v>26</v>
      </c>
      <c r="D440" s="205">
        <f t="shared" si="62"/>
        <v>6.5000000000000002E-2</v>
      </c>
      <c r="E440" s="205">
        <f t="shared" si="61"/>
        <v>0.33500000000000002</v>
      </c>
      <c r="F440" s="205">
        <v>0.27</v>
      </c>
      <c r="G440" s="206">
        <v>810</v>
      </c>
      <c r="H440" s="207" t="s">
        <v>27</v>
      </c>
      <c r="I440" s="204"/>
      <c r="J440" s="204"/>
      <c r="K440" s="204"/>
      <c r="L440" s="204"/>
      <c r="M440" s="204"/>
      <c r="N440" s="204"/>
      <c r="O440" s="204"/>
      <c r="P440" s="204"/>
      <c r="Q440" s="204">
        <v>80420040265</v>
      </c>
      <c r="R440" s="204">
        <v>80420040265</v>
      </c>
    </row>
    <row r="441" spans="1:18" ht="33.75" customHeight="1" x14ac:dyDescent="0.2">
      <c r="A441" s="210"/>
      <c r="B441" s="213" t="s">
        <v>300</v>
      </c>
      <c r="C441" s="204" t="s">
        <v>26</v>
      </c>
      <c r="D441" s="205">
        <v>0</v>
      </c>
      <c r="E441" s="205">
        <v>0.20799999999999999</v>
      </c>
      <c r="F441" s="205">
        <v>0.20799999999999999</v>
      </c>
      <c r="G441" s="206">
        <v>624</v>
      </c>
      <c r="H441" s="207" t="s">
        <v>27</v>
      </c>
      <c r="I441" s="204"/>
      <c r="J441" s="204"/>
      <c r="K441" s="204"/>
      <c r="L441" s="204"/>
      <c r="M441" s="204"/>
      <c r="N441" s="204"/>
      <c r="O441" s="204"/>
      <c r="P441" s="204"/>
      <c r="Q441" s="204" t="s">
        <v>301</v>
      </c>
      <c r="R441" s="204" t="s">
        <v>301</v>
      </c>
    </row>
    <row r="442" spans="1:18" x14ac:dyDescent="0.2">
      <c r="A442" s="208">
        <v>5</v>
      </c>
      <c r="B442" s="214" t="s">
        <v>110</v>
      </c>
      <c r="C442" s="204" t="s">
        <v>26</v>
      </c>
      <c r="D442" s="205">
        <v>0</v>
      </c>
      <c r="E442" s="205">
        <f t="shared" si="61"/>
        <v>0.33</v>
      </c>
      <c r="F442" s="205">
        <v>0.33</v>
      </c>
      <c r="G442" s="206">
        <v>1089</v>
      </c>
      <c r="H442" s="207" t="s">
        <v>27</v>
      </c>
      <c r="I442" s="204"/>
      <c r="J442" s="204"/>
      <c r="K442" s="204"/>
      <c r="L442" s="204"/>
      <c r="M442" s="204"/>
      <c r="N442" s="204"/>
      <c r="O442" s="204"/>
      <c r="P442" s="204"/>
      <c r="Q442" s="204">
        <v>80420040267</v>
      </c>
      <c r="R442" s="204">
        <v>80420040267</v>
      </c>
    </row>
    <row r="443" spans="1:18" x14ac:dyDescent="0.2">
      <c r="A443" s="215">
        <v>6</v>
      </c>
      <c r="B443" s="216" t="s">
        <v>302</v>
      </c>
      <c r="C443" s="204" t="s">
        <v>26</v>
      </c>
      <c r="D443" s="205">
        <v>0</v>
      </c>
      <c r="E443" s="205">
        <v>1.1879999999999999</v>
      </c>
      <c r="F443" s="205">
        <v>1.1879999999999999</v>
      </c>
      <c r="G443" s="206">
        <v>4752</v>
      </c>
      <c r="H443" s="207" t="s">
        <v>27</v>
      </c>
      <c r="I443" s="204"/>
      <c r="J443" s="204"/>
      <c r="K443" s="204"/>
      <c r="L443" s="204"/>
      <c r="M443" s="204"/>
      <c r="N443" s="204"/>
      <c r="O443" s="204"/>
      <c r="P443" s="204"/>
      <c r="Q443" s="204">
        <v>80420040335</v>
      </c>
      <c r="R443" s="204">
        <v>80420040335</v>
      </c>
    </row>
    <row r="444" spans="1:18" x14ac:dyDescent="0.2">
      <c r="A444" s="217"/>
      <c r="B444" s="218" t="s">
        <v>254</v>
      </c>
      <c r="C444" s="204" t="s">
        <v>26</v>
      </c>
      <c r="D444" s="205">
        <v>0</v>
      </c>
      <c r="E444" s="205">
        <v>6.3E-2</v>
      </c>
      <c r="F444" s="205">
        <v>6.3E-2</v>
      </c>
      <c r="G444" s="206">
        <v>252</v>
      </c>
      <c r="H444" s="207" t="s">
        <v>27</v>
      </c>
      <c r="I444" s="204"/>
      <c r="J444" s="204"/>
      <c r="K444" s="204"/>
      <c r="L444" s="204"/>
      <c r="M444" s="204"/>
      <c r="N444" s="204"/>
      <c r="O444" s="204"/>
      <c r="P444" s="204"/>
      <c r="Q444" s="204">
        <v>80420040335</v>
      </c>
      <c r="R444" s="204">
        <v>80420040335</v>
      </c>
    </row>
    <row r="445" spans="1:18" x14ac:dyDescent="0.2">
      <c r="A445" s="208">
        <v>7</v>
      </c>
      <c r="B445" s="209" t="s">
        <v>303</v>
      </c>
      <c r="C445" s="204" t="s">
        <v>26</v>
      </c>
      <c r="D445" s="205">
        <v>0</v>
      </c>
      <c r="E445" s="205">
        <f t="shared" si="61"/>
        <v>0.1</v>
      </c>
      <c r="F445" s="205">
        <v>0.1</v>
      </c>
      <c r="G445" s="206">
        <v>360</v>
      </c>
      <c r="H445" s="207" t="s">
        <v>29</v>
      </c>
      <c r="I445" s="204"/>
      <c r="J445" s="204"/>
      <c r="K445" s="204"/>
      <c r="L445" s="204"/>
      <c r="M445" s="204"/>
      <c r="N445" s="204"/>
      <c r="O445" s="204"/>
      <c r="P445" s="204"/>
      <c r="Q445" s="204">
        <v>80420040263</v>
      </c>
      <c r="R445" s="204">
        <v>80420040263</v>
      </c>
    </row>
    <row r="446" spans="1:18" x14ac:dyDescent="0.2">
      <c r="A446" s="208"/>
      <c r="B446" s="209"/>
      <c r="C446" s="204" t="s">
        <v>26</v>
      </c>
      <c r="D446" s="205">
        <f t="shared" si="62"/>
        <v>0.1</v>
      </c>
      <c r="E446" s="205">
        <f t="shared" si="61"/>
        <v>0.45499999999999996</v>
      </c>
      <c r="F446" s="205">
        <v>0.35499999999999998</v>
      </c>
      <c r="G446" s="206">
        <v>1278</v>
      </c>
      <c r="H446" s="207" t="s">
        <v>27</v>
      </c>
      <c r="I446" s="204"/>
      <c r="J446" s="204"/>
      <c r="K446" s="204"/>
      <c r="L446" s="204"/>
      <c r="M446" s="204"/>
      <c r="N446" s="204"/>
      <c r="O446" s="204"/>
      <c r="P446" s="204"/>
      <c r="Q446" s="204">
        <v>80420040263</v>
      </c>
      <c r="R446" s="204">
        <v>80420040263</v>
      </c>
    </row>
    <row r="447" spans="1:18" x14ac:dyDescent="0.2">
      <c r="A447" s="202">
        <v>8</v>
      </c>
      <c r="B447" s="203" t="s">
        <v>304</v>
      </c>
      <c r="C447" s="204" t="s">
        <v>26</v>
      </c>
      <c r="D447" s="205">
        <v>0</v>
      </c>
      <c r="E447" s="205">
        <f t="shared" si="61"/>
        <v>0.33</v>
      </c>
      <c r="F447" s="205">
        <v>0.33</v>
      </c>
      <c r="G447" s="206">
        <v>1470</v>
      </c>
      <c r="H447" s="207" t="s">
        <v>29</v>
      </c>
      <c r="I447" s="204"/>
      <c r="J447" s="204"/>
      <c r="K447" s="204"/>
      <c r="L447" s="204"/>
      <c r="M447" s="204"/>
      <c r="N447" s="204"/>
      <c r="O447" s="204"/>
      <c r="P447" s="204"/>
      <c r="Q447" s="204">
        <v>80420040266</v>
      </c>
      <c r="R447" s="204">
        <v>80420040266</v>
      </c>
    </row>
    <row r="448" spans="1:18" x14ac:dyDescent="0.2">
      <c r="A448" s="210"/>
      <c r="B448" s="211"/>
      <c r="C448" s="204" t="s">
        <v>26</v>
      </c>
      <c r="D448" s="205">
        <f>E447</f>
        <v>0.33</v>
      </c>
      <c r="E448" s="205">
        <f t="shared" si="61"/>
        <v>0.41500000000000004</v>
      </c>
      <c r="F448" s="205">
        <v>8.5000000000000006E-2</v>
      </c>
      <c r="G448" s="206">
        <v>340</v>
      </c>
      <c r="H448" s="207" t="s">
        <v>27</v>
      </c>
      <c r="I448" s="204"/>
      <c r="J448" s="204"/>
      <c r="K448" s="204"/>
      <c r="L448" s="204"/>
      <c r="M448" s="204"/>
      <c r="N448" s="204"/>
      <c r="O448" s="204"/>
      <c r="P448" s="204"/>
      <c r="Q448" s="204">
        <v>80420040266</v>
      </c>
      <c r="R448" s="204">
        <v>80420040266</v>
      </c>
    </row>
    <row r="449" spans="1:32" x14ac:dyDescent="0.2">
      <c r="A449" s="210">
        <v>9</v>
      </c>
      <c r="B449" s="219" t="s">
        <v>305</v>
      </c>
      <c r="C449" s="204" t="s">
        <v>26</v>
      </c>
      <c r="D449" s="205">
        <v>0</v>
      </c>
      <c r="E449" s="205">
        <f t="shared" si="61"/>
        <v>7.2999999999999995E-2</v>
      </c>
      <c r="F449" s="205">
        <v>7.2999999999999995E-2</v>
      </c>
      <c r="G449" s="206">
        <v>292</v>
      </c>
      <c r="H449" s="207" t="s">
        <v>29</v>
      </c>
      <c r="I449" s="204"/>
      <c r="J449" s="204"/>
      <c r="K449" s="204"/>
      <c r="L449" s="204"/>
      <c r="M449" s="204"/>
      <c r="N449" s="204"/>
      <c r="O449" s="204"/>
      <c r="P449" s="204"/>
      <c r="Q449" s="204">
        <v>80420040249</v>
      </c>
      <c r="R449" s="204">
        <v>80420040249</v>
      </c>
    </row>
    <row r="450" spans="1:32" x14ac:dyDescent="0.2">
      <c r="A450" s="220">
        <v>10</v>
      </c>
      <c r="B450" s="221" t="s">
        <v>246</v>
      </c>
      <c r="C450" s="204" t="s">
        <v>26</v>
      </c>
      <c r="D450" s="205">
        <v>0</v>
      </c>
      <c r="E450" s="205">
        <f t="shared" si="61"/>
        <v>0.26500000000000001</v>
      </c>
      <c r="F450" s="205">
        <v>0.26500000000000001</v>
      </c>
      <c r="G450" s="206">
        <v>928</v>
      </c>
      <c r="H450" s="207" t="s">
        <v>27</v>
      </c>
      <c r="I450" s="204"/>
      <c r="J450" s="204"/>
      <c r="K450" s="204"/>
      <c r="L450" s="204"/>
      <c r="M450" s="204"/>
      <c r="N450" s="204"/>
      <c r="O450" s="204"/>
      <c r="P450" s="204"/>
      <c r="Q450" s="204">
        <v>80420040264</v>
      </c>
      <c r="R450" s="204">
        <v>80420040264</v>
      </c>
    </row>
    <row r="451" spans="1:32" x14ac:dyDescent="0.2">
      <c r="A451" s="202">
        <v>11</v>
      </c>
      <c r="B451" s="216" t="s">
        <v>306</v>
      </c>
      <c r="C451" s="204" t="s">
        <v>26</v>
      </c>
      <c r="D451" s="205">
        <v>0</v>
      </c>
      <c r="E451" s="205">
        <f t="shared" si="61"/>
        <v>0.22</v>
      </c>
      <c r="F451" s="205">
        <v>0.22</v>
      </c>
      <c r="G451" s="206">
        <v>1320</v>
      </c>
      <c r="H451" s="207" t="s">
        <v>29</v>
      </c>
      <c r="I451" s="204"/>
      <c r="J451" s="204"/>
      <c r="K451" s="204"/>
      <c r="L451" s="204"/>
      <c r="M451" s="204"/>
      <c r="N451" s="204"/>
      <c r="O451" s="204"/>
      <c r="P451" s="204"/>
      <c r="Q451" s="204">
        <v>80420040269</v>
      </c>
      <c r="R451" s="204">
        <v>80420040269</v>
      </c>
    </row>
    <row r="452" spans="1:32" x14ac:dyDescent="0.2">
      <c r="A452" s="202">
        <v>12</v>
      </c>
      <c r="B452" s="203" t="s">
        <v>307</v>
      </c>
      <c r="C452" s="204" t="s">
        <v>26</v>
      </c>
      <c r="D452" s="205">
        <v>0</v>
      </c>
      <c r="E452" s="205">
        <f t="shared" si="61"/>
        <v>0.05</v>
      </c>
      <c r="F452" s="205">
        <v>0.05</v>
      </c>
      <c r="G452" s="206">
        <v>200</v>
      </c>
      <c r="H452" s="207" t="s">
        <v>27</v>
      </c>
      <c r="I452" s="204"/>
      <c r="J452" s="204"/>
      <c r="K452" s="204"/>
      <c r="L452" s="204"/>
      <c r="M452" s="204"/>
      <c r="N452" s="204"/>
      <c r="O452" s="204"/>
      <c r="P452" s="204"/>
      <c r="Q452" s="204" t="s">
        <v>308</v>
      </c>
      <c r="R452" s="204">
        <v>80420040295</v>
      </c>
    </row>
    <row r="453" spans="1:32" ht="15" x14ac:dyDescent="0.25">
      <c r="A453" s="210"/>
      <c r="B453" s="211"/>
      <c r="C453" s="204" t="s">
        <v>26</v>
      </c>
      <c r="D453" s="205">
        <f t="shared" si="62"/>
        <v>0.05</v>
      </c>
      <c r="E453" s="205">
        <f t="shared" si="61"/>
        <v>0.38500000000000001</v>
      </c>
      <c r="F453" s="205">
        <v>0.33500000000000002</v>
      </c>
      <c r="G453" s="206">
        <v>1340</v>
      </c>
      <c r="H453" s="207" t="s">
        <v>27</v>
      </c>
      <c r="I453" s="204"/>
      <c r="J453" s="204"/>
      <c r="K453" s="204"/>
      <c r="L453" s="204"/>
      <c r="M453" s="204"/>
      <c r="N453" s="204"/>
      <c r="O453" s="204"/>
      <c r="P453" s="204"/>
      <c r="Q453" s="204">
        <v>80420040421</v>
      </c>
      <c r="R453" s="204">
        <v>80420040419</v>
      </c>
      <c r="S453"/>
      <c r="T453"/>
      <c r="U453"/>
      <c r="V453"/>
      <c r="W453"/>
      <c r="X453"/>
      <c r="Y453"/>
      <c r="Z453"/>
      <c r="AA453" t="s">
        <v>211</v>
      </c>
      <c r="AB453"/>
      <c r="AC453"/>
      <c r="AD453"/>
      <c r="AE453"/>
      <c r="AF453"/>
    </row>
    <row r="454" spans="1:32" ht="12.75" customHeight="1" x14ac:dyDescent="0.2">
      <c r="A454" s="154" t="s">
        <v>309</v>
      </c>
      <c r="B454" s="155"/>
      <c r="C454" s="156"/>
      <c r="D454" s="155"/>
      <c r="E454" s="157"/>
      <c r="F454" s="158">
        <f>SUM(F434:F453)</f>
        <v>4.9219999999999997</v>
      </c>
      <c r="G454" s="159">
        <f>SUM(G434:G453)</f>
        <v>20558</v>
      </c>
      <c r="H454" s="160"/>
      <c r="I454" s="16"/>
      <c r="J454" s="99"/>
      <c r="K454" s="161" t="s">
        <v>213</v>
      </c>
      <c r="L454" s="162">
        <f>SUM(L434:L453)</f>
        <v>0</v>
      </c>
      <c r="M454" s="162">
        <f>SUM(M434:M453)</f>
        <v>0</v>
      </c>
      <c r="N454" s="92"/>
      <c r="O454" s="161" t="s">
        <v>214</v>
      </c>
      <c r="P454" s="162">
        <f>SUM(P434:P453)</f>
        <v>0</v>
      </c>
      <c r="Q454" s="92"/>
      <c r="T454" s="103" t="s">
        <v>215</v>
      </c>
      <c r="U454" s="103" t="s">
        <v>216</v>
      </c>
      <c r="V454" s="103" t="s">
        <v>217</v>
      </c>
      <c r="W454" s="103" t="s">
        <v>218</v>
      </c>
      <c r="X454" s="103" t="s">
        <v>219</v>
      </c>
      <c r="Y454" s="104" t="s">
        <v>214</v>
      </c>
      <c r="AA454" s="103" t="s">
        <v>215</v>
      </c>
      <c r="AB454" s="103" t="s">
        <v>216</v>
      </c>
      <c r="AC454" s="103" t="s">
        <v>217</v>
      </c>
      <c r="AD454" s="103" t="s">
        <v>218</v>
      </c>
      <c r="AE454" s="103" t="s">
        <v>219</v>
      </c>
      <c r="AF454" s="104" t="s">
        <v>214</v>
      </c>
    </row>
    <row r="455" spans="1:32" ht="12.75" customHeight="1" x14ac:dyDescent="0.2">
      <c r="A455" s="105" t="s">
        <v>221</v>
      </c>
      <c r="B455" s="106"/>
      <c r="C455" s="111"/>
      <c r="D455" s="106"/>
      <c r="E455" s="112"/>
      <c r="F455" s="107">
        <f>F434+F435+F436+F437+F438+F439+F447+F449+F451</f>
        <v>1.673</v>
      </c>
      <c r="G455" s="108">
        <f>G434+G435+G436+G437+G438+G439+G447+G449+G451</f>
        <v>8585</v>
      </c>
      <c r="H455" s="163"/>
      <c r="I455" s="89"/>
      <c r="J455" s="92"/>
      <c r="K455" s="92"/>
      <c r="L455" s="115"/>
      <c r="M455" s="115"/>
      <c r="N455" s="92"/>
      <c r="O455" s="92"/>
      <c r="P455" s="92"/>
      <c r="Q455" s="92"/>
      <c r="S455" s="102" t="s">
        <v>20</v>
      </c>
      <c r="T455" s="103" t="s">
        <v>23</v>
      </c>
      <c r="U455" s="103" t="s">
        <v>23</v>
      </c>
      <c r="V455" s="103" t="s">
        <v>23</v>
      </c>
      <c r="W455" s="103" t="s">
        <v>23</v>
      </c>
      <c r="X455" s="103" t="s">
        <v>23</v>
      </c>
      <c r="Y455" s="104" t="s">
        <v>23</v>
      </c>
      <c r="Z455" s="102"/>
      <c r="AA455" s="103" t="s">
        <v>23</v>
      </c>
      <c r="AB455" s="103" t="s">
        <v>23</v>
      </c>
      <c r="AC455" s="103" t="s">
        <v>23</v>
      </c>
      <c r="AD455" s="103" t="s">
        <v>23</v>
      </c>
      <c r="AE455" s="103" t="s">
        <v>23</v>
      </c>
      <c r="AF455" s="104" t="s">
        <v>23</v>
      </c>
    </row>
    <row r="456" spans="1:32" ht="12.75" customHeight="1" x14ac:dyDescent="0.2">
      <c r="A456" s="105" t="s">
        <v>223</v>
      </c>
      <c r="B456" s="106"/>
      <c r="C456" s="111"/>
      <c r="D456" s="106"/>
      <c r="E456" s="112"/>
      <c r="F456" s="107">
        <v>0</v>
      </c>
      <c r="G456" s="119">
        <v>0</v>
      </c>
      <c r="I456" s="16"/>
      <c r="J456" s="92"/>
      <c r="N456" s="92"/>
      <c r="O456" s="92"/>
      <c r="P456" s="92"/>
      <c r="Q456" s="92"/>
      <c r="S456" s="116" t="s">
        <v>222</v>
      </c>
      <c r="T456" s="117">
        <f>SUMIFS(F434:F453,C434:C453,"A",H434:H453,"melnais")</f>
        <v>0</v>
      </c>
      <c r="U456" s="117">
        <f>SUMIFS(F434:F453,C434:C453,"A",H434:H453,"dubultā virsma")</f>
        <v>0</v>
      </c>
      <c r="V456" s="117">
        <f>SUMIFS(F434:F453,C434:C453,"A",H434:H453,"bruģis")</f>
        <v>0</v>
      </c>
      <c r="W456" s="117">
        <f>SUMIFS(F434:F453,C434:C453,"A",H434:H453,"grants")</f>
        <v>0</v>
      </c>
      <c r="X456" s="117">
        <f>SUMIFS(F434:F453,C434:C453,"A",H434:H453,"cits segums")</f>
        <v>0</v>
      </c>
      <c r="Y456" s="117">
        <f>SUM(T456:X456)</f>
        <v>0</v>
      </c>
      <c r="Z456" s="116" t="s">
        <v>222</v>
      </c>
      <c r="AA456" s="117">
        <f>SUMIFS(F434:F453,C434:C453,"A",H434:H453,"melnais", Q434:Q453,"Nepiederošs")</f>
        <v>0</v>
      </c>
      <c r="AB456" s="117">
        <f>SUMIFS(F434:F453,C434:C453,"A",H434:H453,"dubultā virsma", Q434:Q453,"Nepiederošs")</f>
        <v>0</v>
      </c>
      <c r="AC456" s="117">
        <f>SUMIFS(F434:F453,C434:C453,"A",H434:H453,"bruģis", Q434:Q453,"Nepiederošs")</f>
        <v>0</v>
      </c>
      <c r="AD456" s="117">
        <f>SUMIFS(F434:F453,C434:C453,"A",H434:H453,"grants", Q434:Q453,"Nepiederošs")</f>
        <v>0</v>
      </c>
      <c r="AE456" s="117">
        <f>SUMIFS(F434:F453,C434:C453,"A",H434:H453,"cits segums", Q434:Q453,"Nepiederošs")</f>
        <v>0</v>
      </c>
      <c r="AF456" s="117">
        <f>SUM(AA456:AE456)</f>
        <v>0</v>
      </c>
    </row>
    <row r="457" spans="1:32" ht="12.75" customHeight="1" x14ac:dyDescent="0.2">
      <c r="A457" s="105" t="s">
        <v>224</v>
      </c>
      <c r="B457" s="106"/>
      <c r="C457" s="111"/>
      <c r="D457" s="106"/>
      <c r="E457" s="112"/>
      <c r="F457" s="107">
        <f>F440+F442+F445+F446+F448+F450+F452+F453+F441+F443+F444</f>
        <v>3.2490000000000001</v>
      </c>
      <c r="G457" s="108">
        <f>G440+G442+G445+G446+G448+G450+G452+G453+G441+G443+G444</f>
        <v>11973</v>
      </c>
      <c r="I457" s="16"/>
      <c r="J457" s="92"/>
      <c r="N457" s="92"/>
      <c r="O457" s="92"/>
      <c r="P457" s="92"/>
      <c r="Q457" s="92"/>
      <c r="S457" s="120" t="s">
        <v>39</v>
      </c>
      <c r="T457" s="117">
        <f>SUMIFS(F434:F453,C434:C453,"B",H434:H453,"melnais")</f>
        <v>0</v>
      </c>
      <c r="U457" s="117">
        <f>SUMIFS(F434:F453,C434:C453,"B",H434:H453,"dubultā virsma")</f>
        <v>0</v>
      </c>
      <c r="V457" s="117">
        <f>SUMIFS(F434:F453,C434:C453,"B",H434:H453,"bruģis")</f>
        <v>0</v>
      </c>
      <c r="W457" s="117">
        <f>SUMIFS(F434:F453,C434:C453,"B",H434:H453,"grants")</f>
        <v>0</v>
      </c>
      <c r="X457" s="117">
        <f>SUMIFS(F434:F453,C434:C453,"B",H434:H453,"cits segums")</f>
        <v>0</v>
      </c>
      <c r="Y457" s="117">
        <f t="shared" ref="Y457:Y459" si="63">SUM(T457:X457)</f>
        <v>0</v>
      </c>
      <c r="Z457" s="120" t="s">
        <v>39</v>
      </c>
      <c r="AA457" s="117">
        <f>SUMIFS(F434:F453,C434:C453,"B",H434:H453,"melnais", Q434:Q453,"Nepiederošs")</f>
        <v>0</v>
      </c>
      <c r="AB457" s="117">
        <f>SUMIFS(F434:F453,C434:C453,"B",H434:H453,"dubultā virsma", Q434:Q453,"Nepiederošs")</f>
        <v>0</v>
      </c>
      <c r="AC457" s="117">
        <f>SUMIFS(F434:F453,C434:C453,"B",H434:H453,"bruģis", Q434:Q453,"Nepiederošs")</f>
        <v>0</v>
      </c>
      <c r="AD457" s="117">
        <f>SUMIFS(F434:F453,C434:C453,"B",H434:H453,"grants", Q434:Q453,"Nepiederošs")</f>
        <v>0</v>
      </c>
      <c r="AE457" s="117">
        <f>SUMIFS(F434:F453,C434:C453,"B",H434:H453,"cits segums", Q434:Q453,"Nepiederošs")</f>
        <v>0</v>
      </c>
      <c r="AF457" s="117">
        <f t="shared" ref="AF457:AF459" si="64">SUM(AA457:AE457)</f>
        <v>0</v>
      </c>
    </row>
    <row r="458" spans="1:32" ht="12.75" customHeight="1" x14ac:dyDescent="0.2">
      <c r="A458" s="105" t="s">
        <v>225</v>
      </c>
      <c r="B458" s="106"/>
      <c r="C458" s="111"/>
      <c r="D458" s="106"/>
      <c r="E458" s="112"/>
      <c r="F458" s="107">
        <v>0</v>
      </c>
      <c r="G458" s="119">
        <v>0</v>
      </c>
      <c r="H458" s="89"/>
      <c r="I458" s="16"/>
      <c r="J458" s="122"/>
      <c r="N458" s="92"/>
      <c r="O458" s="92"/>
      <c r="P458" s="92"/>
      <c r="Q458" s="92"/>
      <c r="S458" s="121" t="s">
        <v>34</v>
      </c>
      <c r="T458" s="117">
        <f>SUMIFS(F434:F453,C434:C453,"C",H434:H453,"melnais")</f>
        <v>0</v>
      </c>
      <c r="U458" s="117">
        <f>SUMIFS(F434:F453,C434:C453,"C",H434:H453,"dubultā virsma")</f>
        <v>0</v>
      </c>
      <c r="V458" s="117">
        <f>SUMIFS(F434:F453,C434:C453,"C",H434:H453,"bruģis")</f>
        <v>0</v>
      </c>
      <c r="W458" s="117">
        <f>SUMIFS(F434:F453,C434:C453,"C",H434:H453,"grants")</f>
        <v>0</v>
      </c>
      <c r="X458" s="117">
        <f>SUMIFS(F434:F453,C434:C453,"C",H434:H453,"cits segums")</f>
        <v>0</v>
      </c>
      <c r="Y458" s="117">
        <f t="shared" si="63"/>
        <v>0</v>
      </c>
      <c r="Z458" s="121" t="s">
        <v>34</v>
      </c>
      <c r="AA458" s="117">
        <f>SUMIFS(F434:F453,C434:C453,"C",H434:H453,"melnais", Q434:Q453,"Nepiederošs")</f>
        <v>0</v>
      </c>
      <c r="AB458" s="117">
        <f>SUMIFS(F434:F453,C434:C453,"C",H434:H453,"dubultā virsma", Q434:Q453,"Nepiederošs")</f>
        <v>0</v>
      </c>
      <c r="AC458" s="117">
        <f>SUMIFS(F434:F453,C434:C453,"C",H434:H453,"bruģis", Q434:Q453,"Nepiederošs")</f>
        <v>0</v>
      </c>
      <c r="AD458" s="117">
        <f>SUMIFS(F434:F453,C434:C453,"C",H434:H453,"grants", Q434:Q453,"Nepiederošs")</f>
        <v>0</v>
      </c>
      <c r="AE458" s="117">
        <f>SUMIFS(F434:F453,C434:C453,"C",H434:H453,"cits segums", Q434:Q453,"Nepiederošs")</f>
        <v>0</v>
      </c>
      <c r="AF458" s="117">
        <f t="shared" si="64"/>
        <v>0</v>
      </c>
    </row>
    <row r="459" spans="1:32" ht="12.75" customHeight="1" x14ac:dyDescent="0.2">
      <c r="A459" s="2"/>
      <c r="B459" s="2"/>
      <c r="C459" s="1"/>
      <c r="D459" s="2"/>
      <c r="E459" s="2"/>
      <c r="F459" s="123"/>
      <c r="G459" s="124"/>
      <c r="H459" s="89"/>
      <c r="I459" s="16"/>
      <c r="J459" s="122"/>
      <c r="N459" s="92"/>
      <c r="O459" s="92"/>
      <c r="P459" s="92"/>
      <c r="Q459" s="92"/>
      <c r="S459" s="116" t="s">
        <v>26</v>
      </c>
      <c r="T459" s="117">
        <f>SUMIFS(F434:F453,C434:C453,"D",H434:H453,"melnais")</f>
        <v>1.7730000000000001</v>
      </c>
      <c r="U459" s="117">
        <f>SUMIFS(F434:F453,C434:C453,"D",H434:H453,"dubultā virsma")</f>
        <v>0</v>
      </c>
      <c r="V459" s="117">
        <f>SUMIFS(F434:F453,C434:C453,"D",H434:H453,"bruģis")</f>
        <v>0</v>
      </c>
      <c r="W459" s="117">
        <f>SUMIFS(F434:F453,C434:C453,"D",H434:H453,"grants")</f>
        <v>3.149</v>
      </c>
      <c r="X459" s="117">
        <f>SUMIFS(F434:F453,C434:C453,"D",H434:H453,"cits segums")</f>
        <v>0</v>
      </c>
      <c r="Y459" s="117">
        <f t="shared" si="63"/>
        <v>4.9220000000000006</v>
      </c>
      <c r="Z459" s="116" t="s">
        <v>26</v>
      </c>
      <c r="AA459" s="117">
        <f>SUMIFS(F434:F453,C434:C453,"D",H434:H453,"melnais", Q434:Q453,"Nepiederošs")</f>
        <v>0</v>
      </c>
      <c r="AB459" s="117">
        <f>SUMIFS(F434:F453,C434:C453,"D",H434:H453,"dubultā virsma", Q434:Q453,"Nepiederošs")</f>
        <v>0</v>
      </c>
      <c r="AC459" s="117">
        <f>SUMIFS(F434:F453,C434:C453,"D",H434:H453,"bruģis", Q434:Q453,"Nepiederošs")</f>
        <v>0</v>
      </c>
      <c r="AD459" s="117">
        <f>SUMIFS(F434:F453,C434:C453,"D",H434:H453,"grants", Q434:Q453,"Nepiederošs")</f>
        <v>0</v>
      </c>
      <c r="AE459" s="117">
        <f>SUMIFS(F434:F453,C434:C453,"D",H434:H453,"cits segums", Q434:Q453,"Nepiederošs")</f>
        <v>0</v>
      </c>
      <c r="AF459" s="117">
        <f t="shared" si="64"/>
        <v>0</v>
      </c>
    </row>
    <row r="460" spans="1:32" s="2" customFormat="1" ht="15" customHeight="1" x14ac:dyDescent="0.25">
      <c r="A460" s="1"/>
      <c r="C460" s="1"/>
      <c r="D460" s="6" t="s">
        <v>310</v>
      </c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4"/>
      <c r="R460" s="7"/>
      <c r="S460" s="172"/>
      <c r="T460" s="126">
        <f>SUM(T456:T459)</f>
        <v>1.7730000000000001</v>
      </c>
      <c r="U460" s="126">
        <f t="shared" ref="U460:Y460" si="65">SUM(U456:U459)</f>
        <v>0</v>
      </c>
      <c r="V460" s="126">
        <f t="shared" si="65"/>
        <v>0</v>
      </c>
      <c r="W460" s="126">
        <f t="shared" si="65"/>
        <v>3.149</v>
      </c>
      <c r="X460" s="126">
        <f t="shared" si="65"/>
        <v>0</v>
      </c>
      <c r="Y460" s="126">
        <f t="shared" si="65"/>
        <v>4.9220000000000006</v>
      </c>
      <c r="Z460"/>
      <c r="AA460" s="126">
        <f>SUM(AA456:AA459)</f>
        <v>0</v>
      </c>
      <c r="AB460" s="126">
        <f t="shared" ref="AB460" si="66">SUM(AB456:AB459)</f>
        <v>0</v>
      </c>
      <c r="AC460" s="126">
        <f>SUM(AC456:AC459)</f>
        <v>0</v>
      </c>
      <c r="AD460" s="126">
        <f t="shared" ref="AD460:AF460" si="67">SUM(AD456:AD459)</f>
        <v>0</v>
      </c>
      <c r="AE460" s="126">
        <f t="shared" si="67"/>
        <v>0</v>
      </c>
      <c r="AF460" s="126">
        <f t="shared" si="67"/>
        <v>0</v>
      </c>
    </row>
    <row r="461" spans="1:32" ht="12.75" customHeight="1" x14ac:dyDescent="0.2">
      <c r="A461" s="8" t="s">
        <v>2</v>
      </c>
      <c r="B461" s="9" t="s">
        <v>3</v>
      </c>
      <c r="C461" s="10"/>
      <c r="D461" s="11" t="s">
        <v>4</v>
      </c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3"/>
      <c r="Q461" s="14" t="s">
        <v>5</v>
      </c>
      <c r="R461" s="15"/>
    </row>
    <row r="462" spans="1:32" ht="12.75" customHeight="1" x14ac:dyDescent="0.2">
      <c r="A462" s="8"/>
      <c r="B462" s="9"/>
      <c r="C462" s="17"/>
      <c r="D462" s="9" t="s">
        <v>6</v>
      </c>
      <c r="E462" s="9"/>
      <c r="F462" s="9"/>
      <c r="G462" s="9"/>
      <c r="H462" s="9"/>
      <c r="I462" s="18" t="s">
        <v>7</v>
      </c>
      <c r="J462" s="18"/>
      <c r="K462" s="18"/>
      <c r="L462" s="18"/>
      <c r="M462" s="18"/>
      <c r="N462" s="18"/>
      <c r="O462" s="18"/>
      <c r="P462" s="19" t="s">
        <v>8</v>
      </c>
      <c r="Q462" s="20"/>
      <c r="R462" s="21"/>
    </row>
    <row r="463" spans="1:32" ht="15.2" customHeight="1" x14ac:dyDescent="0.2">
      <c r="A463" s="8"/>
      <c r="B463" s="9"/>
      <c r="C463" s="17"/>
      <c r="D463" s="9" t="s">
        <v>9</v>
      </c>
      <c r="E463" s="9"/>
      <c r="F463" s="8" t="s">
        <v>10</v>
      </c>
      <c r="G463" s="8" t="s">
        <v>11</v>
      </c>
      <c r="H463" s="8" t="s">
        <v>12</v>
      </c>
      <c r="I463" s="18" t="s">
        <v>13</v>
      </c>
      <c r="J463" s="18" t="s">
        <v>14</v>
      </c>
      <c r="K463" s="18"/>
      <c r="L463" s="22" t="s">
        <v>15</v>
      </c>
      <c r="M463" s="22" t="s">
        <v>11</v>
      </c>
      <c r="N463" s="22" t="s">
        <v>16</v>
      </c>
      <c r="O463" s="22" t="s">
        <v>17</v>
      </c>
      <c r="P463" s="23"/>
      <c r="Q463" s="23" t="s">
        <v>18</v>
      </c>
      <c r="R463" s="24" t="s">
        <v>19</v>
      </c>
    </row>
    <row r="464" spans="1:32" ht="33.75" customHeight="1" x14ac:dyDescent="0.2">
      <c r="A464" s="8"/>
      <c r="B464" s="9"/>
      <c r="C464" s="25" t="s">
        <v>20</v>
      </c>
      <c r="D464" s="26" t="s">
        <v>21</v>
      </c>
      <c r="E464" s="26" t="s">
        <v>22</v>
      </c>
      <c r="F464" s="8"/>
      <c r="G464" s="8"/>
      <c r="H464" s="8"/>
      <c r="I464" s="18"/>
      <c r="J464" s="27" t="s">
        <v>23</v>
      </c>
      <c r="K464" s="27" t="s">
        <v>24</v>
      </c>
      <c r="L464" s="22"/>
      <c r="M464" s="22"/>
      <c r="N464" s="22"/>
      <c r="O464" s="22"/>
      <c r="P464" s="28"/>
      <c r="Q464" s="28"/>
      <c r="R464" s="29"/>
    </row>
    <row r="465" spans="1:18" s="32" customFormat="1" ht="12" customHeight="1" x14ac:dyDescent="0.25">
      <c r="A465" s="173">
        <v>1</v>
      </c>
      <c r="B465" s="173">
        <v>2</v>
      </c>
      <c r="C465" s="173"/>
      <c r="D465" s="173">
        <v>3</v>
      </c>
      <c r="E465" s="173">
        <v>4</v>
      </c>
      <c r="F465" s="173">
        <v>5</v>
      </c>
      <c r="G465" s="173">
        <v>6</v>
      </c>
      <c r="H465" s="173">
        <v>7</v>
      </c>
      <c r="I465" s="174">
        <v>8</v>
      </c>
      <c r="J465" s="174">
        <v>9</v>
      </c>
      <c r="K465" s="174">
        <v>10</v>
      </c>
      <c r="L465" s="174">
        <v>11</v>
      </c>
      <c r="M465" s="174">
        <v>12</v>
      </c>
      <c r="N465" s="174">
        <v>13</v>
      </c>
      <c r="O465" s="174">
        <v>14</v>
      </c>
      <c r="P465" s="174">
        <v>15</v>
      </c>
      <c r="Q465" s="174">
        <v>16</v>
      </c>
      <c r="R465" s="173">
        <v>17</v>
      </c>
    </row>
    <row r="466" spans="1:18" x14ac:dyDescent="0.2">
      <c r="A466" s="204">
        <v>1</v>
      </c>
      <c r="B466" s="222" t="s">
        <v>33</v>
      </c>
      <c r="C466" s="204" t="s">
        <v>26</v>
      </c>
      <c r="D466" s="205">
        <v>0</v>
      </c>
      <c r="E466" s="205">
        <f>D466+F466</f>
        <v>0.47</v>
      </c>
      <c r="F466" s="205">
        <v>0.47</v>
      </c>
      <c r="G466" s="222">
        <v>1410</v>
      </c>
      <c r="H466" s="222" t="s">
        <v>27</v>
      </c>
      <c r="I466" s="222"/>
      <c r="J466" s="222"/>
      <c r="K466" s="222"/>
      <c r="L466" s="222"/>
      <c r="M466" s="222"/>
      <c r="N466" s="222"/>
      <c r="O466" s="222"/>
      <c r="P466" s="222"/>
      <c r="Q466" s="204">
        <v>80420010401</v>
      </c>
      <c r="R466" s="204">
        <v>80420010401</v>
      </c>
    </row>
    <row r="467" spans="1:18" x14ac:dyDescent="0.2">
      <c r="A467" s="204">
        <v>2</v>
      </c>
      <c r="B467" s="222" t="s">
        <v>311</v>
      </c>
      <c r="C467" s="204" t="s">
        <v>26</v>
      </c>
      <c r="D467" s="205">
        <v>0</v>
      </c>
      <c r="E467" s="205">
        <f t="shared" ref="E467:E495" si="68">D467+F467</f>
        <v>0.255</v>
      </c>
      <c r="F467" s="205">
        <v>0.255</v>
      </c>
      <c r="G467" s="222">
        <v>765</v>
      </c>
      <c r="H467" s="222" t="s">
        <v>27</v>
      </c>
      <c r="I467" s="222"/>
      <c r="J467" s="222"/>
      <c r="K467" s="222"/>
      <c r="L467" s="222"/>
      <c r="M467" s="222"/>
      <c r="N467" s="222"/>
      <c r="O467" s="222"/>
      <c r="P467" s="222"/>
      <c r="Q467" s="204">
        <v>80420010412</v>
      </c>
      <c r="R467" s="204">
        <v>80420010420</v>
      </c>
    </row>
    <row r="468" spans="1:18" x14ac:dyDescent="0.2">
      <c r="A468" s="204">
        <v>3</v>
      </c>
      <c r="B468" s="222" t="s">
        <v>65</v>
      </c>
      <c r="C468" s="204" t="s">
        <v>26</v>
      </c>
      <c r="D468" s="205">
        <v>0</v>
      </c>
      <c r="E468" s="205">
        <f t="shared" si="68"/>
        <v>0.74</v>
      </c>
      <c r="F468" s="205">
        <v>0.74</v>
      </c>
      <c r="G468" s="222">
        <v>2220</v>
      </c>
      <c r="H468" s="222" t="s">
        <v>27</v>
      </c>
      <c r="I468" s="222"/>
      <c r="J468" s="222"/>
      <c r="K468" s="222"/>
      <c r="L468" s="222"/>
      <c r="M468" s="222"/>
      <c r="N468" s="222"/>
      <c r="O468" s="222"/>
      <c r="P468" s="222"/>
      <c r="Q468" s="204">
        <v>80420010386</v>
      </c>
      <c r="R468" s="204">
        <v>80420010406</v>
      </c>
    </row>
    <row r="469" spans="1:18" x14ac:dyDescent="0.2">
      <c r="A469" s="204">
        <v>4</v>
      </c>
      <c r="B469" s="222" t="s">
        <v>69</v>
      </c>
      <c r="C469" s="204" t="s">
        <v>26</v>
      </c>
      <c r="D469" s="205">
        <v>0</v>
      </c>
      <c r="E469" s="205">
        <f t="shared" si="68"/>
        <v>0.23</v>
      </c>
      <c r="F469" s="205">
        <v>0.23</v>
      </c>
      <c r="G469" s="222">
        <v>690</v>
      </c>
      <c r="H469" s="222" t="s">
        <v>27</v>
      </c>
      <c r="I469" s="222"/>
      <c r="J469" s="222"/>
      <c r="K469" s="222"/>
      <c r="L469" s="222"/>
      <c r="M469" s="222"/>
      <c r="N469" s="222"/>
      <c r="O469" s="222"/>
      <c r="P469" s="222"/>
      <c r="Q469" s="204">
        <v>80420010393</v>
      </c>
      <c r="R469" s="204">
        <v>80420010407</v>
      </c>
    </row>
    <row r="470" spans="1:18" x14ac:dyDescent="0.2">
      <c r="A470" s="204">
        <v>5</v>
      </c>
      <c r="B470" s="222" t="s">
        <v>75</v>
      </c>
      <c r="C470" s="204" t="s">
        <v>26</v>
      </c>
      <c r="D470" s="205">
        <v>0</v>
      </c>
      <c r="E470" s="205">
        <f t="shared" si="68"/>
        <v>0.17</v>
      </c>
      <c r="F470" s="205">
        <v>0.17</v>
      </c>
      <c r="G470" s="222">
        <v>510</v>
      </c>
      <c r="H470" s="222" t="s">
        <v>70</v>
      </c>
      <c r="I470" s="222"/>
      <c r="J470" s="222"/>
      <c r="K470" s="222"/>
      <c r="L470" s="222"/>
      <c r="M470" s="222"/>
      <c r="N470" s="222"/>
      <c r="O470" s="222"/>
      <c r="P470" s="222"/>
      <c r="Q470" s="204">
        <v>80420010159</v>
      </c>
      <c r="R470" s="204">
        <v>80420010404</v>
      </c>
    </row>
    <row r="471" spans="1:18" x14ac:dyDescent="0.2">
      <c r="A471" s="204">
        <v>6</v>
      </c>
      <c r="B471" s="222" t="s">
        <v>312</v>
      </c>
      <c r="C471" s="204" t="s">
        <v>26</v>
      </c>
      <c r="D471" s="205">
        <v>0</v>
      </c>
      <c r="E471" s="205">
        <f t="shared" si="68"/>
        <v>0.47</v>
      </c>
      <c r="F471" s="205">
        <v>0.47</v>
      </c>
      <c r="G471" s="222">
        <v>1410</v>
      </c>
      <c r="H471" s="222" t="s">
        <v>27</v>
      </c>
      <c r="I471" s="222"/>
      <c r="J471" s="222"/>
      <c r="K471" s="222"/>
      <c r="L471" s="222"/>
      <c r="M471" s="222"/>
      <c r="N471" s="222"/>
      <c r="O471" s="222"/>
      <c r="P471" s="222"/>
      <c r="Q471" s="204">
        <v>80420010411</v>
      </c>
      <c r="R471" s="204">
        <v>80420010419</v>
      </c>
    </row>
    <row r="472" spans="1:18" x14ac:dyDescent="0.2">
      <c r="A472" s="204">
        <v>7</v>
      </c>
      <c r="B472" s="207" t="s">
        <v>313</v>
      </c>
      <c r="C472" s="204" t="s">
        <v>26</v>
      </c>
      <c r="D472" s="205">
        <v>0</v>
      </c>
      <c r="E472" s="205">
        <f t="shared" si="68"/>
        <v>0.02</v>
      </c>
      <c r="F472" s="205">
        <v>0.02</v>
      </c>
      <c r="G472" s="206">
        <v>60</v>
      </c>
      <c r="H472" s="207" t="s">
        <v>70</v>
      </c>
      <c r="I472" s="207"/>
      <c r="J472" s="207"/>
      <c r="K472" s="207"/>
      <c r="L472" s="207"/>
      <c r="M472" s="207"/>
      <c r="N472" s="207"/>
      <c r="O472" s="207"/>
      <c r="P472" s="207"/>
      <c r="Q472" s="204">
        <v>80420010414</v>
      </c>
      <c r="R472" s="204">
        <v>80420010422</v>
      </c>
    </row>
    <row r="473" spans="1:18" x14ac:dyDescent="0.2">
      <c r="A473" s="204">
        <v>8</v>
      </c>
      <c r="B473" s="222" t="s">
        <v>314</v>
      </c>
      <c r="C473" s="204" t="s">
        <v>26</v>
      </c>
      <c r="D473" s="205">
        <v>0</v>
      </c>
      <c r="E473" s="205">
        <f t="shared" si="68"/>
        <v>0.56999999999999995</v>
      </c>
      <c r="F473" s="205">
        <v>0.56999999999999995</v>
      </c>
      <c r="G473" s="222">
        <v>3420</v>
      </c>
      <c r="H473" s="222" t="s">
        <v>27</v>
      </c>
      <c r="I473" s="222"/>
      <c r="J473" s="222"/>
      <c r="K473" s="222"/>
      <c r="L473" s="222"/>
      <c r="M473" s="222"/>
      <c r="N473" s="222"/>
      <c r="O473" s="222"/>
      <c r="P473" s="222"/>
      <c r="Q473" s="204">
        <v>80420010500</v>
      </c>
      <c r="R473" s="204">
        <v>80420010500</v>
      </c>
    </row>
    <row r="474" spans="1:18" x14ac:dyDescent="0.2">
      <c r="A474" s="202">
        <v>9</v>
      </c>
      <c r="B474" s="216" t="s">
        <v>111</v>
      </c>
      <c r="C474" s="204" t="s">
        <v>26</v>
      </c>
      <c r="D474" s="205">
        <v>0</v>
      </c>
      <c r="E474" s="205">
        <f t="shared" si="68"/>
        <v>0.22500000000000001</v>
      </c>
      <c r="F474" s="205">
        <v>0.22500000000000001</v>
      </c>
      <c r="G474" s="222">
        <v>675</v>
      </c>
      <c r="H474" s="222" t="s">
        <v>27</v>
      </c>
      <c r="I474" s="222"/>
      <c r="J474" s="222"/>
      <c r="K474" s="222"/>
      <c r="L474" s="222"/>
      <c r="M474" s="222"/>
      <c r="N474" s="222"/>
      <c r="O474" s="222"/>
      <c r="P474" s="222"/>
      <c r="Q474" s="204">
        <v>80420010406</v>
      </c>
      <c r="R474" s="204">
        <v>80420010412</v>
      </c>
    </row>
    <row r="475" spans="1:18" x14ac:dyDescent="0.2">
      <c r="A475" s="210"/>
      <c r="B475" s="223"/>
      <c r="C475" s="204" t="s">
        <v>26</v>
      </c>
      <c r="D475" s="205">
        <f>E474</f>
        <v>0.22500000000000001</v>
      </c>
      <c r="E475" s="205">
        <f t="shared" si="68"/>
        <v>0.28500000000000003</v>
      </c>
      <c r="F475" s="205">
        <v>0.06</v>
      </c>
      <c r="G475" s="222">
        <v>180</v>
      </c>
      <c r="H475" s="222" t="s">
        <v>27</v>
      </c>
      <c r="I475" s="222"/>
      <c r="J475" s="222"/>
      <c r="K475" s="222"/>
      <c r="L475" s="222"/>
      <c r="M475" s="222"/>
      <c r="N475" s="222"/>
      <c r="O475" s="222"/>
      <c r="P475" s="222"/>
      <c r="Q475" s="204">
        <v>80420010406</v>
      </c>
      <c r="R475" s="204">
        <v>80420010413</v>
      </c>
    </row>
    <row r="476" spans="1:18" x14ac:dyDescent="0.2">
      <c r="A476" s="204">
        <v>10</v>
      </c>
      <c r="B476" s="207" t="s">
        <v>123</v>
      </c>
      <c r="C476" s="204" t="s">
        <v>26</v>
      </c>
      <c r="D476" s="205">
        <v>0</v>
      </c>
      <c r="E476" s="205">
        <f t="shared" si="68"/>
        <v>0.06</v>
      </c>
      <c r="F476" s="205">
        <v>0.06</v>
      </c>
      <c r="G476" s="206">
        <v>180</v>
      </c>
      <c r="H476" s="207" t="s">
        <v>70</v>
      </c>
      <c r="I476" s="207"/>
      <c r="J476" s="207"/>
      <c r="K476" s="207"/>
      <c r="L476" s="207"/>
      <c r="M476" s="207"/>
      <c r="N476" s="207"/>
      <c r="O476" s="207"/>
      <c r="P476" s="207"/>
      <c r="Q476" s="204">
        <v>80420010410</v>
      </c>
      <c r="R476" s="204">
        <v>80420010418</v>
      </c>
    </row>
    <row r="477" spans="1:18" x14ac:dyDescent="0.2">
      <c r="A477" s="204">
        <v>11</v>
      </c>
      <c r="B477" s="222" t="s">
        <v>315</v>
      </c>
      <c r="C477" s="204" t="s">
        <v>26</v>
      </c>
      <c r="D477" s="205">
        <v>0</v>
      </c>
      <c r="E477" s="205">
        <f t="shared" si="68"/>
        <v>0.4</v>
      </c>
      <c r="F477" s="205">
        <v>0.4</v>
      </c>
      <c r="G477" s="222">
        <v>1200</v>
      </c>
      <c r="H477" s="222" t="s">
        <v>27</v>
      </c>
      <c r="I477" s="222"/>
      <c r="J477" s="222"/>
      <c r="K477" s="222"/>
      <c r="L477" s="222"/>
      <c r="M477" s="222"/>
      <c r="N477" s="222"/>
      <c r="O477" s="222"/>
      <c r="P477" s="222"/>
      <c r="Q477" s="204">
        <v>80420010155</v>
      </c>
      <c r="R477" s="204">
        <v>80420010393</v>
      </c>
    </row>
    <row r="478" spans="1:18" x14ac:dyDescent="0.2">
      <c r="A478" s="202">
        <v>12</v>
      </c>
      <c r="B478" s="216" t="s">
        <v>133</v>
      </c>
      <c r="C478" s="204" t="s">
        <v>26</v>
      </c>
      <c r="D478" s="205">
        <v>0</v>
      </c>
      <c r="E478" s="205">
        <f t="shared" si="68"/>
        <v>0.04</v>
      </c>
      <c r="F478" s="205">
        <v>0.04</v>
      </c>
      <c r="G478" s="222">
        <v>120</v>
      </c>
      <c r="H478" s="222" t="s">
        <v>27</v>
      </c>
      <c r="I478" s="222"/>
      <c r="J478" s="222"/>
      <c r="K478" s="222"/>
      <c r="L478" s="222"/>
      <c r="M478" s="222"/>
      <c r="N478" s="222"/>
      <c r="O478" s="222"/>
      <c r="P478" s="222"/>
      <c r="Q478" s="204">
        <v>80420010406</v>
      </c>
      <c r="R478" s="204">
        <v>80420010414</v>
      </c>
    </row>
    <row r="479" spans="1:18" x14ac:dyDescent="0.2">
      <c r="A479" s="210"/>
      <c r="B479" s="223"/>
      <c r="C479" s="204" t="s">
        <v>26</v>
      </c>
      <c r="D479" s="205">
        <f>E478</f>
        <v>0.04</v>
      </c>
      <c r="E479" s="205">
        <f t="shared" si="68"/>
        <v>0.23</v>
      </c>
      <c r="F479" s="205">
        <v>0.19</v>
      </c>
      <c r="G479" s="222">
        <v>570</v>
      </c>
      <c r="H479" s="222" t="s">
        <v>27</v>
      </c>
      <c r="I479" s="222"/>
      <c r="J479" s="222"/>
      <c r="K479" s="222"/>
      <c r="L479" s="222"/>
      <c r="M479" s="222"/>
      <c r="N479" s="222"/>
      <c r="O479" s="222"/>
      <c r="P479" s="222"/>
      <c r="Q479" s="204">
        <v>80420010275</v>
      </c>
      <c r="R479" s="204">
        <v>80420010405</v>
      </c>
    </row>
    <row r="480" spans="1:18" x14ac:dyDescent="0.2">
      <c r="A480" s="204">
        <v>13</v>
      </c>
      <c r="B480" s="222" t="s">
        <v>316</v>
      </c>
      <c r="C480" s="204" t="s">
        <v>26</v>
      </c>
      <c r="D480" s="205">
        <v>0</v>
      </c>
      <c r="E480" s="205">
        <f t="shared" si="68"/>
        <v>0.14499999999999999</v>
      </c>
      <c r="F480" s="205">
        <v>0.14499999999999999</v>
      </c>
      <c r="G480" s="222">
        <v>435</v>
      </c>
      <c r="H480" s="222" t="s">
        <v>27</v>
      </c>
      <c r="I480" s="222"/>
      <c r="J480" s="222"/>
      <c r="K480" s="222"/>
      <c r="L480" s="222"/>
      <c r="M480" s="222"/>
      <c r="N480" s="222"/>
      <c r="O480" s="222"/>
      <c r="P480" s="222"/>
      <c r="Q480" s="204">
        <v>80420010407</v>
      </c>
      <c r="R480" s="204">
        <v>80420010415</v>
      </c>
    </row>
    <row r="481" spans="1:32" x14ac:dyDescent="0.2">
      <c r="A481" s="204">
        <v>14</v>
      </c>
      <c r="B481" s="222" t="s">
        <v>139</v>
      </c>
      <c r="C481" s="204" t="s">
        <v>26</v>
      </c>
      <c r="D481" s="205">
        <v>0</v>
      </c>
      <c r="E481" s="205">
        <f t="shared" si="68"/>
        <v>0.22500000000000001</v>
      </c>
      <c r="F481" s="205">
        <v>0.22500000000000001</v>
      </c>
      <c r="G481" s="222">
        <v>675</v>
      </c>
      <c r="H481" s="222" t="s">
        <v>27</v>
      </c>
      <c r="I481" s="222"/>
      <c r="J481" s="222"/>
      <c r="K481" s="222"/>
      <c r="L481" s="222"/>
      <c r="M481" s="222"/>
      <c r="N481" s="222"/>
      <c r="O481" s="222"/>
      <c r="P481" s="222"/>
      <c r="Q481" s="204">
        <v>80420010158</v>
      </c>
      <c r="R481" s="204">
        <v>80420010403</v>
      </c>
    </row>
    <row r="482" spans="1:32" x14ac:dyDescent="0.2">
      <c r="A482" s="204">
        <v>15</v>
      </c>
      <c r="B482" s="222" t="s">
        <v>152</v>
      </c>
      <c r="C482" s="204" t="s">
        <v>26</v>
      </c>
      <c r="D482" s="205">
        <v>0</v>
      </c>
      <c r="E482" s="205">
        <f t="shared" si="68"/>
        <v>0.2</v>
      </c>
      <c r="F482" s="205">
        <v>0.2</v>
      </c>
      <c r="G482" s="222">
        <v>600</v>
      </c>
      <c r="H482" s="222" t="s">
        <v>27</v>
      </c>
      <c r="I482" s="222"/>
      <c r="J482" s="222"/>
      <c r="K482" s="222"/>
      <c r="L482" s="222"/>
      <c r="M482" s="222"/>
      <c r="N482" s="222"/>
      <c r="O482" s="222"/>
      <c r="P482" s="222"/>
      <c r="Q482" s="204">
        <v>80420010395</v>
      </c>
      <c r="R482" s="204">
        <v>80420010408</v>
      </c>
    </row>
    <row r="483" spans="1:32" x14ac:dyDescent="0.2">
      <c r="A483" s="204">
        <v>16</v>
      </c>
      <c r="B483" s="222" t="s">
        <v>170</v>
      </c>
      <c r="C483" s="204" t="s">
        <v>26</v>
      </c>
      <c r="D483" s="205">
        <v>0</v>
      </c>
      <c r="E483" s="205">
        <f t="shared" si="68"/>
        <v>0.17</v>
      </c>
      <c r="F483" s="205">
        <v>0.17</v>
      </c>
      <c r="G483" s="222">
        <v>510</v>
      </c>
      <c r="H483" s="222" t="s">
        <v>27</v>
      </c>
      <c r="I483" s="222"/>
      <c r="J483" s="222"/>
      <c r="K483" s="222"/>
      <c r="L483" s="222"/>
      <c r="M483" s="222"/>
      <c r="N483" s="222"/>
      <c r="O483" s="222"/>
      <c r="P483" s="222"/>
      <c r="Q483" s="204">
        <v>80420010390</v>
      </c>
      <c r="R483" s="204">
        <v>80420010390</v>
      </c>
    </row>
    <row r="484" spans="1:32" x14ac:dyDescent="0.2">
      <c r="A484" s="204">
        <v>17</v>
      </c>
      <c r="B484" s="222" t="s">
        <v>317</v>
      </c>
      <c r="C484" s="204" t="s">
        <v>26</v>
      </c>
      <c r="D484" s="205">
        <v>0</v>
      </c>
      <c r="E484" s="205">
        <f t="shared" si="68"/>
        <v>0.22</v>
      </c>
      <c r="F484" s="205">
        <v>0.22</v>
      </c>
      <c r="G484" s="222">
        <v>660</v>
      </c>
      <c r="H484" s="222" t="s">
        <v>27</v>
      </c>
      <c r="I484" s="222"/>
      <c r="J484" s="222"/>
      <c r="K484" s="222"/>
      <c r="L484" s="222"/>
      <c r="M484" s="222"/>
      <c r="N484" s="222"/>
      <c r="O484" s="222"/>
      <c r="P484" s="222"/>
      <c r="Q484" s="204">
        <v>80420010413</v>
      </c>
      <c r="R484" s="204">
        <v>80420010421</v>
      </c>
    </row>
    <row r="485" spans="1:32" x14ac:dyDescent="0.2">
      <c r="A485" s="210">
        <v>18</v>
      </c>
      <c r="B485" s="223" t="s">
        <v>318</v>
      </c>
      <c r="C485" s="204" t="s">
        <v>26</v>
      </c>
      <c r="D485" s="205">
        <f>E484</f>
        <v>0.22</v>
      </c>
      <c r="E485" s="205">
        <f t="shared" si="68"/>
        <v>0.44</v>
      </c>
      <c r="F485" s="205">
        <v>0.22</v>
      </c>
      <c r="G485" s="222">
        <v>660</v>
      </c>
      <c r="H485" s="222" t="s">
        <v>27</v>
      </c>
      <c r="I485" s="222"/>
      <c r="J485" s="222"/>
      <c r="K485" s="222"/>
      <c r="L485" s="222"/>
      <c r="M485" s="222"/>
      <c r="N485" s="222"/>
      <c r="O485" s="222"/>
      <c r="P485" s="222"/>
      <c r="Q485" s="204">
        <v>80420010398</v>
      </c>
      <c r="R485" s="204">
        <v>80420010398</v>
      </c>
    </row>
    <row r="486" spans="1:32" x14ac:dyDescent="0.2">
      <c r="A486" s="204">
        <v>19</v>
      </c>
      <c r="B486" s="222" t="s">
        <v>319</v>
      </c>
      <c r="C486" s="204" t="s">
        <v>26</v>
      </c>
      <c r="D486" s="205">
        <v>0</v>
      </c>
      <c r="E486" s="205">
        <f t="shared" si="68"/>
        <v>0.33500000000000002</v>
      </c>
      <c r="F486" s="205">
        <v>0.33500000000000002</v>
      </c>
      <c r="G486" s="222">
        <v>1005</v>
      </c>
      <c r="H486" s="222" t="s">
        <v>27</v>
      </c>
      <c r="I486" s="222"/>
      <c r="J486" s="222"/>
      <c r="K486" s="222"/>
      <c r="L486" s="222"/>
      <c r="M486" s="222"/>
      <c r="N486" s="222"/>
      <c r="O486" s="222"/>
      <c r="P486" s="222"/>
      <c r="Q486" s="204">
        <v>80420010403</v>
      </c>
      <c r="R486" s="204">
        <v>80420010409</v>
      </c>
    </row>
    <row r="487" spans="1:32" x14ac:dyDescent="0.2">
      <c r="A487" s="220">
        <v>20</v>
      </c>
      <c r="B487" s="221" t="s">
        <v>176</v>
      </c>
      <c r="C487" s="204" t="s">
        <v>26</v>
      </c>
      <c r="D487" s="205">
        <v>0</v>
      </c>
      <c r="E487" s="205">
        <f t="shared" si="68"/>
        <v>0.16500000000000001</v>
      </c>
      <c r="F487" s="205">
        <v>0.16500000000000001</v>
      </c>
      <c r="G487" s="222">
        <v>495</v>
      </c>
      <c r="H487" s="222" t="s">
        <v>27</v>
      </c>
      <c r="I487" s="222"/>
      <c r="J487" s="222"/>
      <c r="K487" s="222"/>
      <c r="L487" s="222"/>
      <c r="M487" s="222"/>
      <c r="N487" s="222"/>
      <c r="O487" s="222"/>
      <c r="P487" s="222"/>
      <c r="Q487" s="204">
        <v>80420010409</v>
      </c>
      <c r="R487" s="204">
        <v>80420010417</v>
      </c>
    </row>
    <row r="488" spans="1:32" x14ac:dyDescent="0.2">
      <c r="A488" s="204">
        <v>21</v>
      </c>
      <c r="B488" s="222" t="s">
        <v>177</v>
      </c>
      <c r="C488" s="204" t="s">
        <v>26</v>
      </c>
      <c r="D488" s="205">
        <v>0</v>
      </c>
      <c r="E488" s="205">
        <f t="shared" si="68"/>
        <v>0.2</v>
      </c>
      <c r="F488" s="205">
        <v>0.2</v>
      </c>
      <c r="G488" s="222">
        <v>600</v>
      </c>
      <c r="H488" s="222" t="s">
        <v>27</v>
      </c>
      <c r="I488" s="222"/>
      <c r="J488" s="222"/>
      <c r="K488" s="222"/>
      <c r="L488" s="222"/>
      <c r="M488" s="222"/>
      <c r="N488" s="222"/>
      <c r="O488" s="222"/>
      <c r="P488" s="222"/>
      <c r="Q488" s="204">
        <v>80420010388</v>
      </c>
      <c r="R488" s="204">
        <v>80420010388</v>
      </c>
    </row>
    <row r="489" spans="1:32" x14ac:dyDescent="0.2">
      <c r="A489" s="202">
        <v>22</v>
      </c>
      <c r="B489" s="216" t="s">
        <v>320</v>
      </c>
      <c r="C489" s="204" t="s">
        <v>26</v>
      </c>
      <c r="D489" s="205">
        <v>0</v>
      </c>
      <c r="E489" s="205">
        <f t="shared" si="68"/>
        <v>1.4999999999999999E-2</v>
      </c>
      <c r="F489" s="205">
        <v>1.4999999999999999E-2</v>
      </c>
      <c r="G489" s="222">
        <v>45</v>
      </c>
      <c r="H489" s="222" t="s">
        <v>27</v>
      </c>
      <c r="I489" s="222"/>
      <c r="J489" s="222"/>
      <c r="K489" s="222"/>
      <c r="L489" s="222"/>
      <c r="M489" s="222"/>
      <c r="N489" s="222"/>
      <c r="O489" s="222"/>
      <c r="P489" s="222"/>
      <c r="Q489" s="204">
        <v>80420010401</v>
      </c>
      <c r="R489" s="204">
        <v>80420010401</v>
      </c>
    </row>
    <row r="490" spans="1:32" x14ac:dyDescent="0.2">
      <c r="A490" s="208"/>
      <c r="B490" s="214"/>
      <c r="C490" s="204" t="s">
        <v>26</v>
      </c>
      <c r="D490" s="205">
        <f>E489</f>
        <v>1.4999999999999999E-2</v>
      </c>
      <c r="E490" s="205">
        <f t="shared" si="68"/>
        <v>0.24</v>
      </c>
      <c r="F490" s="205">
        <v>0.22500000000000001</v>
      </c>
      <c r="G490" s="222">
        <v>675</v>
      </c>
      <c r="H490" s="222" t="s">
        <v>27</v>
      </c>
      <c r="I490" s="222"/>
      <c r="J490" s="222"/>
      <c r="K490" s="222"/>
      <c r="L490" s="222"/>
      <c r="M490" s="222"/>
      <c r="N490" s="222"/>
      <c r="O490" s="222"/>
      <c r="P490" s="222"/>
      <c r="Q490" s="204">
        <v>80420010399</v>
      </c>
      <c r="R490" s="204">
        <v>80420010399</v>
      </c>
    </row>
    <row r="491" spans="1:32" x14ac:dyDescent="0.2">
      <c r="A491" s="210"/>
      <c r="B491" s="223"/>
      <c r="C491" s="204" t="s">
        <v>26</v>
      </c>
      <c r="D491" s="205">
        <f>E490</f>
        <v>0.24</v>
      </c>
      <c r="E491" s="205">
        <f t="shared" si="68"/>
        <v>0.30499999999999999</v>
      </c>
      <c r="F491" s="205">
        <v>6.5000000000000002E-2</v>
      </c>
      <c r="G491" s="222">
        <v>195</v>
      </c>
      <c r="H491" s="222" t="s">
        <v>27</v>
      </c>
      <c r="I491" s="222"/>
      <c r="J491" s="222"/>
      <c r="K491" s="222"/>
      <c r="L491" s="222"/>
      <c r="M491" s="222"/>
      <c r="N491" s="222"/>
      <c r="O491" s="222"/>
      <c r="P491" s="222"/>
      <c r="Q491" s="204">
        <v>80420010399</v>
      </c>
      <c r="R491" s="204">
        <v>80420010275</v>
      </c>
    </row>
    <row r="492" spans="1:32" x14ac:dyDescent="0.2">
      <c r="A492" s="202">
        <v>23</v>
      </c>
      <c r="B492" s="216" t="s">
        <v>270</v>
      </c>
      <c r="C492" s="204" t="s">
        <v>26</v>
      </c>
      <c r="D492" s="205">
        <v>0</v>
      </c>
      <c r="E492" s="205">
        <f t="shared" si="68"/>
        <v>0.14499999999999999</v>
      </c>
      <c r="F492" s="205">
        <v>0.14499999999999999</v>
      </c>
      <c r="G492" s="222">
        <v>435</v>
      </c>
      <c r="H492" s="222" t="s">
        <v>27</v>
      </c>
      <c r="I492" s="222"/>
      <c r="J492" s="222"/>
      <c r="K492" s="222"/>
      <c r="L492" s="222"/>
      <c r="M492" s="222"/>
      <c r="N492" s="222"/>
      <c r="O492" s="222"/>
      <c r="P492" s="222"/>
      <c r="Q492" s="204">
        <v>80420010408</v>
      </c>
      <c r="R492" s="204">
        <v>80420010416</v>
      </c>
    </row>
    <row r="493" spans="1:32" x14ac:dyDescent="0.2">
      <c r="A493" s="210"/>
      <c r="B493" s="223"/>
      <c r="C493" s="204" t="s">
        <v>26</v>
      </c>
      <c r="D493" s="205">
        <f>E492</f>
        <v>0.14499999999999999</v>
      </c>
      <c r="E493" s="205">
        <f t="shared" si="68"/>
        <v>0.20499999999999999</v>
      </c>
      <c r="F493" s="205">
        <v>0.06</v>
      </c>
      <c r="G493" s="222">
        <v>180</v>
      </c>
      <c r="H493" s="222" t="s">
        <v>27</v>
      </c>
      <c r="I493" s="222"/>
      <c r="J493" s="222"/>
      <c r="K493" s="222"/>
      <c r="L493" s="222"/>
      <c r="M493" s="222"/>
      <c r="N493" s="222"/>
      <c r="O493" s="222"/>
      <c r="P493" s="222"/>
      <c r="Q493" s="204">
        <v>80420010155</v>
      </c>
      <c r="R493" s="204">
        <v>80420010393</v>
      </c>
    </row>
    <row r="494" spans="1:32" x14ac:dyDescent="0.2">
      <c r="A494" s="204">
        <v>24</v>
      </c>
      <c r="B494" s="222" t="s">
        <v>202</v>
      </c>
      <c r="C494" s="204" t="s">
        <v>26</v>
      </c>
      <c r="D494" s="205">
        <v>0</v>
      </c>
      <c r="E494" s="205">
        <f t="shared" si="68"/>
        <v>0.22500000000000001</v>
      </c>
      <c r="F494" s="205">
        <v>0.22500000000000001</v>
      </c>
      <c r="G494" s="222">
        <v>675</v>
      </c>
      <c r="H494" s="222" t="s">
        <v>27</v>
      </c>
      <c r="I494" s="222"/>
      <c r="J494" s="222"/>
      <c r="K494" s="222"/>
      <c r="L494" s="222"/>
      <c r="M494" s="222"/>
      <c r="N494" s="222"/>
      <c r="O494" s="222"/>
      <c r="P494" s="222"/>
      <c r="Q494" s="204">
        <v>80420010405</v>
      </c>
      <c r="R494" s="204">
        <v>80420010411</v>
      </c>
    </row>
    <row r="495" spans="1:32" ht="15" x14ac:dyDescent="0.25">
      <c r="A495" s="204">
        <v>25</v>
      </c>
      <c r="B495" s="222" t="s">
        <v>206</v>
      </c>
      <c r="C495" s="204" t="s">
        <v>26</v>
      </c>
      <c r="D495" s="205">
        <v>0</v>
      </c>
      <c r="E495" s="205">
        <f t="shared" si="68"/>
        <v>0.2</v>
      </c>
      <c r="F495" s="205">
        <v>0.2</v>
      </c>
      <c r="G495" s="222">
        <v>600</v>
      </c>
      <c r="H495" s="222" t="s">
        <v>27</v>
      </c>
      <c r="I495" s="222"/>
      <c r="J495" s="222"/>
      <c r="K495" s="222"/>
      <c r="L495" s="222"/>
      <c r="M495" s="222"/>
      <c r="N495" s="222"/>
      <c r="O495" s="222"/>
      <c r="P495" s="222"/>
      <c r="Q495" s="204">
        <v>80420010404</v>
      </c>
      <c r="R495" s="204">
        <v>80420010410</v>
      </c>
      <c r="S495"/>
      <c r="T495"/>
      <c r="U495"/>
      <c r="V495"/>
      <c r="W495"/>
      <c r="X495"/>
      <c r="Y495"/>
      <c r="Z495"/>
      <c r="AA495" t="s">
        <v>211</v>
      </c>
      <c r="AB495"/>
      <c r="AC495"/>
      <c r="AD495"/>
      <c r="AE495"/>
      <c r="AF495"/>
    </row>
    <row r="496" spans="1:32" ht="12.75" customHeight="1" x14ac:dyDescent="0.2">
      <c r="A496" s="93" t="s">
        <v>321</v>
      </c>
      <c r="B496" s="94"/>
      <c r="C496" s="95"/>
      <c r="D496" s="94"/>
      <c r="E496" s="96"/>
      <c r="F496" s="97">
        <f>SUM(F466:F495)</f>
        <v>6.7149999999999981</v>
      </c>
      <c r="G496" s="98">
        <f>SUM(G466:G495)</f>
        <v>21855</v>
      </c>
      <c r="H496" s="160"/>
      <c r="I496" s="16"/>
      <c r="J496" s="99"/>
      <c r="K496" s="100" t="s">
        <v>213</v>
      </c>
      <c r="L496" s="101">
        <f>SUM(L466:L495)</f>
        <v>0</v>
      </c>
      <c r="M496" s="101">
        <f>SUM(M466:M495)</f>
        <v>0</v>
      </c>
      <c r="N496" s="92"/>
      <c r="O496" s="100" t="s">
        <v>214</v>
      </c>
      <c r="P496" s="101">
        <f>SUM(P466:P495)</f>
        <v>0</v>
      </c>
      <c r="Q496" s="92"/>
      <c r="T496" s="103" t="s">
        <v>215</v>
      </c>
      <c r="U496" s="103" t="s">
        <v>216</v>
      </c>
      <c r="V496" s="103" t="s">
        <v>217</v>
      </c>
      <c r="W496" s="103" t="s">
        <v>218</v>
      </c>
      <c r="X496" s="103" t="s">
        <v>219</v>
      </c>
      <c r="Y496" s="104" t="s">
        <v>214</v>
      </c>
      <c r="AA496" s="103" t="s">
        <v>215</v>
      </c>
      <c r="AB496" s="103" t="s">
        <v>216</v>
      </c>
      <c r="AC496" s="103" t="s">
        <v>217</v>
      </c>
      <c r="AD496" s="103" t="s">
        <v>218</v>
      </c>
      <c r="AE496" s="103" t="s">
        <v>219</v>
      </c>
      <c r="AF496" s="104" t="s">
        <v>214</v>
      </c>
    </row>
    <row r="497" spans="1:32" ht="12.75" customHeight="1" x14ac:dyDescent="0.2">
      <c r="A497" s="105" t="s">
        <v>221</v>
      </c>
      <c r="B497" s="106"/>
      <c r="C497" s="111"/>
      <c r="D497" s="106"/>
      <c r="E497" s="112"/>
      <c r="F497" s="107">
        <v>0</v>
      </c>
      <c r="G497" s="119">
        <v>0</v>
      </c>
      <c r="H497" s="163"/>
      <c r="I497" s="89"/>
      <c r="J497" s="92"/>
      <c r="K497" s="92"/>
      <c r="L497" s="115"/>
      <c r="M497" s="115"/>
      <c r="N497" s="92"/>
      <c r="O497" s="92"/>
      <c r="P497" s="92"/>
      <c r="Q497" s="92"/>
      <c r="S497" s="102" t="s">
        <v>20</v>
      </c>
      <c r="T497" s="103" t="s">
        <v>23</v>
      </c>
      <c r="U497" s="103" t="s">
        <v>23</v>
      </c>
      <c r="V497" s="103" t="s">
        <v>23</v>
      </c>
      <c r="W497" s="103" t="s">
        <v>23</v>
      </c>
      <c r="X497" s="103" t="s">
        <v>23</v>
      </c>
      <c r="Y497" s="104" t="s">
        <v>23</v>
      </c>
      <c r="Z497" s="102"/>
      <c r="AA497" s="103" t="s">
        <v>23</v>
      </c>
      <c r="AB497" s="103" t="s">
        <v>23</v>
      </c>
      <c r="AC497" s="103" t="s">
        <v>23</v>
      </c>
      <c r="AD497" s="103" t="s">
        <v>23</v>
      </c>
      <c r="AE497" s="103" t="s">
        <v>23</v>
      </c>
      <c r="AF497" s="104" t="s">
        <v>23</v>
      </c>
    </row>
    <row r="498" spans="1:32" ht="12.75" customHeight="1" x14ac:dyDescent="0.2">
      <c r="A498" s="105" t="s">
        <v>223</v>
      </c>
      <c r="B498" s="106"/>
      <c r="C498" s="111"/>
      <c r="D498" s="106"/>
      <c r="E498" s="112"/>
      <c r="F498" s="107">
        <v>0</v>
      </c>
      <c r="G498" s="119">
        <v>0</v>
      </c>
      <c r="I498" s="16"/>
      <c r="J498" s="92"/>
      <c r="N498" s="92"/>
      <c r="O498" s="92"/>
      <c r="P498" s="92"/>
      <c r="Q498" s="92"/>
      <c r="S498" s="116" t="s">
        <v>222</v>
      </c>
      <c r="T498" s="117">
        <f>SUMIFS(F461:F495,C461:C495,"A",H461:H495,"melnais")</f>
        <v>0</v>
      </c>
      <c r="U498" s="117">
        <f>SUMIFS(F461:F495,C461:C495,"A",H461:H495,"dubultā virsma")</f>
        <v>0</v>
      </c>
      <c r="V498" s="117">
        <f>SUMIFS(F461:F495,C461:C495,"A",H461:H495,"bruģis")</f>
        <v>0</v>
      </c>
      <c r="W498" s="117">
        <f>SUMIFS(F461:F495,C461:C495,"A",H461:H495,"grants")</f>
        <v>0</v>
      </c>
      <c r="X498" s="117">
        <f>SUMIFS(F461:F495,C461:C495,"A",H461:H495,"cits segums")</f>
        <v>0</v>
      </c>
      <c r="Y498" s="117">
        <f>SUM(T498:X498)</f>
        <v>0</v>
      </c>
      <c r="Z498" s="116" t="s">
        <v>222</v>
      </c>
      <c r="AA498" s="117">
        <f>SUMIFS(F461:F495,C461:C495,"A",H461:H495,"melnais", Q461:Q495,"Nepiederošs")</f>
        <v>0</v>
      </c>
      <c r="AB498" s="117">
        <f>SUMIFS(F461:F495,C461:C495,"A",H461:H495,"dubultā virsma", Q461:Q495,"Nepiederošs")</f>
        <v>0</v>
      </c>
      <c r="AC498" s="117">
        <f>SUMIFS(F461:F495,C461:C495,"A",H461:H495,"bruģis", Q461:Q495,"Nepiederošs")</f>
        <v>0</v>
      </c>
      <c r="AD498" s="117">
        <f>SUMIFS(F461:F495,C461:C495,"A",H461:H495,"grants", Q461:Q495,"Nepiederošs")</f>
        <v>0</v>
      </c>
      <c r="AE498" s="117">
        <f>SUMIFS(F461:F495,C461:C495,"A",H461:H495,"cits segums", Q461:Q495,"Nepiederošs")</f>
        <v>0</v>
      </c>
      <c r="AF498" s="117">
        <f>SUM(AA498:AE498)</f>
        <v>0</v>
      </c>
    </row>
    <row r="499" spans="1:32" ht="12.75" customHeight="1" x14ac:dyDescent="0.2">
      <c r="A499" s="105" t="s">
        <v>224</v>
      </c>
      <c r="B499" s="106"/>
      <c r="C499" s="111"/>
      <c r="D499" s="106"/>
      <c r="E499" s="112"/>
      <c r="F499" s="107">
        <f>SUM(F466:F469)+F471+F473+F474+F475+SUM(F477:F495)</f>
        <v>6.4650000000000007</v>
      </c>
      <c r="G499" s="108">
        <f>SUM(G466:G469)+G471+G473+G474+G475+SUM(G477:G495)</f>
        <v>21105</v>
      </c>
      <c r="I499" s="16"/>
      <c r="J499" s="92"/>
      <c r="N499" s="92"/>
      <c r="O499" s="92"/>
      <c r="P499" s="92"/>
      <c r="Q499" s="92"/>
      <c r="S499" s="120" t="s">
        <v>39</v>
      </c>
      <c r="T499" s="117">
        <f>SUMIFS(F461:F495,C461:C495,"B",H461:H495,"melnais")</f>
        <v>0</v>
      </c>
      <c r="U499" s="117">
        <f>SUMIFS(F461:F495,C461:C495,"B",H461:H495,"dubultā virsma")</f>
        <v>0</v>
      </c>
      <c r="V499" s="117">
        <f>SUMIFS(F461:F495,C461:C495,"B",H461:H495,"bruģis")</f>
        <v>0</v>
      </c>
      <c r="W499" s="117">
        <f>SUMIFS(F461:F495,C461:C495,"B",H461:H495,"grants")</f>
        <v>0</v>
      </c>
      <c r="X499" s="117">
        <f>SUMIFS(F461:F495,C461:C495,"B",H461:H495,"cits segums")</f>
        <v>0</v>
      </c>
      <c r="Y499" s="117">
        <f t="shared" ref="Y499:Y501" si="69">SUM(T499:X499)</f>
        <v>0</v>
      </c>
      <c r="Z499" s="120" t="s">
        <v>39</v>
      </c>
      <c r="AA499" s="117">
        <f>SUMIFS(F461:F495,C461:C495,"B",H461:H495,"melnais", Q461:Q495,"Nepiederošs")</f>
        <v>0</v>
      </c>
      <c r="AB499" s="117">
        <f>SUMIFS(F461:F495,C461:C495,"B",H461:H495,"dubultā virsma", Q461:Q495,"Nepiederošs")</f>
        <v>0</v>
      </c>
      <c r="AC499" s="117">
        <f>SUMIFS(F461:F495,C461:C495,"B",H461:H495,"bruģis", Q461:Q495,"Nepiederošs")</f>
        <v>0</v>
      </c>
      <c r="AD499" s="117">
        <f>SUMIFS(F461:F495,C461:C495,"B",H461:H495,"grants", Q461:Q495,"Nepiederošs")</f>
        <v>0</v>
      </c>
      <c r="AE499" s="117">
        <f>SUMIFS(F461:F495,C461:C495,"B",H461:H495,"cits segums", Q461:Q495,"Nepiederošs")</f>
        <v>0</v>
      </c>
      <c r="AF499" s="117">
        <f t="shared" ref="AF499:AF501" si="70">SUM(AA499:AE499)</f>
        <v>0</v>
      </c>
    </row>
    <row r="500" spans="1:32" ht="12.75" customHeight="1" x14ac:dyDescent="0.2">
      <c r="A500" s="105" t="s">
        <v>225</v>
      </c>
      <c r="B500" s="106"/>
      <c r="C500" s="111"/>
      <c r="D500" s="106"/>
      <c r="E500" s="112"/>
      <c r="F500" s="107">
        <f>F476+F472+F470</f>
        <v>0.25</v>
      </c>
      <c r="G500" s="108">
        <f>G476+G472+G470</f>
        <v>750</v>
      </c>
      <c r="H500" s="89"/>
      <c r="I500" s="16"/>
      <c r="J500" s="122"/>
      <c r="N500" s="92"/>
      <c r="O500" s="92"/>
      <c r="P500" s="92"/>
      <c r="Q500" s="92"/>
      <c r="S500" s="121" t="s">
        <v>34</v>
      </c>
      <c r="T500" s="117">
        <f>SUMIFS(F461:F495,C461:C495,"C",H461:H495,"melnais")</f>
        <v>0</v>
      </c>
      <c r="U500" s="117">
        <f>SUMIFS(F461:F495,C461:C495,"C",H461:H495,"dubultā virsma")</f>
        <v>0</v>
      </c>
      <c r="V500" s="117">
        <f>SUMIFS(F461:F495,C461:C495,"C",H461:H495,"bruģis")</f>
        <v>0</v>
      </c>
      <c r="W500" s="117">
        <f>SUMIFS(F461:F495,C461:C495,"C",H461:H495,"grants")</f>
        <v>0</v>
      </c>
      <c r="X500" s="117">
        <f>SUMIFS(F461:F495,C461:C495,"C",H461:H495,"cits segums")</f>
        <v>0</v>
      </c>
      <c r="Y500" s="117">
        <f t="shared" si="69"/>
        <v>0</v>
      </c>
      <c r="Z500" s="121" t="s">
        <v>34</v>
      </c>
      <c r="AA500" s="117">
        <f>SUMIFS(F461:F495,C461:C495,"C",H461:H495,"melnais", Q461:Q495,"Nepiederošs")</f>
        <v>0</v>
      </c>
      <c r="AB500" s="117">
        <f>SUMIFS(F461:F495,C461:C495,"C",H461:H495,"dubultā virsma", Q461:Q495,"Nepiederošs")</f>
        <v>0</v>
      </c>
      <c r="AC500" s="117">
        <f>SUMIFS(F461:F495,C461:C495,"C",H461:H495,"bruģis", Q461:Q495,"Nepiederošs")</f>
        <v>0</v>
      </c>
      <c r="AD500" s="117">
        <f>SUMIFS(F461:F495,C461:C495,"C",H461:H495,"grants", Q461:Q495,"Nepiederošs")</f>
        <v>0</v>
      </c>
      <c r="AE500" s="117">
        <f>SUMIFS(F461:F495,C461:C495,"C",H461:H495,"cits segums", Q461:Q495,"Nepiederošs")</f>
        <v>0</v>
      </c>
      <c r="AF500" s="117">
        <f t="shared" si="70"/>
        <v>0</v>
      </c>
    </row>
    <row r="501" spans="1:32" x14ac:dyDescent="0.2">
      <c r="C501" s="1"/>
      <c r="S501" s="116" t="s">
        <v>26</v>
      </c>
      <c r="T501" s="117">
        <f>SUMIFS(F461:F495,C461:C495,"D",H461:H495,"melnais")</f>
        <v>0</v>
      </c>
      <c r="U501" s="117">
        <f>SUMIFS(F461:F495,C461:C495,"D",H461:H495,"dubultā virsma")</f>
        <v>0</v>
      </c>
      <c r="V501" s="117">
        <f>SUMIFS(F461:F495,C461:C495,"D",H461:H495,"bruģis")</f>
        <v>0</v>
      </c>
      <c r="W501" s="117">
        <f>SUMIFS(F461:F495,C461:C495,"D",H461:H495,"grants")</f>
        <v>6.4649999999999981</v>
      </c>
      <c r="X501" s="117">
        <f>SUMIFS(F461:F495,C461:C495,"D",H461:H495,"cits segums")</f>
        <v>0.25</v>
      </c>
      <c r="Y501" s="117">
        <f t="shared" si="69"/>
        <v>6.7149999999999981</v>
      </c>
      <c r="Z501" s="116" t="s">
        <v>26</v>
      </c>
      <c r="AA501" s="117">
        <f>SUMIFS(F461:F495,C461:C495,"D",H461:H495,"melnais", Q461:Q495,"Nepiederošs")</f>
        <v>0</v>
      </c>
      <c r="AB501" s="117">
        <f>SUMIFS(F461:F495,C461:C495,"D",H461:H495,"dubultā virsma", Q461:Q495,"Nepiederošs")</f>
        <v>0</v>
      </c>
      <c r="AC501" s="117">
        <f>SUMIFS(F461:F495,C461:C495,"D",H461:H495,"bruģis", Q461:Q495,"Nepiederošs")</f>
        <v>0</v>
      </c>
      <c r="AD501" s="117">
        <f>SUMIFS(F461:F495,C461:C495,"D",H461:H495,"grants", Q461:Q495,"Nepiederošs")</f>
        <v>0</v>
      </c>
      <c r="AE501" s="117">
        <f>SUMIFS(F461:F495,C461:C495,"D",H461:H495,"cits segums", Q461:Q495,"Nepiederošs")</f>
        <v>0</v>
      </c>
      <c r="AF501" s="117">
        <f t="shared" si="70"/>
        <v>0</v>
      </c>
    </row>
    <row r="502" spans="1:32" s="2" customFormat="1" ht="15" customHeight="1" x14ac:dyDescent="0.25">
      <c r="A502" s="1"/>
      <c r="C502" s="1"/>
      <c r="D502" s="6" t="s">
        <v>322</v>
      </c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4"/>
      <c r="R502" s="7"/>
      <c r="S502" s="172"/>
      <c r="T502" s="126">
        <f>SUM(T498:T501)</f>
        <v>0</v>
      </c>
      <c r="U502" s="126">
        <f t="shared" ref="U502:Y502" si="71">SUM(U498:U501)</f>
        <v>0</v>
      </c>
      <c r="V502" s="126">
        <f t="shared" si="71"/>
        <v>0</v>
      </c>
      <c r="W502" s="126">
        <f t="shared" si="71"/>
        <v>6.4649999999999981</v>
      </c>
      <c r="X502" s="126">
        <f t="shared" si="71"/>
        <v>0.25</v>
      </c>
      <c r="Y502" s="126">
        <f t="shared" si="71"/>
        <v>6.7149999999999981</v>
      </c>
      <c r="Z502"/>
      <c r="AA502" s="126">
        <f>SUM(AA498:AA501)</f>
        <v>0</v>
      </c>
      <c r="AB502" s="126">
        <f t="shared" ref="AB502" si="72">SUM(AB498:AB501)</f>
        <v>0</v>
      </c>
      <c r="AC502" s="126">
        <f>SUM(AC498:AC501)</f>
        <v>0</v>
      </c>
      <c r="AD502" s="126">
        <f t="shared" ref="AD502:AF502" si="73">SUM(AD498:AD501)</f>
        <v>0</v>
      </c>
      <c r="AE502" s="126">
        <f t="shared" si="73"/>
        <v>0</v>
      </c>
      <c r="AF502" s="126">
        <f t="shared" si="73"/>
        <v>0</v>
      </c>
    </row>
    <row r="503" spans="1:32" ht="12.75" customHeight="1" x14ac:dyDescent="0.2">
      <c r="A503" s="8" t="s">
        <v>2</v>
      </c>
      <c r="B503" s="9" t="s">
        <v>3</v>
      </c>
      <c r="C503" s="10"/>
      <c r="D503" s="11" t="s">
        <v>4</v>
      </c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3"/>
      <c r="Q503" s="14" t="s">
        <v>5</v>
      </c>
      <c r="R503" s="15"/>
    </row>
    <row r="504" spans="1:32" ht="12.75" customHeight="1" x14ac:dyDescent="0.2">
      <c r="A504" s="8"/>
      <c r="B504" s="9"/>
      <c r="C504" s="17"/>
      <c r="D504" s="9" t="s">
        <v>6</v>
      </c>
      <c r="E504" s="9"/>
      <c r="F504" s="9"/>
      <c r="G504" s="9"/>
      <c r="H504" s="9"/>
      <c r="I504" s="18" t="s">
        <v>7</v>
      </c>
      <c r="J504" s="18"/>
      <c r="K504" s="18"/>
      <c r="L504" s="18"/>
      <c r="M504" s="18"/>
      <c r="N504" s="18"/>
      <c r="O504" s="18"/>
      <c r="P504" s="19" t="s">
        <v>8</v>
      </c>
      <c r="Q504" s="20"/>
      <c r="R504" s="21"/>
    </row>
    <row r="505" spans="1:32" ht="15.2" customHeight="1" x14ac:dyDescent="0.2">
      <c r="A505" s="8"/>
      <c r="B505" s="9"/>
      <c r="C505" s="17"/>
      <c r="D505" s="9" t="s">
        <v>9</v>
      </c>
      <c r="E505" s="9"/>
      <c r="F505" s="8" t="s">
        <v>10</v>
      </c>
      <c r="G505" s="8" t="s">
        <v>11</v>
      </c>
      <c r="H505" s="8" t="s">
        <v>12</v>
      </c>
      <c r="I505" s="18" t="s">
        <v>13</v>
      </c>
      <c r="J505" s="18" t="s">
        <v>14</v>
      </c>
      <c r="K505" s="18"/>
      <c r="L505" s="22" t="s">
        <v>15</v>
      </c>
      <c r="M505" s="22" t="s">
        <v>11</v>
      </c>
      <c r="N505" s="22" t="s">
        <v>16</v>
      </c>
      <c r="O505" s="22" t="s">
        <v>17</v>
      </c>
      <c r="P505" s="23"/>
      <c r="Q505" s="23" t="s">
        <v>18</v>
      </c>
      <c r="R505" s="24" t="s">
        <v>19</v>
      </c>
    </row>
    <row r="506" spans="1:32" ht="33.75" customHeight="1" x14ac:dyDescent="0.2">
      <c r="A506" s="8"/>
      <c r="B506" s="9"/>
      <c r="C506" s="25" t="s">
        <v>20</v>
      </c>
      <c r="D506" s="26" t="s">
        <v>21</v>
      </c>
      <c r="E506" s="26" t="s">
        <v>22</v>
      </c>
      <c r="F506" s="8"/>
      <c r="G506" s="8"/>
      <c r="H506" s="8"/>
      <c r="I506" s="18"/>
      <c r="J506" s="27" t="s">
        <v>23</v>
      </c>
      <c r="K506" s="27" t="s">
        <v>24</v>
      </c>
      <c r="L506" s="22"/>
      <c r="M506" s="22"/>
      <c r="N506" s="22"/>
      <c r="O506" s="22"/>
      <c r="P506" s="28"/>
      <c r="Q506" s="28"/>
      <c r="R506" s="29"/>
    </row>
    <row r="507" spans="1:32" s="32" customFormat="1" ht="12" customHeight="1" x14ac:dyDescent="0.25">
      <c r="A507" s="30">
        <v>1</v>
      </c>
      <c r="B507" s="30">
        <v>2</v>
      </c>
      <c r="C507" s="30"/>
      <c r="D507" s="30">
        <v>3</v>
      </c>
      <c r="E507" s="30">
        <v>4</v>
      </c>
      <c r="F507" s="30">
        <v>5</v>
      </c>
      <c r="G507" s="30">
        <v>6</v>
      </c>
      <c r="H507" s="30">
        <v>7</v>
      </c>
      <c r="I507" s="31">
        <v>8</v>
      </c>
      <c r="J507" s="31">
        <v>9</v>
      </c>
      <c r="K507" s="31">
        <v>10</v>
      </c>
      <c r="L507" s="31">
        <v>11</v>
      </c>
      <c r="M507" s="31">
        <v>12</v>
      </c>
      <c r="N507" s="31">
        <v>13</v>
      </c>
      <c r="O507" s="31">
        <v>14</v>
      </c>
      <c r="P507" s="31">
        <v>15</v>
      </c>
      <c r="Q507" s="31">
        <v>16</v>
      </c>
      <c r="R507" s="30">
        <v>17</v>
      </c>
    </row>
    <row r="508" spans="1:32" x14ac:dyDescent="0.2">
      <c r="A508" s="128">
        <v>1</v>
      </c>
      <c r="B508" s="225" t="s">
        <v>323</v>
      </c>
      <c r="C508" s="128" t="s">
        <v>26</v>
      </c>
      <c r="D508" s="226">
        <v>0</v>
      </c>
      <c r="E508" s="226">
        <v>0.12</v>
      </c>
      <c r="F508" s="227">
        <f>E508-D508</f>
        <v>0.12</v>
      </c>
      <c r="G508" s="228">
        <v>420</v>
      </c>
      <c r="H508" s="222" t="s">
        <v>27</v>
      </c>
      <c r="I508" s="229"/>
      <c r="J508" s="131"/>
      <c r="K508" s="131"/>
      <c r="L508" s="131"/>
      <c r="M508" s="131"/>
      <c r="N508" s="131"/>
      <c r="O508" s="131"/>
      <c r="P508" s="131"/>
      <c r="Q508" s="70">
        <v>80740030773</v>
      </c>
      <c r="R508" s="70">
        <v>80740030773</v>
      </c>
    </row>
    <row r="509" spans="1:32" x14ac:dyDescent="0.2">
      <c r="A509" s="128">
        <v>2</v>
      </c>
      <c r="B509" s="230" t="s">
        <v>324</v>
      </c>
      <c r="C509" s="128" t="s">
        <v>26</v>
      </c>
      <c r="D509" s="231">
        <v>0</v>
      </c>
      <c r="E509" s="226">
        <v>0.21</v>
      </c>
      <c r="F509" s="227">
        <v>0.21</v>
      </c>
      <c r="G509" s="228">
        <v>1300</v>
      </c>
      <c r="H509" s="133" t="s">
        <v>29</v>
      </c>
      <c r="I509" s="229"/>
      <c r="J509" s="131"/>
      <c r="K509" s="131"/>
      <c r="L509" s="131"/>
      <c r="M509" s="131"/>
      <c r="N509" s="131"/>
      <c r="O509" s="131"/>
      <c r="P509" s="131"/>
      <c r="Q509" s="70">
        <v>80740030768</v>
      </c>
      <c r="R509" s="70">
        <v>80740030768</v>
      </c>
    </row>
    <row r="510" spans="1:32" x14ac:dyDescent="0.2">
      <c r="A510" s="136"/>
      <c r="B510" s="232" t="s">
        <v>325</v>
      </c>
      <c r="C510" s="128" t="s">
        <v>26</v>
      </c>
      <c r="D510" s="231">
        <v>0</v>
      </c>
      <c r="E510" s="226">
        <v>0.08</v>
      </c>
      <c r="F510" s="227">
        <v>0.08</v>
      </c>
      <c r="G510" s="228">
        <v>280</v>
      </c>
      <c r="H510" s="133" t="s">
        <v>29</v>
      </c>
      <c r="I510" s="229"/>
      <c r="J510" s="131"/>
      <c r="K510" s="131"/>
      <c r="L510" s="131"/>
      <c r="M510" s="131"/>
      <c r="N510" s="131"/>
      <c r="O510" s="131"/>
      <c r="P510" s="131"/>
      <c r="Q510" s="70">
        <v>80740030768</v>
      </c>
      <c r="R510" s="70">
        <v>80740030768</v>
      </c>
    </row>
    <row r="511" spans="1:32" x14ac:dyDescent="0.2">
      <c r="A511" s="134">
        <v>3</v>
      </c>
      <c r="B511" s="233" t="s">
        <v>57</v>
      </c>
      <c r="C511" s="128" t="s">
        <v>26</v>
      </c>
      <c r="D511" s="226">
        <v>0</v>
      </c>
      <c r="E511" s="226">
        <v>0.23</v>
      </c>
      <c r="F511" s="227">
        <v>0.23</v>
      </c>
      <c r="G511" s="228">
        <v>1150</v>
      </c>
      <c r="H511" s="222" t="s">
        <v>27</v>
      </c>
      <c r="I511" s="229"/>
      <c r="J511" s="131"/>
      <c r="K511" s="131"/>
      <c r="L511" s="131"/>
      <c r="M511" s="131"/>
      <c r="N511" s="131"/>
      <c r="O511" s="131"/>
      <c r="P511" s="131"/>
      <c r="Q511" s="70">
        <v>80740030757</v>
      </c>
      <c r="R511" s="70">
        <v>80740030757</v>
      </c>
    </row>
    <row r="512" spans="1:32" x14ac:dyDescent="0.2">
      <c r="A512" s="128">
        <v>4</v>
      </c>
      <c r="B512" s="230" t="s">
        <v>65</v>
      </c>
      <c r="C512" s="128" t="s">
        <v>26</v>
      </c>
      <c r="D512" s="231">
        <v>0</v>
      </c>
      <c r="E512" s="226">
        <v>0.16</v>
      </c>
      <c r="F512" s="227">
        <v>0.16</v>
      </c>
      <c r="G512" s="228">
        <v>1080</v>
      </c>
      <c r="H512" s="133" t="s">
        <v>29</v>
      </c>
      <c r="I512" s="229"/>
      <c r="J512" s="131"/>
      <c r="K512" s="131"/>
      <c r="L512" s="131"/>
      <c r="M512" s="131"/>
      <c r="N512" s="131"/>
      <c r="O512" s="131"/>
      <c r="P512" s="131"/>
      <c r="Q512" s="70">
        <v>80740030785</v>
      </c>
      <c r="R512" s="70">
        <v>80740030785</v>
      </c>
    </row>
    <row r="513" spans="1:18" x14ac:dyDescent="0.2">
      <c r="A513" s="136"/>
      <c r="B513" s="234"/>
      <c r="C513" s="128" t="s">
        <v>26</v>
      </c>
      <c r="D513" s="231">
        <v>0.16</v>
      </c>
      <c r="E513" s="226">
        <v>0.53</v>
      </c>
      <c r="F513" s="227">
        <v>0.37</v>
      </c>
      <c r="G513" s="228">
        <v>1935</v>
      </c>
      <c r="H513" s="222" t="s">
        <v>27</v>
      </c>
      <c r="I513" s="229"/>
      <c r="J513" s="131"/>
      <c r="K513" s="131"/>
      <c r="L513" s="131"/>
      <c r="M513" s="131"/>
      <c r="N513" s="131"/>
      <c r="O513" s="131"/>
      <c r="P513" s="131"/>
      <c r="Q513" s="70" t="s">
        <v>137</v>
      </c>
      <c r="R513" s="70">
        <v>80740030250006</v>
      </c>
    </row>
    <row r="514" spans="1:18" x14ac:dyDescent="0.2">
      <c r="A514" s="136">
        <v>5</v>
      </c>
      <c r="B514" s="235" t="s">
        <v>326</v>
      </c>
      <c r="C514" s="128" t="s">
        <v>26</v>
      </c>
      <c r="D514" s="226">
        <v>0</v>
      </c>
      <c r="E514" s="226">
        <v>0.64</v>
      </c>
      <c r="F514" s="227">
        <v>0.64</v>
      </c>
      <c r="G514" s="228">
        <v>5600</v>
      </c>
      <c r="H514" s="222" t="s">
        <v>27</v>
      </c>
      <c r="I514" s="229"/>
      <c r="J514" s="131"/>
      <c r="K514" s="131"/>
      <c r="L514" s="131"/>
      <c r="M514" s="131"/>
      <c r="N514" s="131"/>
      <c r="O514" s="131"/>
      <c r="P514" s="131"/>
      <c r="Q514" s="70">
        <v>80740030790</v>
      </c>
      <c r="R514" s="70">
        <v>80740030971</v>
      </c>
    </row>
    <row r="515" spans="1:18" x14ac:dyDescent="0.2">
      <c r="A515" s="128">
        <v>6</v>
      </c>
      <c r="B515" s="225" t="s">
        <v>327</v>
      </c>
      <c r="C515" s="128" t="s">
        <v>26</v>
      </c>
      <c r="D515" s="226">
        <v>0</v>
      </c>
      <c r="E515" s="226">
        <v>0.65</v>
      </c>
      <c r="F515" s="227">
        <v>0.65</v>
      </c>
      <c r="G515" s="228">
        <v>3900</v>
      </c>
      <c r="H515" s="133" t="s">
        <v>29</v>
      </c>
      <c r="I515" s="229"/>
      <c r="J515" s="131"/>
      <c r="K515" s="131"/>
      <c r="L515" s="131"/>
      <c r="M515" s="131"/>
      <c r="N515" s="131"/>
      <c r="O515" s="131"/>
      <c r="P515" s="131"/>
      <c r="Q515" s="70">
        <v>80740030777</v>
      </c>
      <c r="R515" s="70">
        <v>80740030777</v>
      </c>
    </row>
    <row r="516" spans="1:18" x14ac:dyDescent="0.2">
      <c r="A516" s="128">
        <v>7</v>
      </c>
      <c r="B516" s="230" t="s">
        <v>328</v>
      </c>
      <c r="C516" s="128" t="s">
        <v>26</v>
      </c>
      <c r="D516" s="231">
        <v>0</v>
      </c>
      <c r="E516" s="226">
        <v>0.1</v>
      </c>
      <c r="F516" s="227">
        <v>0.1</v>
      </c>
      <c r="G516" s="228">
        <v>600</v>
      </c>
      <c r="H516" s="133" t="s">
        <v>29</v>
      </c>
      <c r="I516" s="229"/>
      <c r="J516" s="131"/>
      <c r="K516" s="131"/>
      <c r="L516" s="131"/>
      <c r="M516" s="131"/>
      <c r="N516" s="131"/>
      <c r="O516" s="131"/>
      <c r="P516" s="131"/>
      <c r="Q516" s="70">
        <v>80740030774</v>
      </c>
      <c r="R516" s="70">
        <v>80740030774</v>
      </c>
    </row>
    <row r="517" spans="1:18" x14ac:dyDescent="0.2">
      <c r="A517" s="134"/>
      <c r="B517" s="236"/>
      <c r="C517" s="128" t="s">
        <v>26</v>
      </c>
      <c r="D517" s="231">
        <v>0.1</v>
      </c>
      <c r="E517" s="226">
        <v>0.18</v>
      </c>
      <c r="F517" s="227">
        <v>7.9999999999999988E-2</v>
      </c>
      <c r="G517" s="228">
        <v>480</v>
      </c>
      <c r="H517" s="222" t="s">
        <v>27</v>
      </c>
      <c r="I517" s="229"/>
      <c r="J517" s="131"/>
      <c r="K517" s="131"/>
      <c r="L517" s="131"/>
      <c r="M517" s="131"/>
      <c r="N517" s="131"/>
      <c r="O517" s="131"/>
      <c r="P517" s="131"/>
      <c r="Q517" s="70">
        <v>80740030774</v>
      </c>
      <c r="R517" s="70">
        <v>80740030774</v>
      </c>
    </row>
    <row r="518" spans="1:18" x14ac:dyDescent="0.2">
      <c r="A518" s="128">
        <v>8</v>
      </c>
      <c r="B518" s="230" t="s">
        <v>329</v>
      </c>
      <c r="C518" s="128" t="s">
        <v>26</v>
      </c>
      <c r="D518" s="231">
        <v>0</v>
      </c>
      <c r="E518" s="226">
        <v>0.21</v>
      </c>
      <c r="F518" s="227">
        <v>0.21</v>
      </c>
      <c r="G518" s="228">
        <v>2240</v>
      </c>
      <c r="H518" s="133" t="s">
        <v>29</v>
      </c>
      <c r="I518" s="229"/>
      <c r="J518" s="131"/>
      <c r="K518" s="131"/>
      <c r="L518" s="131"/>
      <c r="M518" s="131"/>
      <c r="N518" s="131"/>
      <c r="O518" s="131"/>
      <c r="P518" s="131"/>
      <c r="Q518" s="70">
        <v>80740030755</v>
      </c>
      <c r="R518" s="70" t="s">
        <v>330</v>
      </c>
    </row>
    <row r="519" spans="1:18" x14ac:dyDescent="0.2">
      <c r="A519" s="136"/>
      <c r="B519" s="234"/>
      <c r="C519" s="130" t="s">
        <v>26</v>
      </c>
      <c r="D519" s="231">
        <v>0.21</v>
      </c>
      <c r="E519" s="226">
        <v>0.37</v>
      </c>
      <c r="F519" s="227">
        <v>0.16</v>
      </c>
      <c r="G519" s="228">
        <v>3248</v>
      </c>
      <c r="H519" s="222" t="s">
        <v>27</v>
      </c>
      <c r="I519" s="229"/>
      <c r="J519" s="131"/>
      <c r="K519" s="131"/>
      <c r="L519" s="131"/>
      <c r="M519" s="131"/>
      <c r="N519" s="131"/>
      <c r="O519" s="131"/>
      <c r="P519" s="131"/>
      <c r="Q519" s="70">
        <v>80740030755</v>
      </c>
      <c r="R519" s="70" t="s">
        <v>330</v>
      </c>
    </row>
    <row r="520" spans="1:18" x14ac:dyDescent="0.2">
      <c r="A520" s="136">
        <v>9</v>
      </c>
      <c r="B520" s="235" t="s">
        <v>331</v>
      </c>
      <c r="C520" s="136" t="s">
        <v>26</v>
      </c>
      <c r="D520" s="226">
        <v>0</v>
      </c>
      <c r="E520" s="226">
        <v>0.35</v>
      </c>
      <c r="F520" s="227">
        <v>0.35</v>
      </c>
      <c r="G520" s="228">
        <v>1570</v>
      </c>
      <c r="H520" s="222" t="s">
        <v>27</v>
      </c>
      <c r="I520" s="229"/>
      <c r="J520" s="131"/>
      <c r="K520" s="131"/>
      <c r="L520" s="131"/>
      <c r="M520" s="131"/>
      <c r="N520" s="131"/>
      <c r="O520" s="131"/>
      <c r="P520" s="131"/>
      <c r="Q520" s="70">
        <v>80740030759</v>
      </c>
      <c r="R520" s="70">
        <v>80740030759</v>
      </c>
    </row>
    <row r="521" spans="1:18" x14ac:dyDescent="0.2">
      <c r="A521" s="130">
        <v>10</v>
      </c>
      <c r="B521" s="133" t="s">
        <v>332</v>
      </c>
      <c r="C521" s="130" t="s">
        <v>26</v>
      </c>
      <c r="D521" s="226">
        <v>0</v>
      </c>
      <c r="E521" s="226">
        <v>0.67</v>
      </c>
      <c r="F521" s="227">
        <v>0.67</v>
      </c>
      <c r="G521" s="228">
        <v>3060</v>
      </c>
      <c r="H521" s="222" t="s">
        <v>27</v>
      </c>
      <c r="I521" s="229"/>
      <c r="J521" s="131"/>
      <c r="K521" s="131"/>
      <c r="L521" s="131"/>
      <c r="M521" s="131"/>
      <c r="N521" s="131"/>
      <c r="O521" s="131"/>
      <c r="P521" s="131"/>
      <c r="Q521" s="70">
        <v>80740030780</v>
      </c>
      <c r="R521" s="70">
        <v>80740030972</v>
      </c>
    </row>
    <row r="522" spans="1:18" x14ac:dyDescent="0.2">
      <c r="A522" s="130">
        <v>11</v>
      </c>
      <c r="B522" s="133" t="s">
        <v>333</v>
      </c>
      <c r="C522" s="136" t="s">
        <v>26</v>
      </c>
      <c r="D522" s="226">
        <v>0</v>
      </c>
      <c r="E522" s="226">
        <v>0.31</v>
      </c>
      <c r="F522" s="227">
        <v>0.31</v>
      </c>
      <c r="G522" s="228">
        <v>2170</v>
      </c>
      <c r="H522" s="133" t="s">
        <v>29</v>
      </c>
      <c r="I522" s="229"/>
      <c r="J522" s="131"/>
      <c r="K522" s="131"/>
      <c r="L522" s="131"/>
      <c r="M522" s="131"/>
      <c r="N522" s="131"/>
      <c r="O522" s="131"/>
      <c r="P522" s="131"/>
      <c r="Q522" s="70">
        <v>80740030654</v>
      </c>
      <c r="R522" s="70">
        <v>80740030654</v>
      </c>
    </row>
    <row r="523" spans="1:18" x14ac:dyDescent="0.2">
      <c r="A523" s="130">
        <v>12</v>
      </c>
      <c r="B523" s="133" t="s">
        <v>334</v>
      </c>
      <c r="C523" s="130" t="s">
        <v>26</v>
      </c>
      <c r="D523" s="226">
        <v>0</v>
      </c>
      <c r="E523" s="226">
        <v>0.17</v>
      </c>
      <c r="F523" s="227">
        <v>0.17</v>
      </c>
      <c r="G523" s="228">
        <v>850</v>
      </c>
      <c r="H523" s="222" t="s">
        <v>27</v>
      </c>
      <c r="I523" s="229"/>
      <c r="J523" s="131"/>
      <c r="K523" s="131"/>
      <c r="L523" s="131"/>
      <c r="M523" s="131"/>
      <c r="N523" s="131"/>
      <c r="O523" s="131"/>
      <c r="P523" s="131"/>
      <c r="Q523" s="70">
        <v>80740030763</v>
      </c>
      <c r="R523" s="70">
        <v>80740030763</v>
      </c>
    </row>
    <row r="524" spans="1:18" x14ac:dyDescent="0.2">
      <c r="A524" s="130">
        <v>13</v>
      </c>
      <c r="B524" s="133" t="s">
        <v>335</v>
      </c>
      <c r="C524" s="136" t="s">
        <v>26</v>
      </c>
      <c r="D524" s="226">
        <v>0</v>
      </c>
      <c r="E524" s="226">
        <v>0.49</v>
      </c>
      <c r="F524" s="227">
        <v>0.49</v>
      </c>
      <c r="G524" s="228">
        <v>3430</v>
      </c>
      <c r="H524" s="222" t="s">
        <v>27</v>
      </c>
      <c r="I524" s="229"/>
      <c r="J524" s="131"/>
      <c r="K524" s="131"/>
      <c r="L524" s="131"/>
      <c r="M524" s="131"/>
      <c r="N524" s="131"/>
      <c r="O524" s="131"/>
      <c r="P524" s="131"/>
      <c r="Q524" s="70">
        <v>80740030784</v>
      </c>
      <c r="R524" s="70">
        <v>80740030784</v>
      </c>
    </row>
    <row r="525" spans="1:18" x14ac:dyDescent="0.2">
      <c r="A525" s="130">
        <v>14</v>
      </c>
      <c r="B525" s="133" t="s">
        <v>336</v>
      </c>
      <c r="C525" s="130" t="s">
        <v>26</v>
      </c>
      <c r="D525" s="226">
        <v>0</v>
      </c>
      <c r="E525" s="226">
        <v>0.31</v>
      </c>
      <c r="F525" s="227">
        <v>0.31</v>
      </c>
      <c r="G525" s="228">
        <v>1550</v>
      </c>
      <c r="H525" s="222" t="s">
        <v>27</v>
      </c>
      <c r="I525" s="229"/>
      <c r="J525" s="131"/>
      <c r="K525" s="131"/>
      <c r="L525" s="131"/>
      <c r="M525" s="131"/>
      <c r="N525" s="131"/>
      <c r="O525" s="131"/>
      <c r="P525" s="131"/>
      <c r="Q525" s="70">
        <v>80740030758</v>
      </c>
      <c r="R525" s="70">
        <v>80740030758</v>
      </c>
    </row>
    <row r="526" spans="1:18" x14ac:dyDescent="0.2">
      <c r="A526" s="130">
        <v>15</v>
      </c>
      <c r="B526" s="133" t="s">
        <v>337</v>
      </c>
      <c r="C526" s="136" t="s">
        <v>26</v>
      </c>
      <c r="D526" s="226">
        <v>0</v>
      </c>
      <c r="E526" s="226">
        <v>0.68</v>
      </c>
      <c r="F526" s="227">
        <v>0.68</v>
      </c>
      <c r="G526" s="228">
        <v>4080</v>
      </c>
      <c r="H526" s="222" t="s">
        <v>27</v>
      </c>
      <c r="I526" s="229"/>
      <c r="J526" s="131"/>
      <c r="K526" s="131"/>
      <c r="L526" s="131"/>
      <c r="M526" s="131"/>
      <c r="N526" s="131"/>
      <c r="O526" s="131"/>
      <c r="P526" s="131"/>
      <c r="Q526" s="70">
        <v>80740030665</v>
      </c>
      <c r="R526" s="70">
        <v>80740030665</v>
      </c>
    </row>
    <row r="527" spans="1:18" x14ac:dyDescent="0.2">
      <c r="A527" s="128">
        <v>16</v>
      </c>
      <c r="B527" s="225" t="s">
        <v>135</v>
      </c>
      <c r="C527" s="130" t="s">
        <v>26</v>
      </c>
      <c r="D527" s="226">
        <v>0</v>
      </c>
      <c r="E527" s="226">
        <v>0.27</v>
      </c>
      <c r="F527" s="227">
        <v>0.27</v>
      </c>
      <c r="G527" s="228">
        <v>1215</v>
      </c>
      <c r="H527" s="222" t="s">
        <v>27</v>
      </c>
      <c r="I527" s="237"/>
      <c r="J527" s="131"/>
      <c r="K527" s="131"/>
      <c r="L527" s="131"/>
      <c r="M527" s="131"/>
      <c r="N527" s="131"/>
      <c r="O527" s="131"/>
      <c r="P527" s="131"/>
      <c r="Q527" s="70">
        <v>80740030804</v>
      </c>
      <c r="R527" s="70">
        <v>80740030804</v>
      </c>
    </row>
    <row r="528" spans="1:18" x14ac:dyDescent="0.2">
      <c r="A528" s="128">
        <v>17</v>
      </c>
      <c r="B528" s="230" t="s">
        <v>338</v>
      </c>
      <c r="C528" s="130" t="s">
        <v>26</v>
      </c>
      <c r="D528" s="231">
        <v>0</v>
      </c>
      <c r="E528" s="226">
        <v>0.32900000000000001</v>
      </c>
      <c r="F528" s="227">
        <v>0.32900000000000001</v>
      </c>
      <c r="G528" s="228">
        <v>1480</v>
      </c>
      <c r="H528" s="133" t="s">
        <v>29</v>
      </c>
      <c r="I528" s="237"/>
      <c r="J528" s="131"/>
      <c r="K528" s="131"/>
      <c r="L528" s="131"/>
      <c r="M528" s="131"/>
      <c r="N528" s="131"/>
      <c r="O528" s="131"/>
      <c r="P528" s="131"/>
      <c r="Q528" s="70">
        <v>80740030767</v>
      </c>
      <c r="R528" s="70">
        <v>80740030767</v>
      </c>
    </row>
    <row r="529" spans="1:18" x14ac:dyDescent="0.2">
      <c r="A529" s="136"/>
      <c r="B529" s="234"/>
      <c r="C529" s="130" t="s">
        <v>26</v>
      </c>
      <c r="D529" s="231">
        <v>0.32900000000000001</v>
      </c>
      <c r="E529" s="226">
        <v>0.66</v>
      </c>
      <c r="F529" s="227">
        <v>0.33100000000000002</v>
      </c>
      <c r="G529" s="228">
        <v>1490</v>
      </c>
      <c r="H529" s="222" t="s">
        <v>27</v>
      </c>
      <c r="I529" s="237"/>
      <c r="J529" s="131"/>
      <c r="K529" s="131"/>
      <c r="L529" s="131"/>
      <c r="M529" s="131"/>
      <c r="N529" s="131"/>
      <c r="O529" s="131"/>
      <c r="P529" s="131"/>
      <c r="Q529" s="70">
        <v>80740030767</v>
      </c>
      <c r="R529" s="70">
        <v>80740030767</v>
      </c>
    </row>
    <row r="530" spans="1:18" x14ac:dyDescent="0.2">
      <c r="A530" s="134">
        <v>18</v>
      </c>
      <c r="B530" s="236" t="s">
        <v>339</v>
      </c>
      <c r="C530" s="130" t="s">
        <v>26</v>
      </c>
      <c r="D530" s="231">
        <v>0</v>
      </c>
      <c r="E530" s="226">
        <v>7.0999999999999994E-2</v>
      </c>
      <c r="F530" s="227">
        <v>7.0999999999999994E-2</v>
      </c>
      <c r="G530" s="228">
        <v>426</v>
      </c>
      <c r="H530" s="133" t="s">
        <v>29</v>
      </c>
      <c r="I530" s="237"/>
      <c r="J530" s="131"/>
      <c r="K530" s="131"/>
      <c r="L530" s="131"/>
      <c r="M530" s="131"/>
      <c r="N530" s="131"/>
      <c r="O530" s="131"/>
      <c r="P530" s="131"/>
      <c r="Q530" s="70">
        <v>80740030664</v>
      </c>
      <c r="R530" s="70">
        <v>80740030664</v>
      </c>
    </row>
    <row r="531" spans="1:18" x14ac:dyDescent="0.2">
      <c r="A531" s="136"/>
      <c r="B531" s="234"/>
      <c r="C531" s="130" t="s">
        <v>26</v>
      </c>
      <c r="D531" s="231">
        <v>7.0999999999999994E-2</v>
      </c>
      <c r="E531" s="226">
        <v>0.47</v>
      </c>
      <c r="F531" s="227">
        <v>0.39899999999999997</v>
      </c>
      <c r="G531" s="228">
        <v>2394</v>
      </c>
      <c r="H531" s="222" t="s">
        <v>27</v>
      </c>
      <c r="I531" s="237"/>
      <c r="J531" s="131"/>
      <c r="K531" s="131"/>
      <c r="L531" s="131"/>
      <c r="M531" s="131"/>
      <c r="N531" s="131"/>
      <c r="O531" s="131"/>
      <c r="P531" s="131"/>
      <c r="Q531" s="70">
        <v>80740030664</v>
      </c>
      <c r="R531" s="70">
        <v>80740030664</v>
      </c>
    </row>
    <row r="532" spans="1:18" x14ac:dyDescent="0.2">
      <c r="A532" s="136">
        <v>19</v>
      </c>
      <c r="B532" s="235" t="s">
        <v>340</v>
      </c>
      <c r="C532" s="130" t="s">
        <v>26</v>
      </c>
      <c r="D532" s="226">
        <v>0</v>
      </c>
      <c r="E532" s="226">
        <v>0.94</v>
      </c>
      <c r="F532" s="227">
        <v>0.94</v>
      </c>
      <c r="G532" s="228">
        <v>4230</v>
      </c>
      <c r="H532" s="133" t="s">
        <v>29</v>
      </c>
      <c r="I532" s="237"/>
      <c r="J532" s="131"/>
      <c r="K532" s="131"/>
      <c r="L532" s="131"/>
      <c r="M532" s="131"/>
      <c r="N532" s="131"/>
      <c r="O532" s="131"/>
      <c r="P532" s="131"/>
      <c r="Q532" s="70">
        <v>80740030649</v>
      </c>
      <c r="R532" s="70">
        <v>80740030649</v>
      </c>
    </row>
    <row r="533" spans="1:18" x14ac:dyDescent="0.2">
      <c r="A533" s="128">
        <v>20</v>
      </c>
      <c r="B533" s="225" t="s">
        <v>341</v>
      </c>
      <c r="C533" s="130" t="s">
        <v>26</v>
      </c>
      <c r="D533" s="226">
        <v>0</v>
      </c>
      <c r="E533" s="226">
        <v>0.45</v>
      </c>
      <c r="F533" s="227">
        <v>0.45</v>
      </c>
      <c r="G533" s="228">
        <v>2250</v>
      </c>
      <c r="H533" s="222" t="s">
        <v>27</v>
      </c>
      <c r="I533" s="237"/>
      <c r="J533" s="131"/>
      <c r="K533" s="131"/>
      <c r="L533" s="131"/>
      <c r="M533" s="131"/>
      <c r="N533" s="131"/>
      <c r="O533" s="131"/>
      <c r="P533" s="131"/>
      <c r="Q533" s="70">
        <v>80740030772</v>
      </c>
      <c r="R533" s="70">
        <v>80740030772</v>
      </c>
    </row>
    <row r="534" spans="1:18" x14ac:dyDescent="0.2">
      <c r="A534" s="128">
        <v>21</v>
      </c>
      <c r="B534" s="230" t="s">
        <v>342</v>
      </c>
      <c r="C534" s="130" t="s">
        <v>26</v>
      </c>
      <c r="D534" s="231">
        <v>0</v>
      </c>
      <c r="E534" s="226">
        <v>0.62</v>
      </c>
      <c r="F534" s="227">
        <v>0.62</v>
      </c>
      <c r="G534" s="228">
        <v>2360</v>
      </c>
      <c r="H534" s="222" t="s">
        <v>27</v>
      </c>
      <c r="I534" s="237"/>
      <c r="J534" s="131"/>
      <c r="K534" s="131"/>
      <c r="L534" s="131"/>
      <c r="M534" s="131"/>
      <c r="N534" s="131"/>
      <c r="O534" s="131"/>
      <c r="P534" s="131"/>
      <c r="Q534" s="70">
        <v>80740030788</v>
      </c>
      <c r="R534" s="70">
        <v>80740030788</v>
      </c>
    </row>
    <row r="535" spans="1:18" x14ac:dyDescent="0.2">
      <c r="A535" s="134"/>
      <c r="B535" s="236"/>
      <c r="C535" s="130" t="s">
        <v>26</v>
      </c>
      <c r="D535" s="231">
        <v>0</v>
      </c>
      <c r="E535" s="226">
        <v>0.245</v>
      </c>
      <c r="F535" s="227">
        <v>0.245</v>
      </c>
      <c r="G535" s="228">
        <v>858</v>
      </c>
      <c r="H535" s="222" t="s">
        <v>27</v>
      </c>
      <c r="I535" s="237"/>
      <c r="J535" s="131"/>
      <c r="K535" s="131"/>
      <c r="L535" s="131"/>
      <c r="M535" s="131"/>
      <c r="N535" s="131"/>
      <c r="O535" s="131"/>
      <c r="P535" s="131"/>
      <c r="Q535" s="70">
        <v>80740030704</v>
      </c>
      <c r="R535" s="70">
        <v>80740030704</v>
      </c>
    </row>
    <row r="536" spans="1:18" x14ac:dyDescent="0.2">
      <c r="A536" s="136"/>
      <c r="B536" s="234"/>
      <c r="C536" s="130" t="s">
        <v>26</v>
      </c>
      <c r="D536" s="231">
        <v>0.245</v>
      </c>
      <c r="E536" s="226">
        <v>0.47499999999999998</v>
      </c>
      <c r="F536" s="227">
        <v>0.22999999999999998</v>
      </c>
      <c r="G536" s="228">
        <v>460</v>
      </c>
      <c r="H536" s="207" t="s">
        <v>70</v>
      </c>
      <c r="I536" s="237"/>
      <c r="J536" s="131"/>
      <c r="K536" s="131"/>
      <c r="L536" s="131"/>
      <c r="M536" s="131"/>
      <c r="N536" s="131"/>
      <c r="O536" s="131"/>
      <c r="P536" s="131"/>
      <c r="Q536" s="70">
        <v>80740030704</v>
      </c>
      <c r="R536" s="70">
        <v>80740030704</v>
      </c>
    </row>
    <row r="537" spans="1:18" x14ac:dyDescent="0.2">
      <c r="A537" s="136">
        <v>22</v>
      </c>
      <c r="B537" s="235" t="s">
        <v>343</v>
      </c>
      <c r="C537" s="130" t="s">
        <v>26</v>
      </c>
      <c r="D537" s="226">
        <v>0</v>
      </c>
      <c r="E537" s="226">
        <v>0.14000000000000001</v>
      </c>
      <c r="F537" s="227">
        <v>0.14000000000000001</v>
      </c>
      <c r="G537" s="228">
        <v>630</v>
      </c>
      <c r="H537" s="222" t="s">
        <v>27</v>
      </c>
      <c r="I537" s="237"/>
      <c r="J537" s="131"/>
      <c r="K537" s="131"/>
      <c r="L537" s="131"/>
      <c r="M537" s="131"/>
      <c r="N537" s="131"/>
      <c r="O537" s="131"/>
      <c r="P537" s="131"/>
      <c r="Q537" s="70">
        <v>80740030760</v>
      </c>
      <c r="R537" s="70">
        <v>80740030760</v>
      </c>
    </row>
    <row r="538" spans="1:18" x14ac:dyDescent="0.2">
      <c r="A538" s="130">
        <v>23</v>
      </c>
      <c r="B538" s="133" t="s">
        <v>344</v>
      </c>
      <c r="C538" s="130" t="s">
        <v>26</v>
      </c>
      <c r="D538" s="226">
        <v>0</v>
      </c>
      <c r="E538" s="226">
        <v>1.375</v>
      </c>
      <c r="F538" s="227">
        <v>1.375</v>
      </c>
      <c r="G538" s="228">
        <v>8656</v>
      </c>
      <c r="H538" s="133" t="s">
        <v>29</v>
      </c>
      <c r="I538" s="237"/>
      <c r="J538" s="131"/>
      <c r="K538" s="131"/>
      <c r="L538" s="131"/>
      <c r="M538" s="131"/>
      <c r="N538" s="131"/>
      <c r="O538" s="131"/>
      <c r="P538" s="131"/>
      <c r="Q538" s="70">
        <v>80740030653</v>
      </c>
      <c r="R538" s="70">
        <v>80740030653</v>
      </c>
    </row>
    <row r="539" spans="1:18" x14ac:dyDescent="0.2">
      <c r="A539" s="128">
        <v>24</v>
      </c>
      <c r="B539" s="225" t="s">
        <v>345</v>
      </c>
      <c r="C539" s="130" t="s">
        <v>26</v>
      </c>
      <c r="D539" s="226">
        <v>0</v>
      </c>
      <c r="E539" s="226">
        <v>0.06</v>
      </c>
      <c r="F539" s="227">
        <v>0.06</v>
      </c>
      <c r="G539" s="228">
        <v>300</v>
      </c>
      <c r="H539" s="222" t="s">
        <v>27</v>
      </c>
      <c r="I539" s="237"/>
      <c r="J539" s="131"/>
      <c r="K539" s="131"/>
      <c r="L539" s="131"/>
      <c r="M539" s="131"/>
      <c r="N539" s="131"/>
      <c r="O539" s="131"/>
      <c r="P539" s="131"/>
      <c r="Q539" s="70">
        <v>80740030761</v>
      </c>
      <c r="R539" s="70">
        <v>80740030761</v>
      </c>
    </row>
    <row r="540" spans="1:18" x14ac:dyDescent="0.2">
      <c r="A540" s="128">
        <v>25</v>
      </c>
      <c r="B540" s="230" t="s">
        <v>346</v>
      </c>
      <c r="C540" s="130" t="s">
        <v>26</v>
      </c>
      <c r="D540" s="231">
        <v>0</v>
      </c>
      <c r="E540" s="226">
        <v>0.154</v>
      </c>
      <c r="F540" s="227">
        <v>0.154</v>
      </c>
      <c r="G540" s="228">
        <v>1442</v>
      </c>
      <c r="H540" s="133" t="s">
        <v>29</v>
      </c>
      <c r="I540" s="237"/>
      <c r="J540" s="131"/>
      <c r="K540" s="131"/>
      <c r="L540" s="131"/>
      <c r="M540" s="131"/>
      <c r="N540" s="131"/>
      <c r="O540" s="131"/>
      <c r="P540" s="131"/>
      <c r="Q540" s="70">
        <v>80740030766</v>
      </c>
      <c r="R540" s="70">
        <v>80740030766</v>
      </c>
    </row>
    <row r="541" spans="1:18" x14ac:dyDescent="0.2">
      <c r="A541" s="136"/>
      <c r="B541" s="234"/>
      <c r="C541" s="130" t="s">
        <v>26</v>
      </c>
      <c r="D541" s="231">
        <v>0</v>
      </c>
      <c r="E541" s="226">
        <v>5.6000000000000001E-2</v>
      </c>
      <c r="F541" s="227">
        <v>5.6000000000000001E-2</v>
      </c>
      <c r="G541" s="228">
        <v>392</v>
      </c>
      <c r="H541" s="222" t="s">
        <v>27</v>
      </c>
      <c r="I541" s="237"/>
      <c r="J541" s="131"/>
      <c r="K541" s="131"/>
      <c r="L541" s="131"/>
      <c r="M541" s="131"/>
      <c r="N541" s="131"/>
      <c r="O541" s="131"/>
      <c r="P541" s="131"/>
      <c r="Q541" s="70" t="s">
        <v>137</v>
      </c>
      <c r="R541" s="70">
        <v>80740030807</v>
      </c>
    </row>
    <row r="542" spans="1:18" x14ac:dyDescent="0.2">
      <c r="A542" s="136">
        <v>26</v>
      </c>
      <c r="B542" s="235" t="s">
        <v>347</v>
      </c>
      <c r="C542" s="136" t="s">
        <v>26</v>
      </c>
      <c r="D542" s="226">
        <v>0</v>
      </c>
      <c r="E542" s="226">
        <v>0.74</v>
      </c>
      <c r="F542" s="227">
        <v>0.74</v>
      </c>
      <c r="G542" s="228">
        <v>2590</v>
      </c>
      <c r="H542" s="222" t="s">
        <v>27</v>
      </c>
      <c r="I542" s="237"/>
      <c r="J542" s="131"/>
      <c r="K542" s="131"/>
      <c r="L542" s="131"/>
      <c r="M542" s="131"/>
      <c r="N542" s="131"/>
      <c r="O542" s="131"/>
      <c r="P542" s="131"/>
      <c r="Q542" s="70">
        <v>80740030638</v>
      </c>
      <c r="R542" s="70">
        <v>80740030638</v>
      </c>
    </row>
    <row r="543" spans="1:18" ht="22.5" x14ac:dyDescent="0.2">
      <c r="A543" s="130"/>
      <c r="B543" s="133" t="s">
        <v>348</v>
      </c>
      <c r="C543" s="130" t="s">
        <v>26</v>
      </c>
      <c r="D543" s="227">
        <v>0</v>
      </c>
      <c r="E543" s="227">
        <v>0.49</v>
      </c>
      <c r="F543" s="227">
        <v>0.49</v>
      </c>
      <c r="G543" s="238">
        <v>2940</v>
      </c>
      <c r="H543" s="133" t="s">
        <v>29</v>
      </c>
      <c r="I543" s="237"/>
      <c r="J543" s="131"/>
      <c r="K543" s="131"/>
      <c r="L543" s="131"/>
      <c r="M543" s="131"/>
      <c r="N543" s="131"/>
      <c r="O543" s="131"/>
      <c r="P543" s="131"/>
      <c r="Q543" s="239" t="s">
        <v>349</v>
      </c>
      <c r="R543" s="239" t="s">
        <v>349</v>
      </c>
    </row>
    <row r="544" spans="1:18" x14ac:dyDescent="0.2">
      <c r="A544" s="130">
        <v>28</v>
      </c>
      <c r="B544" s="133" t="s">
        <v>350</v>
      </c>
      <c r="C544" s="130" t="s">
        <v>26</v>
      </c>
      <c r="D544" s="226">
        <v>0</v>
      </c>
      <c r="E544" s="226">
        <v>0.56000000000000016</v>
      </c>
      <c r="F544" s="227">
        <v>0.56000000000000016</v>
      </c>
      <c r="G544" s="228">
        <v>2800</v>
      </c>
      <c r="H544" s="133" t="s">
        <v>29</v>
      </c>
      <c r="I544" s="237"/>
      <c r="J544" s="131"/>
      <c r="K544" s="131"/>
      <c r="L544" s="131"/>
      <c r="M544" s="131"/>
      <c r="N544" s="131"/>
      <c r="O544" s="131"/>
      <c r="P544" s="131"/>
      <c r="Q544" s="70">
        <v>80740030771</v>
      </c>
      <c r="R544" s="70">
        <v>80740030771</v>
      </c>
    </row>
    <row r="545" spans="1:18" x14ac:dyDescent="0.2">
      <c r="A545" s="130">
        <v>29</v>
      </c>
      <c r="B545" s="133" t="s">
        <v>351</v>
      </c>
      <c r="C545" s="130" t="s">
        <v>26</v>
      </c>
      <c r="D545" s="226">
        <v>0</v>
      </c>
      <c r="E545" s="226">
        <v>0.18</v>
      </c>
      <c r="F545" s="227">
        <v>0.18</v>
      </c>
      <c r="G545" s="228">
        <v>900</v>
      </c>
      <c r="H545" s="133" t="s">
        <v>29</v>
      </c>
      <c r="I545" s="237"/>
      <c r="J545" s="131"/>
      <c r="K545" s="131"/>
      <c r="L545" s="131"/>
      <c r="M545" s="131"/>
      <c r="N545" s="131"/>
      <c r="O545" s="131"/>
      <c r="P545" s="131"/>
      <c r="Q545" s="70">
        <v>80740030789</v>
      </c>
      <c r="R545" s="70">
        <v>80740030789</v>
      </c>
    </row>
    <row r="546" spans="1:18" ht="22.5" x14ac:dyDescent="0.2">
      <c r="A546" s="130">
        <v>30</v>
      </c>
      <c r="B546" s="133" t="s">
        <v>352</v>
      </c>
      <c r="C546" s="130" t="s">
        <v>26</v>
      </c>
      <c r="D546" s="227">
        <v>0</v>
      </c>
      <c r="E546" s="227">
        <v>0.68</v>
      </c>
      <c r="F546" s="227">
        <v>0.68</v>
      </c>
      <c r="G546" s="238">
        <v>3400</v>
      </c>
      <c r="H546" s="222" t="s">
        <v>27</v>
      </c>
      <c r="I546" s="131" t="s">
        <v>353</v>
      </c>
      <c r="J546" s="131">
        <v>0.18</v>
      </c>
      <c r="K546" s="240" t="s">
        <v>354</v>
      </c>
      <c r="L546" s="241">
        <v>12</v>
      </c>
      <c r="M546" s="70">
        <v>74</v>
      </c>
      <c r="N546" s="131"/>
      <c r="O546" s="131"/>
      <c r="P546" s="131"/>
      <c r="Q546" s="242">
        <v>80740030782</v>
      </c>
      <c r="R546" s="242">
        <v>80740030782</v>
      </c>
    </row>
    <row r="547" spans="1:18" ht="22.5" x14ac:dyDescent="0.2">
      <c r="A547" s="130"/>
      <c r="B547" s="133" t="s">
        <v>355</v>
      </c>
      <c r="C547" s="130" t="s">
        <v>26</v>
      </c>
      <c r="D547" s="227">
        <v>0</v>
      </c>
      <c r="E547" s="227">
        <v>0.18</v>
      </c>
      <c r="F547" s="227">
        <v>0.18</v>
      </c>
      <c r="G547" s="238">
        <v>720</v>
      </c>
      <c r="H547" s="133" t="s">
        <v>29</v>
      </c>
      <c r="I547" s="237"/>
      <c r="J547" s="131"/>
      <c r="K547" s="131"/>
      <c r="L547" s="131"/>
      <c r="M547" s="131"/>
      <c r="N547" s="131"/>
      <c r="O547" s="131"/>
      <c r="P547" s="131"/>
      <c r="Q547" s="239" t="s">
        <v>356</v>
      </c>
      <c r="R547" s="239" t="s">
        <v>356</v>
      </c>
    </row>
    <row r="548" spans="1:18" x14ac:dyDescent="0.2">
      <c r="A548" s="130">
        <v>32</v>
      </c>
      <c r="B548" s="133" t="s">
        <v>357</v>
      </c>
      <c r="C548" s="130" t="s">
        <v>26</v>
      </c>
      <c r="D548" s="226">
        <v>0</v>
      </c>
      <c r="E548" s="226">
        <v>1.04</v>
      </c>
      <c r="F548" s="227">
        <v>1.04</v>
      </c>
      <c r="G548" s="228">
        <v>4160</v>
      </c>
      <c r="H548" s="222" t="s">
        <v>27</v>
      </c>
      <c r="I548" s="237"/>
      <c r="J548" s="131"/>
      <c r="K548" s="131"/>
      <c r="L548" s="131"/>
      <c r="M548" s="131"/>
      <c r="N548" s="131"/>
      <c r="O548" s="131"/>
      <c r="P548" s="131"/>
      <c r="Q548" s="70">
        <v>80740030639</v>
      </c>
      <c r="R548" s="70">
        <v>80740030639</v>
      </c>
    </row>
    <row r="549" spans="1:18" x14ac:dyDescent="0.2">
      <c r="A549" s="130">
        <v>33</v>
      </c>
      <c r="B549" s="133" t="s">
        <v>358</v>
      </c>
      <c r="C549" s="130" t="s">
        <v>26</v>
      </c>
      <c r="D549" s="226">
        <v>0</v>
      </c>
      <c r="E549" s="226">
        <v>0.78</v>
      </c>
      <c r="F549" s="227">
        <v>0.78</v>
      </c>
      <c r="G549" s="228">
        <v>3900</v>
      </c>
      <c r="H549" s="222" t="s">
        <v>27</v>
      </c>
      <c r="I549" s="237"/>
      <c r="J549" s="131"/>
      <c r="K549" s="131"/>
      <c r="L549" s="131"/>
      <c r="M549" s="131"/>
      <c r="N549" s="131"/>
      <c r="O549" s="131"/>
      <c r="P549" s="131"/>
      <c r="Q549" s="70">
        <v>80740030663</v>
      </c>
      <c r="R549" s="70">
        <v>80740030663</v>
      </c>
    </row>
    <row r="550" spans="1:18" x14ac:dyDescent="0.2">
      <c r="A550" s="130">
        <v>34</v>
      </c>
      <c r="B550" s="133" t="s">
        <v>359</v>
      </c>
      <c r="C550" s="130" t="s">
        <v>26</v>
      </c>
      <c r="D550" s="226">
        <v>0</v>
      </c>
      <c r="E550" s="226">
        <v>0.68</v>
      </c>
      <c r="F550" s="227">
        <v>0.68</v>
      </c>
      <c r="G550" s="228">
        <v>4080</v>
      </c>
      <c r="H550" s="222" t="s">
        <v>27</v>
      </c>
      <c r="I550" s="237"/>
      <c r="J550" s="131"/>
      <c r="K550" s="131"/>
      <c r="L550" s="131"/>
      <c r="M550" s="131"/>
      <c r="N550" s="131"/>
      <c r="O550" s="131"/>
      <c r="P550" s="131"/>
      <c r="Q550" s="70">
        <v>80740030652</v>
      </c>
      <c r="R550" s="70">
        <v>80740030652</v>
      </c>
    </row>
    <row r="551" spans="1:18" x14ac:dyDescent="0.2">
      <c r="A551" s="130">
        <v>35</v>
      </c>
      <c r="B551" s="133" t="s">
        <v>360</v>
      </c>
      <c r="C551" s="130" t="s">
        <v>26</v>
      </c>
      <c r="D551" s="226">
        <v>0</v>
      </c>
      <c r="E551" s="226">
        <v>0.16</v>
      </c>
      <c r="F551" s="227">
        <v>0.16</v>
      </c>
      <c r="G551" s="228">
        <v>640</v>
      </c>
      <c r="H551" s="222" t="s">
        <v>27</v>
      </c>
      <c r="I551" s="237"/>
      <c r="J551" s="131"/>
      <c r="K551" s="131"/>
      <c r="L551" s="131"/>
      <c r="M551" s="131"/>
      <c r="N551" s="131"/>
      <c r="O551" s="131"/>
      <c r="P551" s="131"/>
      <c r="Q551" s="70">
        <v>80740030770</v>
      </c>
      <c r="R551" s="70">
        <v>80740030770</v>
      </c>
    </row>
    <row r="552" spans="1:18" x14ac:dyDescent="0.2">
      <c r="A552" s="130">
        <v>36</v>
      </c>
      <c r="B552" s="133" t="s">
        <v>361</v>
      </c>
      <c r="C552" s="130" t="s">
        <v>26</v>
      </c>
      <c r="D552" s="226">
        <v>0</v>
      </c>
      <c r="E552" s="226">
        <v>0.08</v>
      </c>
      <c r="F552" s="227">
        <v>0.08</v>
      </c>
      <c r="G552" s="228">
        <v>310</v>
      </c>
      <c r="H552" s="133" t="s">
        <v>29</v>
      </c>
      <c r="I552" s="237"/>
      <c r="J552" s="131"/>
      <c r="K552" s="131"/>
      <c r="L552" s="131"/>
      <c r="M552" s="131"/>
      <c r="N552" s="131"/>
      <c r="O552" s="131"/>
      <c r="P552" s="131"/>
      <c r="Q552" s="70">
        <v>80740030779</v>
      </c>
      <c r="R552" s="70">
        <v>80740030779</v>
      </c>
    </row>
    <row r="553" spans="1:18" x14ac:dyDescent="0.2">
      <c r="A553" s="130">
        <v>37</v>
      </c>
      <c r="B553" s="133" t="s">
        <v>362</v>
      </c>
      <c r="C553" s="130" t="s">
        <v>26</v>
      </c>
      <c r="D553" s="226">
        <v>0</v>
      </c>
      <c r="E553" s="226">
        <v>0.2</v>
      </c>
      <c r="F553" s="227">
        <v>0.2</v>
      </c>
      <c r="G553" s="228">
        <v>700</v>
      </c>
      <c r="H553" s="222" t="s">
        <v>27</v>
      </c>
      <c r="I553" s="237"/>
      <c r="J553" s="131"/>
      <c r="K553" s="131"/>
      <c r="L553" s="131"/>
      <c r="M553" s="131"/>
      <c r="N553" s="131"/>
      <c r="O553" s="131"/>
      <c r="P553" s="131"/>
      <c r="Q553" s="70">
        <v>80740030783</v>
      </c>
      <c r="R553" s="70">
        <v>80740030783</v>
      </c>
    </row>
    <row r="554" spans="1:18" x14ac:dyDescent="0.2">
      <c r="A554" s="128">
        <v>38</v>
      </c>
      <c r="B554" s="225" t="s">
        <v>363</v>
      </c>
      <c r="C554" s="130" t="s">
        <v>26</v>
      </c>
      <c r="D554" s="226">
        <v>0</v>
      </c>
      <c r="E554" s="226">
        <v>0.1</v>
      </c>
      <c r="F554" s="227">
        <v>0.1</v>
      </c>
      <c r="G554" s="228">
        <v>700</v>
      </c>
      <c r="H554" s="222" t="s">
        <v>27</v>
      </c>
      <c r="I554" s="237"/>
      <c r="J554" s="131"/>
      <c r="K554" s="131"/>
      <c r="L554" s="131"/>
      <c r="M554" s="131"/>
      <c r="N554" s="131"/>
      <c r="O554" s="131"/>
      <c r="P554" s="131"/>
      <c r="Q554" s="70">
        <v>80740030769</v>
      </c>
      <c r="R554" s="70">
        <v>80740030769</v>
      </c>
    </row>
    <row r="555" spans="1:18" x14ac:dyDescent="0.2">
      <c r="A555" s="128">
        <v>39</v>
      </c>
      <c r="B555" s="230" t="s">
        <v>364</v>
      </c>
      <c r="C555" s="130" t="s">
        <v>26</v>
      </c>
      <c r="D555" s="231">
        <v>0</v>
      </c>
      <c r="E555" s="226">
        <v>0.26</v>
      </c>
      <c r="F555" s="227">
        <v>0.26</v>
      </c>
      <c r="G555" s="228">
        <v>1560</v>
      </c>
      <c r="H555" s="133" t="s">
        <v>29</v>
      </c>
      <c r="I555" s="237"/>
      <c r="J555" s="131"/>
      <c r="K555" s="131"/>
      <c r="L555" s="131"/>
      <c r="M555" s="131"/>
      <c r="N555" s="131"/>
      <c r="O555" s="131"/>
      <c r="P555" s="131"/>
      <c r="Q555" s="70">
        <v>807400301008</v>
      </c>
      <c r="R555" s="70">
        <v>80740030803</v>
      </c>
    </row>
    <row r="556" spans="1:18" x14ac:dyDescent="0.2">
      <c r="A556" s="136"/>
      <c r="B556" s="234"/>
      <c r="C556" s="130" t="s">
        <v>26</v>
      </c>
      <c r="D556" s="231">
        <v>0.26</v>
      </c>
      <c r="E556" s="226">
        <v>0.83</v>
      </c>
      <c r="F556" s="227">
        <v>0.56999999999999995</v>
      </c>
      <c r="G556" s="228">
        <v>3420</v>
      </c>
      <c r="H556" s="222" t="s">
        <v>27</v>
      </c>
      <c r="I556" s="237"/>
      <c r="J556" s="131"/>
      <c r="K556" s="131"/>
      <c r="L556" s="131"/>
      <c r="M556" s="131"/>
      <c r="N556" s="131"/>
      <c r="O556" s="131"/>
      <c r="P556" s="131"/>
      <c r="Q556" s="70">
        <v>807400301008</v>
      </c>
      <c r="R556" s="70">
        <v>80740030803</v>
      </c>
    </row>
    <row r="557" spans="1:18" x14ac:dyDescent="0.2">
      <c r="A557" s="136">
        <v>40</v>
      </c>
      <c r="B557" s="235" t="s">
        <v>365</v>
      </c>
      <c r="C557" s="130" t="s">
        <v>26</v>
      </c>
      <c r="D557" s="226">
        <v>0</v>
      </c>
      <c r="E557" s="226">
        <v>0.22</v>
      </c>
      <c r="F557" s="227">
        <v>0.22</v>
      </c>
      <c r="G557" s="228">
        <v>1100</v>
      </c>
      <c r="H557" s="222" t="s">
        <v>27</v>
      </c>
      <c r="I557" s="237"/>
      <c r="J557" s="131"/>
      <c r="K557" s="131"/>
      <c r="L557" s="131"/>
      <c r="M557" s="131"/>
      <c r="N557" s="131"/>
      <c r="O557" s="131"/>
      <c r="P557" s="131"/>
      <c r="Q557" s="70">
        <v>80740030762</v>
      </c>
      <c r="R557" s="70">
        <v>80740030762</v>
      </c>
    </row>
    <row r="558" spans="1:18" x14ac:dyDescent="0.2">
      <c r="A558" s="130">
        <v>41</v>
      </c>
      <c r="B558" s="133" t="s">
        <v>366</v>
      </c>
      <c r="C558" s="130" t="s">
        <v>26</v>
      </c>
      <c r="D558" s="226">
        <v>0</v>
      </c>
      <c r="E558" s="226">
        <v>0.15</v>
      </c>
      <c r="F558" s="227">
        <v>0.15</v>
      </c>
      <c r="G558" s="228">
        <v>675</v>
      </c>
      <c r="H558" s="222" t="s">
        <v>27</v>
      </c>
      <c r="I558" s="237"/>
      <c r="J558" s="131"/>
      <c r="K558" s="131"/>
      <c r="L558" s="131"/>
      <c r="M558" s="131"/>
      <c r="N558" s="131"/>
      <c r="O558" s="131"/>
      <c r="P558" s="131"/>
      <c r="Q558" s="70">
        <v>80740030764</v>
      </c>
      <c r="R558" s="70">
        <v>80740030764</v>
      </c>
    </row>
    <row r="559" spans="1:18" x14ac:dyDescent="0.2">
      <c r="A559" s="128">
        <v>42</v>
      </c>
      <c r="B559" s="225" t="s">
        <v>367</v>
      </c>
      <c r="C559" s="130" t="s">
        <v>26</v>
      </c>
      <c r="D559" s="226">
        <v>0</v>
      </c>
      <c r="E559" s="226">
        <v>0.11600000000000001</v>
      </c>
      <c r="F559" s="227">
        <v>0.11600000000000001</v>
      </c>
      <c r="G559" s="228">
        <v>464</v>
      </c>
      <c r="H559" s="222" t="s">
        <v>27</v>
      </c>
      <c r="I559" s="237"/>
      <c r="J559" s="131"/>
      <c r="K559" s="131"/>
      <c r="L559" s="131"/>
      <c r="M559" s="131"/>
      <c r="N559" s="131"/>
      <c r="O559" s="131"/>
      <c r="P559" s="131"/>
      <c r="Q559" s="70" t="s">
        <v>137</v>
      </c>
      <c r="R559" s="70">
        <v>80740030684003</v>
      </c>
    </row>
    <row r="560" spans="1:18" x14ac:dyDescent="0.2">
      <c r="A560" s="128">
        <v>43</v>
      </c>
      <c r="B560" s="230" t="s">
        <v>368</v>
      </c>
      <c r="C560" s="130" t="s">
        <v>26</v>
      </c>
      <c r="D560" s="231">
        <v>0</v>
      </c>
      <c r="E560" s="226">
        <v>0.08</v>
      </c>
      <c r="F560" s="227">
        <v>0.08</v>
      </c>
      <c r="G560" s="228">
        <v>36</v>
      </c>
      <c r="H560" s="222" t="s">
        <v>27</v>
      </c>
      <c r="I560" s="237"/>
      <c r="J560" s="131"/>
      <c r="K560" s="131"/>
      <c r="L560" s="131"/>
      <c r="M560" s="131"/>
      <c r="N560" s="131"/>
      <c r="O560" s="131"/>
      <c r="P560" s="131"/>
      <c r="Q560" s="70" t="s">
        <v>137</v>
      </c>
      <c r="R560" s="70">
        <v>80740030252005</v>
      </c>
    </row>
    <row r="561" spans="1:32" x14ac:dyDescent="0.2">
      <c r="A561" s="136"/>
      <c r="B561" s="234"/>
      <c r="C561" s="130" t="s">
        <v>26</v>
      </c>
      <c r="D561" s="231">
        <v>0.08</v>
      </c>
      <c r="E561" s="226">
        <v>0.43</v>
      </c>
      <c r="F561" s="227">
        <v>0.35</v>
      </c>
      <c r="G561" s="228">
        <v>1899</v>
      </c>
      <c r="H561" s="133" t="s">
        <v>29</v>
      </c>
      <c r="I561" s="237"/>
      <c r="J561" s="131"/>
      <c r="K561" s="131"/>
      <c r="L561" s="131"/>
      <c r="M561" s="131"/>
      <c r="N561" s="131"/>
      <c r="O561" s="131"/>
      <c r="P561" s="131"/>
      <c r="Q561" s="70" t="s">
        <v>137</v>
      </c>
      <c r="R561" s="70">
        <v>80740030252005</v>
      </c>
    </row>
    <row r="562" spans="1:32" x14ac:dyDescent="0.2">
      <c r="A562" s="136">
        <v>44</v>
      </c>
      <c r="B562" s="235" t="s">
        <v>369</v>
      </c>
      <c r="C562" s="136" t="s">
        <v>26</v>
      </c>
      <c r="D562" s="226">
        <v>0</v>
      </c>
      <c r="E562" s="226">
        <v>0.22900000000000001</v>
      </c>
      <c r="F562" s="227">
        <v>0.22900000000000001</v>
      </c>
      <c r="G562" s="228">
        <v>687</v>
      </c>
      <c r="H562" s="222" t="s">
        <v>27</v>
      </c>
      <c r="I562" s="237"/>
      <c r="J562" s="131"/>
      <c r="K562" s="131"/>
      <c r="L562" s="131"/>
      <c r="M562" s="131"/>
      <c r="N562" s="131"/>
      <c r="O562" s="131"/>
      <c r="P562" s="131"/>
      <c r="Q562" s="70" t="s">
        <v>137</v>
      </c>
      <c r="R562" s="70">
        <v>80740030250003</v>
      </c>
    </row>
    <row r="563" spans="1:32" x14ac:dyDescent="0.2">
      <c r="A563" s="130">
        <v>45</v>
      </c>
      <c r="B563" s="133" t="s">
        <v>370</v>
      </c>
      <c r="C563" s="130" t="s">
        <v>26</v>
      </c>
      <c r="D563" s="226">
        <v>0</v>
      </c>
      <c r="E563" s="226">
        <v>0.27</v>
      </c>
      <c r="F563" s="227">
        <v>0.27</v>
      </c>
      <c r="G563" s="228">
        <v>804</v>
      </c>
      <c r="H563" s="222" t="s">
        <v>27</v>
      </c>
      <c r="I563" s="237"/>
      <c r="J563" s="131"/>
      <c r="K563" s="131"/>
      <c r="L563" s="131"/>
      <c r="M563" s="131"/>
      <c r="N563" s="131"/>
      <c r="O563" s="131"/>
      <c r="P563" s="131"/>
      <c r="Q563" s="70" t="s">
        <v>137</v>
      </c>
      <c r="R563" s="70">
        <v>80740030564001</v>
      </c>
    </row>
    <row r="564" spans="1:32" ht="15" x14ac:dyDescent="0.25">
      <c r="A564" s="130">
        <v>46</v>
      </c>
      <c r="B564" s="133" t="s">
        <v>371</v>
      </c>
      <c r="C564" s="130" t="s">
        <v>26</v>
      </c>
      <c r="D564" s="226">
        <v>0</v>
      </c>
      <c r="E564" s="226">
        <v>0.217</v>
      </c>
      <c r="F564" s="227">
        <v>0.217</v>
      </c>
      <c r="G564" s="228">
        <v>9765</v>
      </c>
      <c r="H564" s="222" t="s">
        <v>27</v>
      </c>
      <c r="I564" s="237"/>
      <c r="J564" s="131"/>
      <c r="K564" s="131"/>
      <c r="L564" s="131"/>
      <c r="M564" s="131"/>
      <c r="N564" s="131"/>
      <c r="O564" s="131"/>
      <c r="P564" s="131"/>
      <c r="Q564" s="70" t="s">
        <v>137</v>
      </c>
      <c r="R564" s="70">
        <v>80740030259001</v>
      </c>
      <c r="S564"/>
      <c r="T564"/>
      <c r="U564"/>
      <c r="V564"/>
      <c r="W564"/>
      <c r="X564"/>
      <c r="Y564"/>
      <c r="Z564"/>
      <c r="AA564" t="s">
        <v>211</v>
      </c>
      <c r="AB564"/>
      <c r="AC564"/>
      <c r="AD564"/>
      <c r="AE564"/>
      <c r="AF564"/>
    </row>
    <row r="565" spans="1:32" ht="12.75" customHeight="1" x14ac:dyDescent="0.2">
      <c r="A565" s="93" t="s">
        <v>372</v>
      </c>
      <c r="B565" s="94"/>
      <c r="C565" s="95"/>
      <c r="D565" s="94"/>
      <c r="E565" s="96"/>
      <c r="F565" s="97">
        <f>SUM(F508:F564)</f>
        <v>19.991999999999994</v>
      </c>
      <c r="G565" s="175">
        <f>SUM(G508:G564)</f>
        <v>115776</v>
      </c>
      <c r="H565" s="160"/>
      <c r="I565" s="16"/>
      <c r="J565" s="99"/>
      <c r="K565" s="100" t="s">
        <v>213</v>
      </c>
      <c r="L565" s="243">
        <f>SUM(L508:L564)</f>
        <v>12</v>
      </c>
      <c r="M565" s="175">
        <f>SUM(M508:M564)</f>
        <v>74</v>
      </c>
      <c r="N565" s="92"/>
      <c r="O565" s="100" t="s">
        <v>214</v>
      </c>
      <c r="P565" s="243">
        <f>SUM(P508:P564)</f>
        <v>0</v>
      </c>
      <c r="Q565" s="92"/>
      <c r="T565" s="103" t="s">
        <v>215</v>
      </c>
      <c r="U565" s="103" t="s">
        <v>216</v>
      </c>
      <c r="V565" s="103" t="s">
        <v>217</v>
      </c>
      <c r="W565" s="103" t="s">
        <v>218</v>
      </c>
      <c r="X565" s="103" t="s">
        <v>219</v>
      </c>
      <c r="Y565" s="104" t="s">
        <v>214</v>
      </c>
      <c r="AA565" s="103" t="s">
        <v>215</v>
      </c>
      <c r="AB565" s="103" t="s">
        <v>216</v>
      </c>
      <c r="AC565" s="103" t="s">
        <v>217</v>
      </c>
      <c r="AD565" s="103" t="s">
        <v>218</v>
      </c>
      <c r="AE565" s="103" t="s">
        <v>219</v>
      </c>
      <c r="AF565" s="104" t="s">
        <v>214</v>
      </c>
    </row>
    <row r="566" spans="1:32" ht="12.75" customHeight="1" x14ac:dyDescent="0.2">
      <c r="A566" s="105" t="s">
        <v>221</v>
      </c>
      <c r="B566" s="106"/>
      <c r="C566" s="111"/>
      <c r="D566" s="106"/>
      <c r="E566" s="112"/>
      <c r="F566" s="107">
        <f>SUMIFS(F508:F564,H508:H564,"melnais")</f>
        <v>6.6890000000000001</v>
      </c>
      <c r="G566" s="244">
        <f>SUMIFS(G508:G564,H508:H564,"melnais")</f>
        <v>38933</v>
      </c>
      <c r="H566" s="163"/>
      <c r="I566" s="89"/>
      <c r="J566" s="92"/>
      <c r="K566" s="92"/>
      <c r="L566" s="115"/>
      <c r="M566" s="115"/>
      <c r="N566" s="92"/>
      <c r="O566" s="92"/>
      <c r="P566" s="92"/>
      <c r="Q566" s="92"/>
      <c r="S566" s="102" t="s">
        <v>20</v>
      </c>
      <c r="T566" s="103" t="s">
        <v>23</v>
      </c>
      <c r="U566" s="103" t="s">
        <v>23</v>
      </c>
      <c r="V566" s="103" t="s">
        <v>23</v>
      </c>
      <c r="W566" s="103" t="s">
        <v>23</v>
      </c>
      <c r="X566" s="103" t="s">
        <v>23</v>
      </c>
      <c r="Y566" s="104" t="s">
        <v>23</v>
      </c>
      <c r="Z566" s="102"/>
      <c r="AA566" s="103" t="s">
        <v>23</v>
      </c>
      <c r="AB566" s="103" t="s">
        <v>23</v>
      </c>
      <c r="AC566" s="103" t="s">
        <v>23</v>
      </c>
      <c r="AD566" s="103" t="s">
        <v>23</v>
      </c>
      <c r="AE566" s="103" t="s">
        <v>23</v>
      </c>
      <c r="AF566" s="104" t="s">
        <v>23</v>
      </c>
    </row>
    <row r="567" spans="1:32" ht="12.75" customHeight="1" x14ac:dyDescent="0.2">
      <c r="A567" s="105" t="s">
        <v>223</v>
      </c>
      <c r="B567" s="106"/>
      <c r="C567" s="111"/>
      <c r="D567" s="106"/>
      <c r="E567" s="112"/>
      <c r="F567" s="107">
        <f>SUMIFS(F508:F564,H508:H564,"bruģis")</f>
        <v>0</v>
      </c>
      <c r="G567" s="244">
        <f>SUMIFS(G508:G564,H508:H564,"bruģis")</f>
        <v>0</v>
      </c>
      <c r="I567" s="16"/>
      <c r="J567" s="92"/>
      <c r="N567" s="92"/>
      <c r="O567" s="92"/>
      <c r="P567" s="92"/>
      <c r="Q567" s="92"/>
      <c r="S567" s="116" t="s">
        <v>222</v>
      </c>
      <c r="T567" s="117">
        <f>SUMIFS(F508:F564,C508:C564,"A",H508:H564,"melnais")</f>
        <v>0</v>
      </c>
      <c r="U567" s="117">
        <f>SUMIFS(F508:F564,C508:C564,"A",H508:H564,"dubultā virsma")</f>
        <v>0</v>
      </c>
      <c r="V567" s="117">
        <f>SUMIFS(F508:F564,C508:C564,"A",H508:H564,"bruģis")</f>
        <v>0</v>
      </c>
      <c r="W567" s="117">
        <f>SUMIFS(F508:F564,C508:C564,"A",H508:H564,"grants")</f>
        <v>0</v>
      </c>
      <c r="X567" s="117">
        <f>SUMIFS(F508:F564,C508:C564,"A",H508:H564,"cits segums")</f>
        <v>0</v>
      </c>
      <c r="Y567" s="117">
        <f>SUM(T567:X567)</f>
        <v>0</v>
      </c>
      <c r="Z567" s="116" t="s">
        <v>222</v>
      </c>
      <c r="AA567" s="117">
        <f>SUMIFS(F508:F564,C508:C564,"A",H508:H564,"melnais", Q508:Q564,"Nepiederošs")</f>
        <v>0</v>
      </c>
      <c r="AB567" s="117">
        <f>SUMIFS(F508:F564,C508:C564,"A",H508:H564,"dubultā virsma", Q508:Q564,"Nepiederošs")</f>
        <v>0</v>
      </c>
      <c r="AC567" s="117">
        <f>SUMIFS(F508:F564,C508:C564,"A",H508:H564,"bruģis", Q508:Q564,"Nepiederošs")</f>
        <v>0</v>
      </c>
      <c r="AD567" s="117">
        <f>SUMIFS(F508:F564,C508:C564,"A",H508:H564,"grants", Q508:Q564,"Nepiederošs")</f>
        <v>0</v>
      </c>
      <c r="AE567" s="117">
        <f>SUMIFS(F508:F564,C508:C564,"A",H508:H564,"cits segums", Q508:Q564,"Nepiederošs")</f>
        <v>0</v>
      </c>
      <c r="AF567" s="117">
        <f>SUM(AA567:AE567)</f>
        <v>0</v>
      </c>
    </row>
    <row r="568" spans="1:32" ht="12.75" customHeight="1" x14ac:dyDescent="0.2">
      <c r="A568" s="105" t="s">
        <v>224</v>
      </c>
      <c r="B568" s="106"/>
      <c r="C568" s="111"/>
      <c r="D568" s="106"/>
      <c r="E568" s="112"/>
      <c r="F568" s="107">
        <f>SUMIFS(F508:F564,H508:H564,"grants")</f>
        <v>13.072999999999997</v>
      </c>
      <c r="G568" s="244">
        <f>SUMIFS(G508:G564,H508:H564,"grants")</f>
        <v>76383</v>
      </c>
      <c r="I568" s="16"/>
      <c r="J568" s="92"/>
      <c r="N568" s="92"/>
      <c r="O568" s="92"/>
      <c r="P568" s="92"/>
      <c r="Q568" s="92"/>
      <c r="S568" s="120" t="s">
        <v>39</v>
      </c>
      <c r="T568" s="117">
        <f>SUMIFS(F508:F564,C508:C564,"B",H508:H564,"melnais")</f>
        <v>0</v>
      </c>
      <c r="U568" s="117">
        <f>SUMIFS(F508:F564,C508:C564,"B",H508:H564,"dubultā virsma")</f>
        <v>0</v>
      </c>
      <c r="V568" s="117">
        <f>SUMIFS(F508:F564,C508:C564,"B",H508:H564,"bruģis")</f>
        <v>0</v>
      </c>
      <c r="W568" s="117">
        <f>SUMIFS(F508:F564,C508:C564,"B",H508:H564,"grants")</f>
        <v>0</v>
      </c>
      <c r="X568" s="117">
        <f>SUMIFS(F508:F564,C508:C564,"B",H508:H564,"cits segums")</f>
        <v>0</v>
      </c>
      <c r="Y568" s="117">
        <f t="shared" ref="Y568:Y570" si="74">SUM(T568:X568)</f>
        <v>0</v>
      </c>
      <c r="Z568" s="120" t="s">
        <v>39</v>
      </c>
      <c r="AA568" s="117">
        <f>SUMIFS(F508:F564,C508:C564,"B",H508:H564,"melnais", Q508:Q564,"Nepiederošs")</f>
        <v>0</v>
      </c>
      <c r="AB568" s="117">
        <f>SUMIFS(F508:F564,C508:C564,"B",H508:H564,"dubultā virsma", Q508:Q564,"Nepiederošs")</f>
        <v>0</v>
      </c>
      <c r="AC568" s="117">
        <f>SUMIFS(F508:F564,C508:C564,"B",H508:H564,"bruģis", Q508:Q564,"Nepiederošs")</f>
        <v>0</v>
      </c>
      <c r="AD568" s="117">
        <f>SUMIFS(F508:F564,C508:C564,"B",H508:H564,"grants", Q508:Q564,"Nepiederošs")</f>
        <v>0</v>
      </c>
      <c r="AE568" s="117">
        <f>SUMIFS(F508:F564,C508:C564,"B",H508:H564,"cits segums", Q508:Q564,"Nepiederošs")</f>
        <v>0</v>
      </c>
      <c r="AF568" s="117">
        <f t="shared" ref="AF568:AF570" si="75">SUM(AA568:AE568)</f>
        <v>0</v>
      </c>
    </row>
    <row r="569" spans="1:32" ht="12.75" customHeight="1" x14ac:dyDescent="0.2">
      <c r="A569" s="105" t="s">
        <v>225</v>
      </c>
      <c r="B569" s="106"/>
      <c r="C569" s="111"/>
      <c r="D569" s="106"/>
      <c r="E569" s="112"/>
      <c r="F569" s="107">
        <f>SUMIFS(F508:F564,H508:H564,"cits segums")</f>
        <v>0.22999999999999998</v>
      </c>
      <c r="G569" s="244">
        <f>SUMIFS(G508:G564,H508:H564,"cits segums")</f>
        <v>460</v>
      </c>
      <c r="H569" s="89"/>
      <c r="I569" s="16"/>
      <c r="J569" s="122"/>
      <c r="N569" s="92"/>
      <c r="O569" s="92"/>
      <c r="P569" s="92"/>
      <c r="Q569" s="92"/>
      <c r="S569" s="121" t="s">
        <v>34</v>
      </c>
      <c r="T569" s="117">
        <f>SUMIFS(F508:F564,C508:C564,"C",H508:H564,"melnais")</f>
        <v>0</v>
      </c>
      <c r="U569" s="117">
        <f>SUMIFS(F508:F564,C508:C564,"C",H508:H564,"dubultā virsma")</f>
        <v>0</v>
      </c>
      <c r="V569" s="117">
        <f>SUMIFS(F508:F564,C508:C564,"C",H508:H564,"bruģis")</f>
        <v>0</v>
      </c>
      <c r="W569" s="117">
        <f>SUMIFS(F508:F564,C508:C564,"C",H508:H564,"grants")</f>
        <v>0</v>
      </c>
      <c r="X569" s="117">
        <f>SUMIFS(F508:F564,C508:C564,"C",H508:H564,"cits segums")</f>
        <v>0</v>
      </c>
      <c r="Y569" s="117">
        <f t="shared" si="74"/>
        <v>0</v>
      </c>
      <c r="Z569" s="121" t="s">
        <v>34</v>
      </c>
      <c r="AA569" s="117">
        <f>SUMIFS(F508:F564,C508:C564,"C",H508:H564,"melnais", Q508:Q564,"Nepiederošs")</f>
        <v>0</v>
      </c>
      <c r="AB569" s="117">
        <f>SUMIFS(F508:F564,C508:C564,"C",H508:H564,"dubultā virsma", Q508:Q564,"Nepiederošs")</f>
        <v>0</v>
      </c>
      <c r="AC569" s="117">
        <f>SUMIFS(F508:F564,C508:C564,"C",H508:H564,"bruģis", Q508:Q564,"Nepiederošs")</f>
        <v>0</v>
      </c>
      <c r="AD569" s="117">
        <f>SUMIFS(F508:F564,C508:C564,"C",H508:H564,"grants", Q508:Q564,"Nepiederošs")</f>
        <v>0</v>
      </c>
      <c r="AE569" s="117">
        <f>SUMIFS(F508:F564,C508:C564,"C",H508:H564,"cits segums", Q508:Q564,"Nepiederošs")</f>
        <v>0</v>
      </c>
      <c r="AF569" s="117">
        <f t="shared" si="75"/>
        <v>0</v>
      </c>
    </row>
    <row r="570" spans="1:32" x14ac:dyDescent="0.2">
      <c r="C570" s="1"/>
      <c r="S570" s="116" t="s">
        <v>26</v>
      </c>
      <c r="T570" s="117">
        <f>SUMIFS(F508:F564,C508:C564,"D",H508:H564,"melnais")</f>
        <v>6.6890000000000001</v>
      </c>
      <c r="U570" s="117">
        <f>SUMIFS(F508:F564,C508:C564,"D",H508:H564,"dubultā virsma")</f>
        <v>0</v>
      </c>
      <c r="V570" s="117">
        <f>SUMIFS(F508:F564,C508:C564,"D",H508:H564,"bruģis")</f>
        <v>0</v>
      </c>
      <c r="W570" s="117">
        <f>SUMIFS(F508:F564,C508:C564,"D",H508:H564,"grants")</f>
        <v>13.072999999999997</v>
      </c>
      <c r="X570" s="117">
        <f>SUMIFS(F508:F564,C508:C564,"D",H508:H564,"cits segums")</f>
        <v>0.22999999999999998</v>
      </c>
      <c r="Y570" s="117">
        <f t="shared" si="74"/>
        <v>19.991999999999997</v>
      </c>
      <c r="Z570" s="116" t="s">
        <v>26</v>
      </c>
      <c r="AA570" s="117">
        <f>SUMIFS(F508:F564,C508:C564,"D",H508:H564,"melnais", Q508:Q564,"Nepiederošs")</f>
        <v>0</v>
      </c>
      <c r="AB570" s="117">
        <f>SUMIFS(F508:F564,C508:C564,"D",H508:H564,"dubultā virsma", Q508:Q564,"Nepiederošs")</f>
        <v>0</v>
      </c>
      <c r="AC570" s="117">
        <f>SUMIFS(F508:F564,C508:C564,"D",H508:H564,"bruģis", Q508:Q564,"Nepiederošs")</f>
        <v>0</v>
      </c>
      <c r="AD570" s="117">
        <f>SUMIFS(F508:F564,C508:C564,"D",H508:H564,"grants", Q508:Q564,"Nepiederošs")</f>
        <v>0</v>
      </c>
      <c r="AE570" s="117">
        <f>SUMIFS(F508:F564,C508:C564,"D",H508:H564,"cits segums", Q508:Q564,"Nepiederošs")</f>
        <v>0</v>
      </c>
      <c r="AF570" s="117">
        <f t="shared" si="75"/>
        <v>0</v>
      </c>
    </row>
    <row r="571" spans="1:32" s="2" customFormat="1" ht="15" customHeight="1" x14ac:dyDescent="0.25">
      <c r="A571" s="1"/>
      <c r="C571" s="1"/>
      <c r="D571" s="6" t="s">
        <v>373</v>
      </c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4"/>
      <c r="R571" s="7"/>
      <c r="S571" s="172"/>
      <c r="T571" s="126">
        <f>SUM(T567:T570)</f>
        <v>6.6890000000000001</v>
      </c>
      <c r="U571" s="126">
        <f t="shared" ref="U571:Y571" si="76">SUM(U567:U570)</f>
        <v>0</v>
      </c>
      <c r="V571" s="126">
        <f t="shared" si="76"/>
        <v>0</v>
      </c>
      <c r="W571" s="126">
        <f t="shared" si="76"/>
        <v>13.072999999999997</v>
      </c>
      <c r="X571" s="126">
        <f t="shared" si="76"/>
        <v>0.22999999999999998</v>
      </c>
      <c r="Y571" s="126">
        <f t="shared" si="76"/>
        <v>19.991999999999997</v>
      </c>
      <c r="Z571"/>
      <c r="AA571" s="126">
        <f>SUM(AA567:AA570)</f>
        <v>0</v>
      </c>
      <c r="AB571" s="126">
        <f t="shared" ref="AB571" si="77">SUM(AB567:AB570)</f>
        <v>0</v>
      </c>
      <c r="AC571" s="126">
        <f>SUM(AC567:AC570)</f>
        <v>0</v>
      </c>
      <c r="AD571" s="126">
        <f t="shared" ref="AD571:AF571" si="78">SUM(AD567:AD570)</f>
        <v>0</v>
      </c>
      <c r="AE571" s="126">
        <f t="shared" si="78"/>
        <v>0</v>
      </c>
      <c r="AF571" s="126">
        <f t="shared" si="78"/>
        <v>0</v>
      </c>
    </row>
    <row r="572" spans="1:32" ht="12.75" customHeight="1" x14ac:dyDescent="0.2">
      <c r="A572" s="8" t="s">
        <v>2</v>
      </c>
      <c r="B572" s="9" t="s">
        <v>3</v>
      </c>
      <c r="C572" s="10"/>
      <c r="D572" s="11" t="s">
        <v>4</v>
      </c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3"/>
      <c r="Q572" s="14" t="s">
        <v>5</v>
      </c>
      <c r="R572" s="15"/>
    </row>
    <row r="573" spans="1:32" ht="12.75" customHeight="1" x14ac:dyDescent="0.2">
      <c r="A573" s="8"/>
      <c r="B573" s="9"/>
      <c r="C573" s="17"/>
      <c r="D573" s="9" t="s">
        <v>6</v>
      </c>
      <c r="E573" s="9"/>
      <c r="F573" s="9"/>
      <c r="G573" s="9"/>
      <c r="H573" s="9"/>
      <c r="I573" s="18" t="s">
        <v>7</v>
      </c>
      <c r="J573" s="18"/>
      <c r="K573" s="18"/>
      <c r="L573" s="18"/>
      <c r="M573" s="18"/>
      <c r="N573" s="18"/>
      <c r="O573" s="18"/>
      <c r="P573" s="19" t="s">
        <v>8</v>
      </c>
      <c r="Q573" s="20"/>
      <c r="R573" s="21"/>
    </row>
    <row r="574" spans="1:32" ht="15.2" customHeight="1" x14ac:dyDescent="0.2">
      <c r="A574" s="8"/>
      <c r="B574" s="9"/>
      <c r="C574" s="17"/>
      <c r="D574" s="9" t="s">
        <v>9</v>
      </c>
      <c r="E574" s="9"/>
      <c r="F574" s="8" t="s">
        <v>10</v>
      </c>
      <c r="G574" s="8" t="s">
        <v>11</v>
      </c>
      <c r="H574" s="8" t="s">
        <v>12</v>
      </c>
      <c r="I574" s="18" t="s">
        <v>13</v>
      </c>
      <c r="J574" s="18" t="s">
        <v>14</v>
      </c>
      <c r="K574" s="18"/>
      <c r="L574" s="22" t="s">
        <v>15</v>
      </c>
      <c r="M574" s="22" t="s">
        <v>11</v>
      </c>
      <c r="N574" s="22" t="s">
        <v>16</v>
      </c>
      <c r="O574" s="22" t="s">
        <v>17</v>
      </c>
      <c r="P574" s="23"/>
      <c r="Q574" s="23" t="s">
        <v>18</v>
      </c>
      <c r="R574" s="24" t="s">
        <v>19</v>
      </c>
    </row>
    <row r="575" spans="1:32" ht="33.75" customHeight="1" x14ac:dyDescent="0.2">
      <c r="A575" s="8"/>
      <c r="B575" s="9"/>
      <c r="C575" s="25" t="s">
        <v>20</v>
      </c>
      <c r="D575" s="26" t="s">
        <v>21</v>
      </c>
      <c r="E575" s="26" t="s">
        <v>22</v>
      </c>
      <c r="F575" s="8"/>
      <c r="G575" s="8"/>
      <c r="H575" s="8"/>
      <c r="I575" s="18"/>
      <c r="J575" s="27" t="s">
        <v>23</v>
      </c>
      <c r="K575" s="27" t="s">
        <v>24</v>
      </c>
      <c r="L575" s="22"/>
      <c r="M575" s="22"/>
      <c r="N575" s="22"/>
      <c r="O575" s="22"/>
      <c r="P575" s="28"/>
      <c r="Q575" s="28"/>
      <c r="R575" s="29"/>
    </row>
    <row r="576" spans="1:32" s="32" customFormat="1" ht="12" customHeight="1" x14ac:dyDescent="0.25">
      <c r="A576" s="30">
        <v>1</v>
      </c>
      <c r="B576" s="30">
        <v>2</v>
      </c>
      <c r="C576" s="30"/>
      <c r="D576" s="30">
        <v>3</v>
      </c>
      <c r="E576" s="30">
        <v>4</v>
      </c>
      <c r="F576" s="30">
        <v>5</v>
      </c>
      <c r="G576" s="30">
        <v>6</v>
      </c>
      <c r="H576" s="30">
        <v>7</v>
      </c>
      <c r="I576" s="31">
        <v>8</v>
      </c>
      <c r="J576" s="31">
        <v>9</v>
      </c>
      <c r="K576" s="31">
        <v>10</v>
      </c>
      <c r="L576" s="31">
        <v>11</v>
      </c>
      <c r="M576" s="31">
        <v>12</v>
      </c>
      <c r="N576" s="31">
        <v>13</v>
      </c>
      <c r="O576" s="31">
        <v>14</v>
      </c>
      <c r="P576" s="31">
        <v>15</v>
      </c>
      <c r="Q576" s="31">
        <v>16</v>
      </c>
      <c r="R576" s="30">
        <v>17</v>
      </c>
    </row>
    <row r="577" spans="1:32" x14ac:dyDescent="0.2">
      <c r="A577" s="130">
        <v>1</v>
      </c>
      <c r="B577" s="133" t="s">
        <v>374</v>
      </c>
      <c r="C577" s="130" t="s">
        <v>26</v>
      </c>
      <c r="D577" s="131">
        <v>0</v>
      </c>
      <c r="E577" s="131">
        <v>0.65</v>
      </c>
      <c r="F577" s="145">
        <v>0.65</v>
      </c>
      <c r="G577" s="228">
        <v>4550</v>
      </c>
      <c r="H577" s="133" t="s">
        <v>29</v>
      </c>
      <c r="I577" s="245"/>
      <c r="J577" s="246"/>
      <c r="K577" s="246"/>
      <c r="L577" s="246"/>
      <c r="M577" s="246"/>
      <c r="N577" s="246"/>
      <c r="O577" s="246"/>
      <c r="P577" s="246"/>
      <c r="Q577" s="131" t="s">
        <v>137</v>
      </c>
      <c r="R577" s="139">
        <v>80740020153</v>
      </c>
    </row>
    <row r="578" spans="1:32" ht="15" x14ac:dyDescent="0.25">
      <c r="A578" s="130">
        <v>2</v>
      </c>
      <c r="B578" s="133" t="s">
        <v>375</v>
      </c>
      <c r="C578" s="130" t="s">
        <v>26</v>
      </c>
      <c r="D578" s="131">
        <v>0</v>
      </c>
      <c r="E578" s="131">
        <v>0.2</v>
      </c>
      <c r="F578" s="145">
        <v>0.2</v>
      </c>
      <c r="G578" s="228">
        <v>900</v>
      </c>
      <c r="H578" s="222" t="s">
        <v>27</v>
      </c>
      <c r="I578" s="245"/>
      <c r="J578" s="246"/>
      <c r="K578" s="246"/>
      <c r="L578" s="246"/>
      <c r="M578" s="246"/>
      <c r="N578" s="246"/>
      <c r="O578" s="246"/>
      <c r="P578" s="246"/>
      <c r="Q578" s="131" t="s">
        <v>137</v>
      </c>
      <c r="R578" s="139">
        <v>80740020152</v>
      </c>
      <c r="S578"/>
      <c r="T578"/>
      <c r="U578"/>
      <c r="V578"/>
      <c r="W578"/>
      <c r="X578"/>
      <c r="Y578"/>
      <c r="Z578"/>
      <c r="AA578" t="s">
        <v>211</v>
      </c>
      <c r="AB578"/>
      <c r="AC578"/>
      <c r="AD578"/>
      <c r="AE578"/>
      <c r="AF578"/>
    </row>
    <row r="579" spans="1:32" ht="12.75" customHeight="1" x14ac:dyDescent="0.2">
      <c r="A579" s="93" t="s">
        <v>376</v>
      </c>
      <c r="B579" s="94"/>
      <c r="C579" s="95"/>
      <c r="D579" s="94"/>
      <c r="E579" s="96"/>
      <c r="F579" s="97">
        <f>SUM(F577:F578)</f>
        <v>0.85000000000000009</v>
      </c>
      <c r="G579" s="175">
        <f>SUM(G577:G578)</f>
        <v>5450</v>
      </c>
      <c r="H579" s="160"/>
      <c r="I579" s="16"/>
      <c r="J579" s="99"/>
      <c r="K579" s="100" t="s">
        <v>213</v>
      </c>
      <c r="L579" s="97">
        <f>SUM(L577:L578)</f>
        <v>0</v>
      </c>
      <c r="M579" s="97">
        <f>SUM(M577:M578)</f>
        <v>0</v>
      </c>
      <c r="N579" s="92"/>
      <c r="O579" s="100" t="s">
        <v>214</v>
      </c>
      <c r="P579" s="97">
        <f>SUM(P577:P578)</f>
        <v>0</v>
      </c>
      <c r="Q579" s="92"/>
      <c r="T579" s="103" t="s">
        <v>215</v>
      </c>
      <c r="U579" s="103" t="s">
        <v>216</v>
      </c>
      <c r="V579" s="103" t="s">
        <v>217</v>
      </c>
      <c r="W579" s="103" t="s">
        <v>218</v>
      </c>
      <c r="X579" s="103" t="s">
        <v>219</v>
      </c>
      <c r="Y579" s="104" t="s">
        <v>214</v>
      </c>
      <c r="AA579" s="103" t="s">
        <v>215</v>
      </c>
      <c r="AB579" s="103" t="s">
        <v>216</v>
      </c>
      <c r="AC579" s="103" t="s">
        <v>217</v>
      </c>
      <c r="AD579" s="103" t="s">
        <v>218</v>
      </c>
      <c r="AE579" s="103" t="s">
        <v>219</v>
      </c>
      <c r="AF579" s="104" t="s">
        <v>214</v>
      </c>
    </row>
    <row r="580" spans="1:32" ht="12.75" customHeight="1" x14ac:dyDescent="0.2">
      <c r="A580" s="105" t="s">
        <v>221</v>
      </c>
      <c r="B580" s="106"/>
      <c r="C580" s="111"/>
      <c r="D580" s="106"/>
      <c r="E580" s="112"/>
      <c r="F580" s="107">
        <f>F577</f>
        <v>0.65</v>
      </c>
      <c r="G580" s="244">
        <f>G577</f>
        <v>4550</v>
      </c>
      <c r="H580" s="163"/>
      <c r="I580" s="89"/>
      <c r="J580" s="92"/>
      <c r="K580" s="92"/>
      <c r="L580" s="115"/>
      <c r="M580" s="115"/>
      <c r="N580" s="92"/>
      <c r="O580" s="92"/>
      <c r="P580" s="92"/>
      <c r="Q580" s="92"/>
      <c r="S580" s="102" t="s">
        <v>20</v>
      </c>
      <c r="T580" s="103" t="s">
        <v>23</v>
      </c>
      <c r="U580" s="103" t="s">
        <v>23</v>
      </c>
      <c r="V580" s="103" t="s">
        <v>23</v>
      </c>
      <c r="W580" s="103" t="s">
        <v>23</v>
      </c>
      <c r="X580" s="103" t="s">
        <v>23</v>
      </c>
      <c r="Y580" s="104" t="s">
        <v>23</v>
      </c>
      <c r="Z580" s="102"/>
      <c r="AA580" s="103" t="s">
        <v>23</v>
      </c>
      <c r="AB580" s="103" t="s">
        <v>23</v>
      </c>
      <c r="AC580" s="103" t="s">
        <v>23</v>
      </c>
      <c r="AD580" s="103" t="s">
        <v>23</v>
      </c>
      <c r="AE580" s="103" t="s">
        <v>23</v>
      </c>
      <c r="AF580" s="104" t="s">
        <v>23</v>
      </c>
    </row>
    <row r="581" spans="1:32" ht="12.75" customHeight="1" x14ac:dyDescent="0.2">
      <c r="A581" s="105" t="s">
        <v>223</v>
      </c>
      <c r="B581" s="106"/>
      <c r="C581" s="111"/>
      <c r="D581" s="106"/>
      <c r="E581" s="112"/>
      <c r="F581" s="107">
        <v>0</v>
      </c>
      <c r="G581" s="244">
        <v>0</v>
      </c>
      <c r="I581" s="16"/>
      <c r="J581" s="92"/>
      <c r="N581" s="92"/>
      <c r="O581" s="92"/>
      <c r="P581" s="92"/>
      <c r="Q581" s="92"/>
      <c r="S581" s="116" t="s">
        <v>222</v>
      </c>
      <c r="T581" s="117">
        <f>SUMIFS(F572:F578,C572:C578,"A",H572:H578,"melnais")</f>
        <v>0</v>
      </c>
      <c r="U581" s="117">
        <f>SUMIFS(F572:F578,C572:C578,"A",H572:H578,"dubultā virsma")</f>
        <v>0</v>
      </c>
      <c r="V581" s="117">
        <f>SUMIFS(F572:F578,C572:C578,"A",H572:H578,"bruģis")</f>
        <v>0</v>
      </c>
      <c r="W581" s="117">
        <f>SUMIFS(F572:F578,C572:C578,"A",H572:H578,"grants")</f>
        <v>0</v>
      </c>
      <c r="X581" s="117">
        <f>SUMIFS(F572:F578,C572:C578,"A",H572:H578,"cits segums")</f>
        <v>0</v>
      </c>
      <c r="Y581" s="117">
        <f>SUM(T581:X581)</f>
        <v>0</v>
      </c>
      <c r="Z581" s="116" t="s">
        <v>222</v>
      </c>
      <c r="AA581" s="117">
        <f>SUMIFS(F572:F578,C572:C578,"A",H572:H578,"melnais", Q572:Q578,"Nepiederošs")</f>
        <v>0</v>
      </c>
      <c r="AB581" s="117">
        <f>SUMIFS(F572:F578,C572:C578,"A",H572:H578,"dubultā virsma", Q572:Q578,"Nepiederošs")</f>
        <v>0</v>
      </c>
      <c r="AC581" s="117">
        <f>SUMIFS(F572:F578,C572:C578,"A",H572:H578,"bruģis", Q572:Q578,"Nepiederošs")</f>
        <v>0</v>
      </c>
      <c r="AD581" s="117">
        <f>SUMIFS(F572:F578,C572:C578,"A",H572:H578,"grants", Q572:Q578,"Nepiederošs")</f>
        <v>0</v>
      </c>
      <c r="AE581" s="117">
        <f>SUMIFS(F572:F578,C572:C578,"A",H572:H578,"cits segums", Q572:Q578,"Nepiederošs")</f>
        <v>0</v>
      </c>
      <c r="AF581" s="117">
        <f>SUM(AA581:AE581)</f>
        <v>0</v>
      </c>
    </row>
    <row r="582" spans="1:32" ht="12.75" customHeight="1" x14ac:dyDescent="0.2">
      <c r="A582" s="105" t="s">
        <v>224</v>
      </c>
      <c r="B582" s="106"/>
      <c r="C582" s="111"/>
      <c r="D582" s="106"/>
      <c r="E582" s="112"/>
      <c r="F582" s="107">
        <f>F578</f>
        <v>0.2</v>
      </c>
      <c r="G582" s="244">
        <f>G578</f>
        <v>900</v>
      </c>
      <c r="I582" s="16"/>
      <c r="J582" s="92"/>
      <c r="N582" s="92"/>
      <c r="O582" s="92"/>
      <c r="P582" s="92"/>
      <c r="Q582" s="92"/>
      <c r="S582" s="120" t="s">
        <v>39</v>
      </c>
      <c r="T582" s="117">
        <f>SUMIFS(F572:F578,C572:C578,"B",H572:H578,"melnais")</f>
        <v>0</v>
      </c>
      <c r="U582" s="117">
        <f>SUMIFS(F572:F578,C572:C578,"B",H572:H578,"dubultā virsma")</f>
        <v>0</v>
      </c>
      <c r="V582" s="117">
        <f>SUMIFS(F572:F578,C572:C578,"B",H572:H578,"bruģis")</f>
        <v>0</v>
      </c>
      <c r="W582" s="117">
        <f>SUMIFS(F572:F578,C572:C578,"B",H572:H578,"grants")</f>
        <v>0</v>
      </c>
      <c r="X582" s="117">
        <f>SUMIFS(F572:F578,C572:C578,"B",H572:H578,"cits segums")</f>
        <v>0</v>
      </c>
      <c r="Y582" s="117">
        <f t="shared" ref="Y582:Y584" si="79">SUM(T582:X582)</f>
        <v>0</v>
      </c>
      <c r="Z582" s="120" t="s">
        <v>39</v>
      </c>
      <c r="AA582" s="117">
        <f>SUMIFS(F572:F578,C572:C578,"B",H572:H578,"melnais", Q572:Q578,"Nepiederošs")</f>
        <v>0</v>
      </c>
      <c r="AB582" s="117">
        <f>SUMIFS(F572:F578,C572:C578,"B",H572:H578,"dubultā virsma", Q572:Q578,"Nepiederošs")</f>
        <v>0</v>
      </c>
      <c r="AC582" s="117">
        <f>SUMIFS(F572:F578,C572:C578,"B",H572:H578,"bruģis", Q572:Q578,"Nepiederošs")</f>
        <v>0</v>
      </c>
      <c r="AD582" s="117">
        <f>SUMIFS(F572:F578,C572:C578,"B",H572:H578,"grants", Q572:Q578,"Nepiederošs")</f>
        <v>0</v>
      </c>
      <c r="AE582" s="117">
        <f>SUMIFS(F572:F578,C572:C578,"B",H572:H578,"cits segums", Q572:Q578,"Nepiederošs")</f>
        <v>0</v>
      </c>
      <c r="AF582" s="117">
        <f t="shared" ref="AF582:AF584" si="80">SUM(AA582:AE582)</f>
        <v>0</v>
      </c>
    </row>
    <row r="583" spans="1:32" ht="12.75" customHeight="1" x14ac:dyDescent="0.2">
      <c r="A583" s="105" t="s">
        <v>225</v>
      </c>
      <c r="B583" s="106"/>
      <c r="C583" s="111"/>
      <c r="D583" s="106"/>
      <c r="E583" s="112"/>
      <c r="F583" s="107">
        <v>0</v>
      </c>
      <c r="G583" s="244">
        <v>0</v>
      </c>
      <c r="H583" s="89"/>
      <c r="I583" s="16"/>
      <c r="J583" s="122"/>
      <c r="N583" s="92"/>
      <c r="O583" s="92"/>
      <c r="P583" s="92"/>
      <c r="Q583" s="92"/>
      <c r="S583" s="121" t="s">
        <v>34</v>
      </c>
      <c r="T583" s="117">
        <f>SUMIFS(F572:F578,C572:C578,"C",H572:H578,"melnais")</f>
        <v>0</v>
      </c>
      <c r="U583" s="117">
        <f>SUMIFS(F572:F578,C572:C578,"C",H572:H578,"dubultā virsma")</f>
        <v>0</v>
      </c>
      <c r="V583" s="117">
        <f>SUMIFS(F572:F578,C572:C578,"C",H572:H578,"bruģis")</f>
        <v>0</v>
      </c>
      <c r="W583" s="117">
        <f>SUMIFS(F572:F578,C572:C578,"C",H572:H578,"grants")</f>
        <v>0</v>
      </c>
      <c r="X583" s="117">
        <f>SUMIFS(F572:F578,C572:C578,"C",H572:H578,"cits segums")</f>
        <v>0</v>
      </c>
      <c r="Y583" s="117">
        <f t="shared" si="79"/>
        <v>0</v>
      </c>
      <c r="Z583" s="121" t="s">
        <v>34</v>
      </c>
      <c r="AA583" s="117">
        <f>SUMIFS(F572:F578,C572:C578,"C",H572:H578,"melnais", Q572:Q578,"Nepiederošs")</f>
        <v>0</v>
      </c>
      <c r="AB583" s="117">
        <f>SUMIFS(F572:F578,C572:C578,"C",H572:H578,"dubultā virsma", Q572:Q578,"Nepiederošs")</f>
        <v>0</v>
      </c>
      <c r="AC583" s="117">
        <f>SUMIFS(F572:F578,C572:C578,"C",H572:H578,"bruģis", Q572:Q578,"Nepiederošs")</f>
        <v>0</v>
      </c>
      <c r="AD583" s="117">
        <f>SUMIFS(F572:F578,C572:C578,"C",H572:H578,"grants", Q572:Q578,"Nepiederošs")</f>
        <v>0</v>
      </c>
      <c r="AE583" s="117">
        <f>SUMIFS(F572:F578,C572:C578,"C",H572:H578,"cits segums", Q572:Q578,"Nepiederošs")</f>
        <v>0</v>
      </c>
      <c r="AF583" s="117">
        <f t="shared" si="80"/>
        <v>0</v>
      </c>
    </row>
    <row r="584" spans="1:32" x14ac:dyDescent="0.2">
      <c r="C584" s="1"/>
      <c r="S584" s="116" t="s">
        <v>26</v>
      </c>
      <c r="T584" s="117">
        <f>SUMIFS(F572:F578,C572:C578,"D",H572:H578,"melnais")</f>
        <v>0.65</v>
      </c>
      <c r="U584" s="117">
        <f>SUMIFS(F572:F578,C572:C578,"D",H572:H578,"dubultā virsma")</f>
        <v>0</v>
      </c>
      <c r="V584" s="117">
        <f>SUMIFS(F572:F578,C572:C578,"D",H572:H578,"bruģis")</f>
        <v>0</v>
      </c>
      <c r="W584" s="117">
        <f>SUMIFS(F572:F578,C572:C578,"D",H572:H578,"grants")</f>
        <v>0.2</v>
      </c>
      <c r="X584" s="117">
        <f>SUMIFS(F572:F578,C572:C578,"D",H572:H578,"cits segums")</f>
        <v>0</v>
      </c>
      <c r="Y584" s="117">
        <f t="shared" si="79"/>
        <v>0.85000000000000009</v>
      </c>
      <c r="Z584" s="116" t="s">
        <v>26</v>
      </c>
      <c r="AA584" s="117">
        <f>SUMIFS(F572:F578,C572:C578,"D",H572:H578,"melnais", Q572:Q578,"Nepiederošs")</f>
        <v>0</v>
      </c>
      <c r="AB584" s="117">
        <f>SUMIFS(F572:F578,C572:C578,"D",H572:H578,"dubultā virsma", Q572:Q578,"Nepiederošs")</f>
        <v>0</v>
      </c>
      <c r="AC584" s="117">
        <f>SUMIFS(F572:F578,C572:C578,"D",H572:H578,"bruģis", Q572:Q578,"Nepiederošs")</f>
        <v>0</v>
      </c>
      <c r="AD584" s="117">
        <f>SUMIFS(F572:F578,C572:C578,"D",H572:H578,"grants", Q572:Q578,"Nepiederošs")</f>
        <v>0</v>
      </c>
      <c r="AE584" s="117">
        <f>SUMIFS(F572:F578,C572:C578,"D",H572:H578,"cits segums", Q572:Q578,"Nepiederošs")</f>
        <v>0</v>
      </c>
      <c r="AF584" s="117">
        <f t="shared" si="80"/>
        <v>0</v>
      </c>
    </row>
    <row r="585" spans="1:32" s="2" customFormat="1" ht="15" customHeight="1" x14ac:dyDescent="0.25">
      <c r="A585" s="1"/>
      <c r="C585" s="1"/>
      <c r="D585" s="6" t="s">
        <v>377</v>
      </c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4"/>
      <c r="R585" s="7"/>
      <c r="S585" s="172"/>
      <c r="T585" s="126">
        <f>SUM(T581:T584)</f>
        <v>0.65</v>
      </c>
      <c r="U585" s="126">
        <f t="shared" ref="U585:Y585" si="81">SUM(U581:U584)</f>
        <v>0</v>
      </c>
      <c r="V585" s="126">
        <f t="shared" si="81"/>
        <v>0</v>
      </c>
      <c r="W585" s="126">
        <f t="shared" si="81"/>
        <v>0.2</v>
      </c>
      <c r="X585" s="126">
        <f t="shared" si="81"/>
        <v>0</v>
      </c>
      <c r="Y585" s="126">
        <f t="shared" si="81"/>
        <v>0.85000000000000009</v>
      </c>
      <c r="Z585"/>
      <c r="AA585" s="126">
        <f>SUM(AA581:AA584)</f>
        <v>0</v>
      </c>
      <c r="AB585" s="126">
        <f t="shared" ref="AB585" si="82">SUM(AB581:AB584)</f>
        <v>0</v>
      </c>
      <c r="AC585" s="126">
        <f>SUM(AC581:AC584)</f>
        <v>0</v>
      </c>
      <c r="AD585" s="126">
        <f t="shared" ref="AD585:AF585" si="83">SUM(AD581:AD584)</f>
        <v>0</v>
      </c>
      <c r="AE585" s="126">
        <f t="shared" si="83"/>
        <v>0</v>
      </c>
      <c r="AF585" s="126">
        <f t="shared" si="83"/>
        <v>0</v>
      </c>
    </row>
    <row r="586" spans="1:32" ht="12.75" customHeight="1" x14ac:dyDescent="0.2">
      <c r="A586" s="8" t="s">
        <v>2</v>
      </c>
      <c r="B586" s="9" t="s">
        <v>3</v>
      </c>
      <c r="C586" s="10"/>
      <c r="D586" s="11" t="s">
        <v>4</v>
      </c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3"/>
      <c r="Q586" s="14" t="s">
        <v>5</v>
      </c>
      <c r="R586" s="15"/>
    </row>
    <row r="587" spans="1:32" ht="12.75" customHeight="1" x14ac:dyDescent="0.2">
      <c r="A587" s="8"/>
      <c r="B587" s="9"/>
      <c r="C587" s="17"/>
      <c r="D587" s="9" t="s">
        <v>6</v>
      </c>
      <c r="E587" s="9"/>
      <c r="F587" s="9"/>
      <c r="G587" s="9"/>
      <c r="H587" s="9"/>
      <c r="I587" s="18" t="s">
        <v>7</v>
      </c>
      <c r="J587" s="18"/>
      <c r="K587" s="18"/>
      <c r="L587" s="18"/>
      <c r="M587" s="18"/>
      <c r="N587" s="18"/>
      <c r="O587" s="18"/>
      <c r="P587" s="19" t="s">
        <v>8</v>
      </c>
      <c r="Q587" s="20"/>
      <c r="R587" s="21"/>
    </row>
    <row r="588" spans="1:32" ht="15.2" customHeight="1" x14ac:dyDescent="0.2">
      <c r="A588" s="8"/>
      <c r="B588" s="9"/>
      <c r="C588" s="17"/>
      <c r="D588" s="9" t="s">
        <v>9</v>
      </c>
      <c r="E588" s="9"/>
      <c r="F588" s="8" t="s">
        <v>10</v>
      </c>
      <c r="G588" s="8" t="s">
        <v>11</v>
      </c>
      <c r="H588" s="8" t="s">
        <v>12</v>
      </c>
      <c r="I588" s="18" t="s">
        <v>13</v>
      </c>
      <c r="J588" s="18" t="s">
        <v>14</v>
      </c>
      <c r="K588" s="18"/>
      <c r="L588" s="22" t="s">
        <v>15</v>
      </c>
      <c r="M588" s="22" t="s">
        <v>11</v>
      </c>
      <c r="N588" s="22" t="s">
        <v>16</v>
      </c>
      <c r="O588" s="22" t="s">
        <v>17</v>
      </c>
      <c r="P588" s="23"/>
      <c r="Q588" s="23" t="s">
        <v>18</v>
      </c>
      <c r="R588" s="24" t="s">
        <v>19</v>
      </c>
    </row>
    <row r="589" spans="1:32" ht="33.75" customHeight="1" x14ac:dyDescent="0.2">
      <c r="A589" s="8"/>
      <c r="B589" s="9"/>
      <c r="C589" s="25" t="s">
        <v>20</v>
      </c>
      <c r="D589" s="26" t="s">
        <v>21</v>
      </c>
      <c r="E589" s="26" t="s">
        <v>22</v>
      </c>
      <c r="F589" s="8"/>
      <c r="G589" s="8"/>
      <c r="H589" s="8"/>
      <c r="I589" s="18"/>
      <c r="J589" s="27" t="s">
        <v>23</v>
      </c>
      <c r="K589" s="27" t="s">
        <v>24</v>
      </c>
      <c r="L589" s="22"/>
      <c r="M589" s="22"/>
      <c r="N589" s="22"/>
      <c r="O589" s="22"/>
      <c r="P589" s="28"/>
      <c r="Q589" s="28"/>
      <c r="R589" s="29"/>
    </row>
    <row r="590" spans="1:32" s="32" customFormat="1" ht="12" customHeight="1" x14ac:dyDescent="0.25">
      <c r="A590" s="30">
        <v>1</v>
      </c>
      <c r="B590" s="30">
        <v>2</v>
      </c>
      <c r="C590" s="30"/>
      <c r="D590" s="30">
        <v>3</v>
      </c>
      <c r="E590" s="30">
        <v>4</v>
      </c>
      <c r="F590" s="30">
        <v>5</v>
      </c>
      <c r="G590" s="30">
        <v>6</v>
      </c>
      <c r="H590" s="30">
        <v>7</v>
      </c>
      <c r="I590" s="31">
        <v>8</v>
      </c>
      <c r="J590" s="31">
        <v>9</v>
      </c>
      <c r="K590" s="31">
        <v>10</v>
      </c>
      <c r="L590" s="31">
        <v>11</v>
      </c>
      <c r="M590" s="31">
        <v>12</v>
      </c>
      <c r="N590" s="31">
        <v>13</v>
      </c>
      <c r="O590" s="31">
        <v>14</v>
      </c>
      <c r="P590" s="31">
        <v>15</v>
      </c>
      <c r="Q590" s="31">
        <v>16</v>
      </c>
      <c r="R590" s="30">
        <v>17</v>
      </c>
    </row>
    <row r="591" spans="1:32" x14ac:dyDescent="0.2">
      <c r="A591" s="130">
        <v>1</v>
      </c>
      <c r="B591" s="133" t="s">
        <v>378</v>
      </c>
      <c r="C591" s="130" t="s">
        <v>26</v>
      </c>
      <c r="D591" s="131">
        <v>0</v>
      </c>
      <c r="E591" s="131">
        <v>0.35</v>
      </c>
      <c r="F591" s="145">
        <v>0.35</v>
      </c>
      <c r="G591" s="228">
        <v>1750</v>
      </c>
      <c r="H591" s="133" t="s">
        <v>27</v>
      </c>
      <c r="I591" s="245"/>
      <c r="J591" s="246"/>
      <c r="K591" s="246"/>
      <c r="L591" s="246"/>
      <c r="M591" s="246"/>
      <c r="N591" s="246"/>
      <c r="O591" s="246"/>
      <c r="P591" s="246"/>
      <c r="Q591" s="70">
        <v>80740050519</v>
      </c>
      <c r="R591" s="139">
        <v>80740050519</v>
      </c>
    </row>
    <row r="592" spans="1:32" x14ac:dyDescent="0.2">
      <c r="A592" s="130">
        <v>2</v>
      </c>
      <c r="B592" s="133" t="s">
        <v>379</v>
      </c>
      <c r="C592" s="130" t="s">
        <v>26</v>
      </c>
      <c r="D592" s="131">
        <v>0</v>
      </c>
      <c r="E592" s="131">
        <v>0.1</v>
      </c>
      <c r="F592" s="145">
        <v>0.1</v>
      </c>
      <c r="G592" s="228">
        <v>450</v>
      </c>
      <c r="H592" s="133" t="s">
        <v>27</v>
      </c>
      <c r="I592" s="245"/>
      <c r="J592" s="246"/>
      <c r="K592" s="246"/>
      <c r="L592" s="246"/>
      <c r="M592" s="246"/>
      <c r="N592" s="246"/>
      <c r="O592" s="246"/>
      <c r="P592" s="246"/>
      <c r="Q592" s="70">
        <v>80740050636</v>
      </c>
      <c r="R592" s="139">
        <v>80740050634</v>
      </c>
    </row>
    <row r="593" spans="1:32" x14ac:dyDescent="0.2">
      <c r="A593" s="130">
        <v>3</v>
      </c>
      <c r="B593" s="133" t="s">
        <v>380</v>
      </c>
      <c r="C593" s="130" t="s">
        <v>26</v>
      </c>
      <c r="D593" s="131">
        <v>0</v>
      </c>
      <c r="E593" s="131">
        <v>0.23</v>
      </c>
      <c r="F593" s="145">
        <v>0.23</v>
      </c>
      <c r="G593" s="228">
        <v>1150</v>
      </c>
      <c r="H593" s="133" t="s">
        <v>27</v>
      </c>
      <c r="I593" s="245"/>
      <c r="J593" s="246"/>
      <c r="K593" s="246"/>
      <c r="L593" s="246"/>
      <c r="M593" s="246"/>
      <c r="N593" s="246"/>
      <c r="O593" s="246"/>
      <c r="P593" s="246"/>
      <c r="Q593" s="70">
        <v>80740050515</v>
      </c>
      <c r="R593" s="139">
        <v>80740050635</v>
      </c>
    </row>
    <row r="594" spans="1:32" x14ac:dyDescent="0.2">
      <c r="A594" s="130">
        <v>4</v>
      </c>
      <c r="B594" s="133" t="s">
        <v>381</v>
      </c>
      <c r="C594" s="130" t="s">
        <v>26</v>
      </c>
      <c r="D594" s="131">
        <v>0</v>
      </c>
      <c r="E594" s="131">
        <v>0.32</v>
      </c>
      <c r="F594" s="145">
        <v>0.32</v>
      </c>
      <c r="G594" s="228">
        <v>1440</v>
      </c>
      <c r="H594" s="133" t="s">
        <v>27</v>
      </c>
      <c r="I594" s="245"/>
      <c r="J594" s="246"/>
      <c r="K594" s="246"/>
      <c r="L594" s="246"/>
      <c r="M594" s="246"/>
      <c r="N594" s="246"/>
      <c r="O594" s="246"/>
      <c r="P594" s="246"/>
      <c r="Q594" s="70">
        <v>80740050517</v>
      </c>
      <c r="R594" s="139">
        <v>80740050517</v>
      </c>
    </row>
    <row r="595" spans="1:32" x14ac:dyDescent="0.2">
      <c r="A595" s="128">
        <v>5</v>
      </c>
      <c r="B595" s="225" t="s">
        <v>382</v>
      </c>
      <c r="C595" s="130" t="s">
        <v>26</v>
      </c>
      <c r="D595" s="131">
        <v>0</v>
      </c>
      <c r="E595" s="131">
        <v>0.75</v>
      </c>
      <c r="F595" s="145">
        <v>0.75</v>
      </c>
      <c r="G595" s="228">
        <v>4500</v>
      </c>
      <c r="H595" s="133" t="s">
        <v>27</v>
      </c>
      <c r="I595" s="245"/>
      <c r="J595" s="246"/>
      <c r="K595" s="246"/>
      <c r="L595" s="246"/>
      <c r="M595" s="246"/>
      <c r="N595" s="246"/>
      <c r="O595" s="246"/>
      <c r="P595" s="246"/>
      <c r="Q595" s="70">
        <v>80740050520</v>
      </c>
      <c r="R595" s="139">
        <v>80740050520</v>
      </c>
    </row>
    <row r="596" spans="1:32" x14ac:dyDescent="0.2">
      <c r="A596" s="128">
        <v>6</v>
      </c>
      <c r="B596" s="230" t="s">
        <v>383</v>
      </c>
      <c r="C596" s="130" t="s">
        <v>26</v>
      </c>
      <c r="D596" s="131">
        <v>0</v>
      </c>
      <c r="E596" s="131">
        <v>0.69199999999999995</v>
      </c>
      <c r="F596" s="145">
        <v>0.69199999999999995</v>
      </c>
      <c r="G596" s="228">
        <v>4908</v>
      </c>
      <c r="H596" s="133" t="s">
        <v>29</v>
      </c>
      <c r="I596" s="245"/>
      <c r="J596" s="246"/>
      <c r="K596" s="246"/>
      <c r="L596" s="246"/>
      <c r="M596" s="246"/>
      <c r="N596" s="246"/>
      <c r="O596" s="246"/>
      <c r="P596" s="246"/>
      <c r="Q596" s="70">
        <v>80740050518</v>
      </c>
      <c r="R596" s="139">
        <v>80740050518</v>
      </c>
    </row>
    <row r="597" spans="1:32" x14ac:dyDescent="0.2">
      <c r="A597" s="136"/>
      <c r="B597" s="234"/>
      <c r="C597" s="130" t="s">
        <v>26</v>
      </c>
      <c r="D597" s="247">
        <f>E596</f>
        <v>0.69199999999999995</v>
      </c>
      <c r="E597" s="131">
        <f>D597+F597</f>
        <v>0.78199999999999992</v>
      </c>
      <c r="F597" s="145">
        <v>0.09</v>
      </c>
      <c r="G597" s="228">
        <v>630</v>
      </c>
      <c r="H597" s="133" t="s">
        <v>384</v>
      </c>
      <c r="I597" s="245"/>
      <c r="J597" s="246"/>
      <c r="K597" s="246"/>
      <c r="L597" s="246"/>
      <c r="M597" s="246"/>
      <c r="N597" s="246"/>
      <c r="O597" s="246"/>
      <c r="P597" s="246"/>
      <c r="Q597" s="70">
        <v>80740050518</v>
      </c>
      <c r="R597" s="139">
        <v>80740050518</v>
      </c>
    </row>
    <row r="598" spans="1:32" x14ac:dyDescent="0.2">
      <c r="A598" s="134">
        <v>7</v>
      </c>
      <c r="B598" s="236" t="s">
        <v>206</v>
      </c>
      <c r="C598" s="130" t="s">
        <v>26</v>
      </c>
      <c r="D598" s="247">
        <v>0</v>
      </c>
      <c r="E598" s="131">
        <v>0.15</v>
      </c>
      <c r="F598" s="145">
        <v>0.15</v>
      </c>
      <c r="G598" s="228">
        <v>750</v>
      </c>
      <c r="H598" s="133" t="s">
        <v>29</v>
      </c>
      <c r="I598" s="245"/>
      <c r="J598" s="246"/>
      <c r="K598" s="246"/>
      <c r="L598" s="246"/>
      <c r="M598" s="246"/>
      <c r="N598" s="246"/>
      <c r="O598" s="246"/>
      <c r="P598" s="246"/>
      <c r="Q598" s="70">
        <v>80740050516</v>
      </c>
      <c r="R598" s="139">
        <v>80740050516</v>
      </c>
    </row>
    <row r="599" spans="1:32" x14ac:dyDescent="0.2">
      <c r="A599" s="136"/>
      <c r="B599" s="234"/>
      <c r="C599" s="130" t="s">
        <v>26</v>
      </c>
      <c r="D599" s="247">
        <v>0.15</v>
      </c>
      <c r="E599" s="131">
        <v>0.37</v>
      </c>
      <c r="F599" s="145">
        <v>0.22</v>
      </c>
      <c r="G599" s="228">
        <v>1150</v>
      </c>
      <c r="H599" s="133" t="s">
        <v>27</v>
      </c>
      <c r="I599" s="245"/>
      <c r="J599" s="246"/>
      <c r="K599" s="246"/>
      <c r="L599" s="246"/>
      <c r="M599" s="246"/>
      <c r="N599" s="246"/>
      <c r="O599" s="246"/>
      <c r="P599" s="246"/>
      <c r="Q599" s="70">
        <v>80740050516</v>
      </c>
      <c r="R599" s="139">
        <v>80740050516</v>
      </c>
    </row>
    <row r="600" spans="1:32" x14ac:dyDescent="0.2">
      <c r="A600" s="136">
        <v>8</v>
      </c>
      <c r="B600" s="235" t="s">
        <v>385</v>
      </c>
      <c r="C600" s="136" t="s">
        <v>26</v>
      </c>
      <c r="D600" s="131">
        <v>0</v>
      </c>
      <c r="E600" s="131">
        <v>0.17</v>
      </c>
      <c r="F600" s="145">
        <v>0.17</v>
      </c>
      <c r="G600" s="228">
        <v>900</v>
      </c>
      <c r="H600" s="133" t="s">
        <v>27</v>
      </c>
      <c r="I600" s="245"/>
      <c r="J600" s="246"/>
      <c r="K600" s="246"/>
      <c r="L600" s="246"/>
      <c r="M600" s="246"/>
      <c r="N600" s="246"/>
      <c r="O600" s="246"/>
      <c r="P600" s="246"/>
      <c r="Q600" s="70">
        <v>80740050605</v>
      </c>
      <c r="R600" s="139">
        <v>80740050604</v>
      </c>
    </row>
    <row r="601" spans="1:32" ht="23.25" customHeight="1" x14ac:dyDescent="0.2">
      <c r="A601" s="130">
        <v>9</v>
      </c>
      <c r="B601" s="133" t="s">
        <v>386</v>
      </c>
      <c r="C601" s="130" t="s">
        <v>26</v>
      </c>
      <c r="D601" s="131">
        <v>0</v>
      </c>
      <c r="E601" s="131">
        <v>0.43</v>
      </c>
      <c r="F601" s="131">
        <v>0.43</v>
      </c>
      <c r="G601" s="228">
        <v>1720</v>
      </c>
      <c r="H601" s="133" t="s">
        <v>27</v>
      </c>
      <c r="I601" s="245"/>
      <c r="J601" s="246"/>
      <c r="K601" s="246"/>
      <c r="L601" s="246"/>
      <c r="M601" s="246"/>
      <c r="N601" s="246"/>
      <c r="O601" s="246"/>
      <c r="P601" s="246"/>
      <c r="Q601" s="70">
        <v>80740050579</v>
      </c>
      <c r="R601" s="248" t="s">
        <v>387</v>
      </c>
    </row>
    <row r="602" spans="1:32" ht="15" x14ac:dyDescent="0.25">
      <c r="A602" s="130">
        <v>10</v>
      </c>
      <c r="B602" s="133" t="s">
        <v>388</v>
      </c>
      <c r="C602" s="130" t="s">
        <v>26</v>
      </c>
      <c r="D602" s="131">
        <v>0</v>
      </c>
      <c r="E602" s="131">
        <v>0.24</v>
      </c>
      <c r="F602" s="145">
        <v>0.24</v>
      </c>
      <c r="G602" s="228">
        <v>960</v>
      </c>
      <c r="H602" s="133" t="s">
        <v>27</v>
      </c>
      <c r="I602" s="245"/>
      <c r="J602" s="246"/>
      <c r="K602" s="246"/>
      <c r="L602" s="246"/>
      <c r="M602" s="246"/>
      <c r="N602" s="246"/>
      <c r="O602" s="246"/>
      <c r="P602" s="246"/>
      <c r="Q602" s="131"/>
      <c r="R602" s="70">
        <v>80740050018008</v>
      </c>
      <c r="S602"/>
      <c r="T602"/>
      <c r="U602"/>
      <c r="V602"/>
      <c r="W602"/>
      <c r="X602"/>
      <c r="Y602"/>
      <c r="Z602"/>
      <c r="AA602" t="s">
        <v>211</v>
      </c>
      <c r="AB602"/>
      <c r="AC602"/>
      <c r="AD602"/>
      <c r="AE602"/>
      <c r="AF602"/>
    </row>
    <row r="603" spans="1:32" ht="12.75" customHeight="1" x14ac:dyDescent="0.2">
      <c r="A603" s="93" t="s">
        <v>389</v>
      </c>
      <c r="B603" s="94"/>
      <c r="C603" s="95"/>
      <c r="D603" s="94"/>
      <c r="E603" s="96"/>
      <c r="F603" s="97">
        <f>SUM(F591:F602)</f>
        <v>3.742</v>
      </c>
      <c r="G603" s="175">
        <f>SUM(G591:G602)</f>
        <v>20308</v>
      </c>
      <c r="H603" s="160"/>
      <c r="I603" s="16"/>
      <c r="J603" s="99"/>
      <c r="K603" s="100" t="s">
        <v>213</v>
      </c>
      <c r="L603" s="243">
        <f>SUM(L591:L602)</f>
        <v>0</v>
      </c>
      <c r="M603" s="243">
        <f>SUM(M591:M602)</f>
        <v>0</v>
      </c>
      <c r="N603" s="92"/>
      <c r="O603" s="100" t="s">
        <v>214</v>
      </c>
      <c r="P603" s="243">
        <f>SUM(P591:P602)</f>
        <v>0</v>
      </c>
      <c r="Q603" s="92"/>
      <c r="T603" s="103" t="s">
        <v>215</v>
      </c>
      <c r="U603" s="103" t="s">
        <v>216</v>
      </c>
      <c r="V603" s="103" t="s">
        <v>217</v>
      </c>
      <c r="W603" s="103" t="s">
        <v>218</v>
      </c>
      <c r="X603" s="103" t="s">
        <v>219</v>
      </c>
      <c r="Y603" s="104" t="s">
        <v>214</v>
      </c>
      <c r="AA603" s="103" t="s">
        <v>215</v>
      </c>
      <c r="AB603" s="103" t="s">
        <v>216</v>
      </c>
      <c r="AC603" s="103" t="s">
        <v>217</v>
      </c>
      <c r="AD603" s="103" t="s">
        <v>218</v>
      </c>
      <c r="AE603" s="103" t="s">
        <v>219</v>
      </c>
      <c r="AF603" s="104" t="s">
        <v>214</v>
      </c>
    </row>
    <row r="604" spans="1:32" ht="12.75" customHeight="1" x14ac:dyDescent="0.2">
      <c r="A604" s="105" t="s">
        <v>221</v>
      </c>
      <c r="B604" s="106"/>
      <c r="C604" s="111"/>
      <c r="D604" s="106"/>
      <c r="E604" s="112"/>
      <c r="F604" s="107">
        <f>F596+F598</f>
        <v>0.84199999999999997</v>
      </c>
      <c r="G604" s="244">
        <f>G596+G598</f>
        <v>5658</v>
      </c>
      <c r="H604" s="163"/>
      <c r="I604" s="89"/>
      <c r="J604" s="92"/>
      <c r="K604" s="92"/>
      <c r="L604" s="115"/>
      <c r="M604" s="115"/>
      <c r="N604" s="92"/>
      <c r="O604" s="92"/>
      <c r="P604" s="92"/>
      <c r="Q604" s="92"/>
      <c r="S604" s="102" t="s">
        <v>20</v>
      </c>
      <c r="T604" s="103" t="s">
        <v>23</v>
      </c>
      <c r="U604" s="103" t="s">
        <v>23</v>
      </c>
      <c r="V604" s="103" t="s">
        <v>23</v>
      </c>
      <c r="W604" s="103" t="s">
        <v>23</v>
      </c>
      <c r="X604" s="103" t="s">
        <v>23</v>
      </c>
      <c r="Y604" s="104" t="s">
        <v>23</v>
      </c>
      <c r="Z604" s="102"/>
      <c r="AA604" s="103" t="s">
        <v>23</v>
      </c>
      <c r="AB604" s="103" t="s">
        <v>23</v>
      </c>
      <c r="AC604" s="103" t="s">
        <v>23</v>
      </c>
      <c r="AD604" s="103" t="s">
        <v>23</v>
      </c>
      <c r="AE604" s="103" t="s">
        <v>23</v>
      </c>
      <c r="AF604" s="104" t="s">
        <v>23</v>
      </c>
    </row>
    <row r="605" spans="1:32" ht="12.75" customHeight="1" x14ac:dyDescent="0.2">
      <c r="A605" s="105" t="s">
        <v>223</v>
      </c>
      <c r="B605" s="106"/>
      <c r="C605" s="111"/>
      <c r="D605" s="106"/>
      <c r="E605" s="112"/>
      <c r="F605" s="107">
        <v>0</v>
      </c>
      <c r="G605" s="244">
        <v>0</v>
      </c>
      <c r="I605" s="16"/>
      <c r="J605" s="92"/>
      <c r="N605" s="92"/>
      <c r="O605" s="92"/>
      <c r="P605" s="92"/>
      <c r="Q605" s="92"/>
      <c r="S605" s="116" t="s">
        <v>222</v>
      </c>
      <c r="T605" s="117">
        <f>SUMIFS(F583:F602,C583:C602,"A",H583:H602,"melnais")</f>
        <v>0</v>
      </c>
      <c r="U605" s="117">
        <f>SUMIFS(F583:F602,C583:C602,"A",H583:H602,"dubultā virsma")</f>
        <v>0</v>
      </c>
      <c r="V605" s="117">
        <f>SUMIFS(F583:F602,C583:C602,"A",H583:H602,"bruģis")</f>
        <v>0</v>
      </c>
      <c r="W605" s="117">
        <f>SUMIFS(F583:F602,C583:C602,"A",H583:H602,"grants")</f>
        <v>0</v>
      </c>
      <c r="X605" s="117">
        <f>SUMIFS(F583:F602,C583:C602,"A",H583:H602,"cits segums")</f>
        <v>0</v>
      </c>
      <c r="Y605" s="117">
        <f>SUM(T605:X605)</f>
        <v>0</v>
      </c>
      <c r="Z605" s="116" t="s">
        <v>222</v>
      </c>
      <c r="AA605" s="117">
        <f>SUMIFS(F583:F602,C583:C602,"A",H583:H602,"melnais", Q583:Q602,"Nepiederošs")</f>
        <v>0</v>
      </c>
      <c r="AB605" s="117">
        <f>SUMIFS(F583:F602,C583:C602,"A",H583:H602,"dubultā virsma", Q583:Q602,"Nepiederošs")</f>
        <v>0</v>
      </c>
      <c r="AC605" s="117">
        <f>SUMIFS(F583:F602,C583:C602,"A",H583:H602,"bruģis", Q583:Q602,"Nepiederošs")</f>
        <v>0</v>
      </c>
      <c r="AD605" s="117">
        <f>SUMIFS(F583:F602,C583:C602,"A",H583:H602,"grants", Q583:Q602,"Nepiederošs")</f>
        <v>0</v>
      </c>
      <c r="AE605" s="117">
        <f>SUMIFS(F583:F602,C583:C602,"A",H583:H602,"cits segums", Q583:Q602,"Nepiederošs")</f>
        <v>0</v>
      </c>
      <c r="AF605" s="117">
        <f>SUM(AA605:AE605)</f>
        <v>0</v>
      </c>
    </row>
    <row r="606" spans="1:32" ht="12.75" customHeight="1" x14ac:dyDescent="0.2">
      <c r="A606" s="105" t="s">
        <v>224</v>
      </c>
      <c r="B606" s="106"/>
      <c r="C606" s="111"/>
      <c r="D606" s="106"/>
      <c r="E606" s="112"/>
      <c r="F606" s="107">
        <f>F591+F592+F593+F594+F595+F599+F600+F601+F602</f>
        <v>2.8100000000000005</v>
      </c>
      <c r="G606" s="244">
        <f>G591+G592+G593+G594+G595+G599+G600+G601+G602</f>
        <v>14020</v>
      </c>
      <c r="I606" s="16"/>
      <c r="J606" s="92"/>
      <c r="N606" s="92"/>
      <c r="O606" s="92"/>
      <c r="P606" s="92"/>
      <c r="Q606" s="92"/>
      <c r="S606" s="120" t="s">
        <v>39</v>
      </c>
      <c r="T606" s="117">
        <f>SUMIFS(F583:F602,C583:C602,"B",H583:H602,"melnais")</f>
        <v>0</v>
      </c>
      <c r="U606" s="117">
        <f>SUMIFS(F583:F602,C583:C602,"B",H583:H602,"dubultā virsma")</f>
        <v>0</v>
      </c>
      <c r="V606" s="117">
        <f>SUMIFS(F583:F602,C583:C602,"B",H583:H602,"bruģis")</f>
        <v>0</v>
      </c>
      <c r="W606" s="117">
        <f>SUMIFS(F583:F602,C583:C602,"B",H583:H602,"grants")</f>
        <v>0</v>
      </c>
      <c r="X606" s="117">
        <f>SUMIFS(F583:F602,C583:C602,"B",H583:H602,"cits segums")</f>
        <v>0</v>
      </c>
      <c r="Y606" s="117">
        <f t="shared" ref="Y606:Y608" si="84">SUM(T606:X606)</f>
        <v>0</v>
      </c>
      <c r="Z606" s="120" t="s">
        <v>39</v>
      </c>
      <c r="AA606" s="117">
        <f>SUMIFS(F583:F602,C583:C602,"B",H583:H602,"melnais", Q583:Q602,"Nepiederošs")</f>
        <v>0</v>
      </c>
      <c r="AB606" s="117">
        <f>SUMIFS(F583:F602,C583:C602,"B",H583:H602,"dubultā virsma", Q583:Q602,"Nepiederošs")</f>
        <v>0</v>
      </c>
      <c r="AC606" s="117">
        <f>SUMIFS(F583:F602,C583:C602,"B",H583:H602,"bruģis", Q583:Q602,"Nepiederošs")</f>
        <v>0</v>
      </c>
      <c r="AD606" s="117">
        <f>SUMIFS(F583:F602,C583:C602,"B",H583:H602,"grants", Q583:Q602,"Nepiederošs")</f>
        <v>0</v>
      </c>
      <c r="AE606" s="117">
        <f>SUMIFS(F583:F602,C583:C602,"B",H583:H602,"cits segums", Q583:Q602,"Nepiederošs")</f>
        <v>0</v>
      </c>
      <c r="AF606" s="117">
        <f t="shared" ref="AF606:AF608" si="85">SUM(AA606:AE606)</f>
        <v>0</v>
      </c>
    </row>
    <row r="607" spans="1:32" ht="12.75" customHeight="1" x14ac:dyDescent="0.2">
      <c r="A607" s="105" t="s">
        <v>225</v>
      </c>
      <c r="B607" s="106"/>
      <c r="C607" s="111"/>
      <c r="D607" s="106"/>
      <c r="E607" s="112"/>
      <c r="F607" s="107">
        <v>0</v>
      </c>
      <c r="G607" s="244">
        <v>0</v>
      </c>
      <c r="H607" s="89"/>
      <c r="I607" s="16"/>
      <c r="J607" s="122"/>
      <c r="N607" s="92"/>
      <c r="O607" s="92"/>
      <c r="P607" s="92"/>
      <c r="Q607" s="92"/>
      <c r="S607" s="121" t="s">
        <v>34</v>
      </c>
      <c r="T607" s="117">
        <f>SUMIFS(F583:F602,C583:C602,"C",H583:H602,"melnais")</f>
        <v>0</v>
      </c>
      <c r="U607" s="117">
        <f>SUMIFS(F583:F602,C583:C602,"C",H583:H602,"dubultā virsma")</f>
        <v>0</v>
      </c>
      <c r="V607" s="117">
        <f>SUMIFS(F583:F602,C583:C602,"C",H583:H602,"bruģis")</f>
        <v>0</v>
      </c>
      <c r="W607" s="117">
        <f>SUMIFS(F583:F602,C583:C602,"C",H583:H602,"grants")</f>
        <v>0</v>
      </c>
      <c r="X607" s="117">
        <f>SUMIFS(F583:F602,C583:C602,"C",H583:H602,"cits segums")</f>
        <v>0</v>
      </c>
      <c r="Y607" s="117">
        <f t="shared" si="84"/>
        <v>0</v>
      </c>
      <c r="Z607" s="121" t="s">
        <v>34</v>
      </c>
      <c r="AA607" s="117">
        <f>SUMIFS(F583:F602,C583:C602,"C",H583:H602,"melnais", Q583:Q602,"Nepiederošs")</f>
        <v>0</v>
      </c>
      <c r="AB607" s="117">
        <f>SUMIFS(F583:F602,C583:C602,"C",H583:H602,"dubultā virsma", Q583:Q602,"Nepiederošs")</f>
        <v>0</v>
      </c>
      <c r="AC607" s="117">
        <f>SUMIFS(F583:F602,C583:C602,"C",H583:H602,"bruģis", Q583:Q602,"Nepiederošs")</f>
        <v>0</v>
      </c>
      <c r="AD607" s="117">
        <f>SUMIFS(F583:F602,C583:C602,"C",H583:H602,"grants", Q583:Q602,"Nepiederošs")</f>
        <v>0</v>
      </c>
      <c r="AE607" s="117">
        <f>SUMIFS(F583:F602,C583:C602,"C",H583:H602,"cits segums", Q583:Q602,"Nepiederošs")</f>
        <v>0</v>
      </c>
      <c r="AF607" s="117">
        <f t="shared" si="85"/>
        <v>0</v>
      </c>
    </row>
    <row r="608" spans="1:32" x14ac:dyDescent="0.2">
      <c r="C608" s="1"/>
      <c r="S608" s="116" t="s">
        <v>26</v>
      </c>
      <c r="T608" s="117">
        <f>SUMIFS(F583:F602,C583:C602,"D",H583:H602,"melnais")</f>
        <v>0.84199999999999997</v>
      </c>
      <c r="U608" s="117">
        <f>SUMIFS(F583:F602,C583:C602,"D",H583:H602,"dubultā virsma")</f>
        <v>0</v>
      </c>
      <c r="V608" s="117">
        <f>SUMIFS(F583:F602,C583:C602,"D",H583:H602,"bruģis")</f>
        <v>0</v>
      </c>
      <c r="W608" s="117">
        <f>SUMIFS(F583:F602,C583:C602,"D",H583:H602,"grants")</f>
        <v>2.9000000000000004</v>
      </c>
      <c r="X608" s="117">
        <f>SUMIFS(F583:F602,C583:C602,"D",H583:H602,"cits segums")</f>
        <v>0</v>
      </c>
      <c r="Y608" s="117">
        <f t="shared" si="84"/>
        <v>3.7420000000000004</v>
      </c>
      <c r="Z608" s="116" t="s">
        <v>26</v>
      </c>
      <c r="AA608" s="117">
        <f>SUMIFS(F583:F602,C583:C602,"D",H583:H602,"melnais", Q583:Q602,"Nepiederošs")</f>
        <v>0</v>
      </c>
      <c r="AB608" s="117">
        <f>SUMIFS(F583:F602,C583:C602,"D",H583:H602,"dubultā virsma", Q583:Q602,"Nepiederošs")</f>
        <v>0</v>
      </c>
      <c r="AC608" s="117">
        <f>SUMIFS(F583:F602,C583:C602,"D",H583:H602,"bruģis", Q583:Q602,"Nepiederošs")</f>
        <v>0</v>
      </c>
      <c r="AD608" s="117">
        <f>SUMIFS(F583:F602,C583:C602,"D",H583:H602,"grants", Q583:Q602,"Nepiederošs")</f>
        <v>0</v>
      </c>
      <c r="AE608" s="117">
        <f>SUMIFS(F583:F602,C583:C602,"D",H583:H602,"cits segums", Q583:Q602,"Nepiederošs")</f>
        <v>0</v>
      </c>
      <c r="AF608" s="117">
        <f t="shared" si="85"/>
        <v>0</v>
      </c>
    </row>
    <row r="609" spans="1:32" s="2" customFormat="1" ht="15" customHeight="1" x14ac:dyDescent="0.25">
      <c r="A609" s="1"/>
      <c r="C609" s="1"/>
      <c r="D609" s="6" t="s">
        <v>390</v>
      </c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4"/>
      <c r="R609" s="7"/>
      <c r="S609" s="172"/>
      <c r="T609" s="126">
        <f>SUM(T605:T608)</f>
        <v>0.84199999999999997</v>
      </c>
      <c r="U609" s="126">
        <f t="shared" ref="U609:Y609" si="86">SUM(U605:U608)</f>
        <v>0</v>
      </c>
      <c r="V609" s="126">
        <f t="shared" si="86"/>
        <v>0</v>
      </c>
      <c r="W609" s="126">
        <f t="shared" si="86"/>
        <v>2.9000000000000004</v>
      </c>
      <c r="X609" s="126">
        <f t="shared" si="86"/>
        <v>0</v>
      </c>
      <c r="Y609" s="126">
        <f t="shared" si="86"/>
        <v>3.7420000000000004</v>
      </c>
      <c r="Z609"/>
      <c r="AA609" s="126">
        <f>SUM(AA605:AA608)</f>
        <v>0</v>
      </c>
      <c r="AB609" s="126">
        <f t="shared" ref="AB609" si="87">SUM(AB605:AB608)</f>
        <v>0</v>
      </c>
      <c r="AC609" s="126">
        <f>SUM(AC605:AC608)</f>
        <v>0</v>
      </c>
      <c r="AD609" s="126">
        <f t="shared" ref="AD609:AF609" si="88">SUM(AD605:AD608)</f>
        <v>0</v>
      </c>
      <c r="AE609" s="126">
        <f t="shared" si="88"/>
        <v>0</v>
      </c>
      <c r="AF609" s="126">
        <f t="shared" si="88"/>
        <v>0</v>
      </c>
    </row>
    <row r="610" spans="1:32" ht="12.75" customHeight="1" x14ac:dyDescent="0.2">
      <c r="A610" s="8" t="s">
        <v>2</v>
      </c>
      <c r="B610" s="9" t="s">
        <v>3</v>
      </c>
      <c r="C610" s="10"/>
      <c r="D610" s="11" t="s">
        <v>4</v>
      </c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3"/>
      <c r="Q610" s="14" t="s">
        <v>5</v>
      </c>
      <c r="R610" s="15"/>
    </row>
    <row r="611" spans="1:32" ht="12.75" customHeight="1" x14ac:dyDescent="0.2">
      <c r="A611" s="8"/>
      <c r="B611" s="9"/>
      <c r="C611" s="17"/>
      <c r="D611" s="9" t="s">
        <v>6</v>
      </c>
      <c r="E611" s="9"/>
      <c r="F611" s="9"/>
      <c r="G611" s="9"/>
      <c r="H611" s="9"/>
      <c r="I611" s="18" t="s">
        <v>7</v>
      </c>
      <c r="J611" s="18"/>
      <c r="K611" s="18"/>
      <c r="L611" s="18"/>
      <c r="M611" s="18"/>
      <c r="N611" s="18"/>
      <c r="O611" s="18"/>
      <c r="P611" s="19" t="s">
        <v>8</v>
      </c>
      <c r="Q611" s="20"/>
      <c r="R611" s="21"/>
    </row>
    <row r="612" spans="1:32" ht="15.2" customHeight="1" x14ac:dyDescent="0.2">
      <c r="A612" s="8"/>
      <c r="B612" s="9"/>
      <c r="C612" s="17"/>
      <c r="D612" s="9" t="s">
        <v>9</v>
      </c>
      <c r="E612" s="9"/>
      <c r="F612" s="8" t="s">
        <v>10</v>
      </c>
      <c r="G612" s="8" t="s">
        <v>11</v>
      </c>
      <c r="H612" s="8" t="s">
        <v>12</v>
      </c>
      <c r="I612" s="18" t="s">
        <v>13</v>
      </c>
      <c r="J612" s="18" t="s">
        <v>14</v>
      </c>
      <c r="K612" s="18"/>
      <c r="L612" s="22" t="s">
        <v>15</v>
      </c>
      <c r="M612" s="22" t="s">
        <v>11</v>
      </c>
      <c r="N612" s="22" t="s">
        <v>16</v>
      </c>
      <c r="O612" s="22" t="s">
        <v>17</v>
      </c>
      <c r="P612" s="23"/>
      <c r="Q612" s="23" t="s">
        <v>18</v>
      </c>
      <c r="R612" s="24" t="s">
        <v>19</v>
      </c>
    </row>
    <row r="613" spans="1:32" ht="33.75" customHeight="1" x14ac:dyDescent="0.2">
      <c r="A613" s="8"/>
      <c r="B613" s="9"/>
      <c r="C613" s="25" t="s">
        <v>20</v>
      </c>
      <c r="D613" s="26" t="s">
        <v>21</v>
      </c>
      <c r="E613" s="26" t="s">
        <v>22</v>
      </c>
      <c r="F613" s="8"/>
      <c r="G613" s="8"/>
      <c r="H613" s="8"/>
      <c r="I613" s="18"/>
      <c r="J613" s="27" t="s">
        <v>23</v>
      </c>
      <c r="K613" s="27" t="s">
        <v>24</v>
      </c>
      <c r="L613" s="22"/>
      <c r="M613" s="22"/>
      <c r="N613" s="22"/>
      <c r="O613" s="22"/>
      <c r="P613" s="28"/>
      <c r="Q613" s="28"/>
      <c r="R613" s="29"/>
    </row>
    <row r="614" spans="1:32" s="32" customFormat="1" ht="12" customHeight="1" x14ac:dyDescent="0.25">
      <c r="A614" s="30">
        <v>1</v>
      </c>
      <c r="B614" s="30">
        <v>2</v>
      </c>
      <c r="C614" s="30"/>
      <c r="D614" s="30">
        <v>3</v>
      </c>
      <c r="E614" s="30">
        <v>4</v>
      </c>
      <c r="F614" s="30">
        <v>5</v>
      </c>
      <c r="G614" s="30">
        <v>6</v>
      </c>
      <c r="H614" s="30">
        <v>7</v>
      </c>
      <c r="I614" s="31">
        <v>8</v>
      </c>
      <c r="J614" s="31">
        <v>9</v>
      </c>
      <c r="K614" s="31">
        <v>10</v>
      </c>
      <c r="L614" s="31">
        <v>11</v>
      </c>
      <c r="M614" s="31">
        <v>12</v>
      </c>
      <c r="N614" s="31">
        <v>13</v>
      </c>
      <c r="O614" s="31">
        <v>14</v>
      </c>
      <c r="P614" s="31">
        <v>15</v>
      </c>
      <c r="Q614" s="31">
        <v>16</v>
      </c>
      <c r="R614" s="30">
        <v>17</v>
      </c>
    </row>
    <row r="615" spans="1:32" x14ac:dyDescent="0.2">
      <c r="A615" s="130">
        <v>1</v>
      </c>
      <c r="B615" s="133" t="s">
        <v>41</v>
      </c>
      <c r="C615" s="130" t="s">
        <v>39</v>
      </c>
      <c r="D615" s="131">
        <v>0</v>
      </c>
      <c r="E615" s="131">
        <v>0.94</v>
      </c>
      <c r="F615" s="145">
        <v>0.94</v>
      </c>
      <c r="G615" s="249">
        <v>6110</v>
      </c>
      <c r="H615" s="133" t="s">
        <v>29</v>
      </c>
      <c r="I615" s="245"/>
      <c r="J615" s="246"/>
      <c r="K615" s="246"/>
      <c r="L615" s="246"/>
      <c r="M615" s="246"/>
      <c r="N615" s="246"/>
      <c r="O615" s="246"/>
      <c r="P615" s="246"/>
      <c r="Q615" s="70">
        <v>80640060752</v>
      </c>
      <c r="R615" s="139">
        <v>80640060752</v>
      </c>
    </row>
    <row r="616" spans="1:32" x14ac:dyDescent="0.2">
      <c r="A616" s="128">
        <v>2</v>
      </c>
      <c r="B616" s="225" t="s">
        <v>134</v>
      </c>
      <c r="C616" s="128" t="s">
        <v>34</v>
      </c>
      <c r="D616" s="131">
        <v>0</v>
      </c>
      <c r="E616" s="131">
        <v>1.62</v>
      </c>
      <c r="F616" s="145">
        <v>1.62</v>
      </c>
      <c r="G616" s="249">
        <v>5110</v>
      </c>
      <c r="H616" s="133" t="s">
        <v>29</v>
      </c>
      <c r="I616" s="245"/>
      <c r="J616" s="246"/>
      <c r="K616" s="246"/>
      <c r="L616" s="246"/>
      <c r="M616" s="246"/>
      <c r="N616" s="246"/>
      <c r="O616" s="246"/>
      <c r="P616" s="246"/>
      <c r="Q616" s="70">
        <v>80640060754</v>
      </c>
      <c r="R616" s="139">
        <v>80640060754</v>
      </c>
    </row>
    <row r="617" spans="1:32" x14ac:dyDescent="0.2">
      <c r="A617" s="128">
        <v>3</v>
      </c>
      <c r="B617" s="230" t="s">
        <v>391</v>
      </c>
      <c r="C617" s="128" t="s">
        <v>34</v>
      </c>
      <c r="D617" s="247">
        <v>0</v>
      </c>
      <c r="E617" s="131">
        <v>1.53</v>
      </c>
      <c r="F617" s="145">
        <v>1.53</v>
      </c>
      <c r="G617" s="249">
        <v>9180</v>
      </c>
      <c r="H617" s="133" t="s">
        <v>29</v>
      </c>
      <c r="I617" s="245"/>
      <c r="J617" s="246"/>
      <c r="K617" s="246"/>
      <c r="L617" s="246"/>
      <c r="M617" s="246"/>
      <c r="N617" s="246"/>
      <c r="O617" s="246"/>
      <c r="P617" s="246"/>
      <c r="Q617" s="70">
        <v>80640060784</v>
      </c>
      <c r="R617" s="139">
        <v>80640060784</v>
      </c>
    </row>
    <row r="618" spans="1:32" x14ac:dyDescent="0.2">
      <c r="A618" s="136"/>
      <c r="B618" s="234"/>
      <c r="C618" s="128" t="s">
        <v>34</v>
      </c>
      <c r="D618" s="247">
        <v>0</v>
      </c>
      <c r="E618" s="131">
        <v>0.14299999999999999</v>
      </c>
      <c r="F618" s="145">
        <v>0.14299999999999999</v>
      </c>
      <c r="G618" s="249">
        <v>572</v>
      </c>
      <c r="H618" s="133" t="s">
        <v>27</v>
      </c>
      <c r="I618" s="245"/>
      <c r="J618" s="246"/>
      <c r="K618" s="246"/>
      <c r="L618" s="246"/>
      <c r="M618" s="246"/>
      <c r="N618" s="246"/>
      <c r="O618" s="246"/>
      <c r="P618" s="246"/>
      <c r="Q618" s="70">
        <v>80640060784</v>
      </c>
      <c r="R618" s="139">
        <v>80640060697</v>
      </c>
    </row>
    <row r="619" spans="1:32" x14ac:dyDescent="0.2">
      <c r="A619" s="134">
        <v>4</v>
      </c>
      <c r="B619" s="233" t="s">
        <v>392</v>
      </c>
      <c r="C619" s="130" t="s">
        <v>34</v>
      </c>
      <c r="D619" s="131">
        <v>0</v>
      </c>
      <c r="E619" s="131">
        <v>0.59</v>
      </c>
      <c r="F619" s="145">
        <v>0.59</v>
      </c>
      <c r="G619" s="249">
        <v>3245</v>
      </c>
      <c r="H619" s="133" t="s">
        <v>29</v>
      </c>
      <c r="I619" s="245"/>
      <c r="J619" s="246"/>
      <c r="K619" s="246"/>
      <c r="L619" s="246"/>
      <c r="M619" s="246"/>
      <c r="N619" s="246"/>
      <c r="O619" s="246"/>
      <c r="P619" s="246"/>
      <c r="Q619" s="70">
        <v>80640060785</v>
      </c>
      <c r="R619" s="139">
        <v>80640060785</v>
      </c>
    </row>
    <row r="620" spans="1:32" ht="12" customHeight="1" x14ac:dyDescent="0.2">
      <c r="A620" s="128">
        <v>5</v>
      </c>
      <c r="B620" s="230" t="s">
        <v>170</v>
      </c>
      <c r="C620" s="130" t="s">
        <v>26</v>
      </c>
      <c r="D620" s="247">
        <v>0</v>
      </c>
      <c r="E620" s="131">
        <v>0.247</v>
      </c>
      <c r="F620" s="145">
        <v>0.247</v>
      </c>
      <c r="G620" s="249">
        <v>1482</v>
      </c>
      <c r="H620" s="133" t="s">
        <v>29</v>
      </c>
      <c r="I620" s="245"/>
      <c r="J620" s="246"/>
      <c r="K620" s="246"/>
      <c r="L620" s="246"/>
      <c r="M620" s="246"/>
      <c r="N620" s="246"/>
      <c r="O620" s="246"/>
      <c r="P620" s="246"/>
      <c r="Q620" s="70">
        <v>80640060753</v>
      </c>
      <c r="R620" s="139">
        <v>80640060753</v>
      </c>
    </row>
    <row r="621" spans="1:32" x14ac:dyDescent="0.2">
      <c r="A621" s="134"/>
      <c r="B621" s="236"/>
      <c r="C621" s="130" t="s">
        <v>26</v>
      </c>
      <c r="D621" s="247">
        <v>0.26400000000000001</v>
      </c>
      <c r="E621" s="131">
        <v>0.38200000000000001</v>
      </c>
      <c r="F621" s="145">
        <v>0.11799999999999999</v>
      </c>
      <c r="G621" s="249">
        <v>708</v>
      </c>
      <c r="H621" s="133" t="s">
        <v>29</v>
      </c>
      <c r="I621" s="245"/>
      <c r="J621" s="246"/>
      <c r="K621" s="246"/>
      <c r="L621" s="246"/>
      <c r="M621" s="246"/>
      <c r="N621" s="246"/>
      <c r="O621" s="246"/>
      <c r="P621" s="246"/>
      <c r="Q621" s="70">
        <v>80640060753</v>
      </c>
      <c r="R621" s="130">
        <v>80640060755</v>
      </c>
    </row>
    <row r="622" spans="1:32" x14ac:dyDescent="0.2">
      <c r="A622" s="134"/>
      <c r="B622" s="236"/>
      <c r="C622" s="130" t="s">
        <v>26</v>
      </c>
      <c r="D622" s="247">
        <v>0.39</v>
      </c>
      <c r="E622" s="131">
        <v>0.61599999999999999</v>
      </c>
      <c r="F622" s="145">
        <v>0.22600000000000001</v>
      </c>
      <c r="G622" s="249">
        <v>1356</v>
      </c>
      <c r="H622" s="133" t="s">
        <v>29</v>
      </c>
      <c r="I622" s="245"/>
      <c r="J622" s="246"/>
      <c r="K622" s="246"/>
      <c r="L622" s="246"/>
      <c r="M622" s="246"/>
      <c r="N622" s="246"/>
      <c r="O622" s="246"/>
      <c r="P622" s="246"/>
      <c r="Q622" s="70">
        <v>80640060753</v>
      </c>
      <c r="R622" s="130">
        <v>80640060758</v>
      </c>
    </row>
    <row r="623" spans="1:32" ht="12" customHeight="1" x14ac:dyDescent="0.2">
      <c r="A623" s="128">
        <v>6</v>
      </c>
      <c r="B623" s="230" t="s">
        <v>177</v>
      </c>
      <c r="C623" s="130" t="s">
        <v>26</v>
      </c>
      <c r="D623" s="247">
        <v>0</v>
      </c>
      <c r="E623" s="131">
        <v>0.54900000000000004</v>
      </c>
      <c r="F623" s="145">
        <v>0.54900000000000004</v>
      </c>
      <c r="G623" s="249">
        <v>3294</v>
      </c>
      <c r="H623" s="133" t="s">
        <v>29</v>
      </c>
      <c r="I623" s="245"/>
      <c r="J623" s="246"/>
      <c r="K623" s="246"/>
      <c r="L623" s="246"/>
      <c r="M623" s="246"/>
      <c r="N623" s="246"/>
      <c r="O623" s="246"/>
      <c r="P623" s="246"/>
      <c r="Q623" s="70">
        <v>80640060768</v>
      </c>
      <c r="R623" s="130">
        <v>80640060768</v>
      </c>
    </row>
    <row r="624" spans="1:32" x14ac:dyDescent="0.2">
      <c r="A624" s="134"/>
      <c r="B624" s="236"/>
      <c r="C624" s="130" t="s">
        <v>26</v>
      </c>
      <c r="D624" s="247">
        <v>0.56100000000000005</v>
      </c>
      <c r="E624" s="131">
        <v>0.68</v>
      </c>
      <c r="F624" s="145">
        <v>0.11899999999999999</v>
      </c>
      <c r="G624" s="249">
        <v>714</v>
      </c>
      <c r="H624" s="133" t="s">
        <v>29</v>
      </c>
      <c r="I624" s="245"/>
      <c r="J624" s="246"/>
      <c r="K624" s="246"/>
      <c r="L624" s="246"/>
      <c r="M624" s="246"/>
      <c r="N624" s="246"/>
      <c r="O624" s="246"/>
      <c r="P624" s="246"/>
      <c r="Q624" s="70">
        <v>80640060768</v>
      </c>
      <c r="R624" s="130">
        <v>80640060769</v>
      </c>
    </row>
    <row r="625" spans="1:18" x14ac:dyDescent="0.2">
      <c r="A625" s="134"/>
      <c r="B625" s="236"/>
      <c r="C625" s="130" t="s">
        <v>26</v>
      </c>
      <c r="D625" s="247">
        <v>0.69599999999999995</v>
      </c>
      <c r="E625" s="131">
        <v>1.121</v>
      </c>
      <c r="F625" s="145">
        <v>0.42499999999999999</v>
      </c>
      <c r="G625" s="249">
        <v>2550</v>
      </c>
      <c r="H625" s="133" t="s">
        <v>29</v>
      </c>
      <c r="I625" s="245"/>
      <c r="J625" s="246"/>
      <c r="K625" s="246"/>
      <c r="L625" s="246"/>
      <c r="M625" s="246"/>
      <c r="N625" s="246"/>
      <c r="O625" s="246"/>
      <c r="P625" s="246"/>
      <c r="Q625" s="70">
        <v>80640060768</v>
      </c>
      <c r="R625" s="130">
        <v>80640060770</v>
      </c>
    </row>
    <row r="626" spans="1:18" x14ac:dyDescent="0.2">
      <c r="A626" s="128">
        <v>7</v>
      </c>
      <c r="B626" s="230" t="s">
        <v>206</v>
      </c>
      <c r="C626" s="130" t="s">
        <v>26</v>
      </c>
      <c r="D626" s="247">
        <v>0</v>
      </c>
      <c r="E626" s="131">
        <v>0.88</v>
      </c>
      <c r="F626" s="145">
        <v>0.88</v>
      </c>
      <c r="G626" s="249">
        <v>4840</v>
      </c>
      <c r="H626" s="133" t="s">
        <v>29</v>
      </c>
      <c r="I626" s="245"/>
      <c r="J626" s="246"/>
      <c r="K626" s="246"/>
      <c r="L626" s="246"/>
      <c r="M626" s="246"/>
      <c r="N626" s="246"/>
      <c r="O626" s="246"/>
      <c r="P626" s="246"/>
      <c r="Q626" s="70">
        <v>80640060760</v>
      </c>
      <c r="R626" s="130">
        <v>80640060760</v>
      </c>
    </row>
    <row r="627" spans="1:18" x14ac:dyDescent="0.2">
      <c r="A627" s="136"/>
      <c r="B627" s="234"/>
      <c r="C627" s="130" t="s">
        <v>26</v>
      </c>
      <c r="D627" s="247">
        <v>0.88</v>
      </c>
      <c r="E627" s="131">
        <v>2</v>
      </c>
      <c r="F627" s="145">
        <v>1.1200000000000001</v>
      </c>
      <c r="G627" s="249">
        <v>6160</v>
      </c>
      <c r="H627" s="133" t="s">
        <v>27</v>
      </c>
      <c r="I627" s="245"/>
      <c r="J627" s="246"/>
      <c r="K627" s="246"/>
      <c r="L627" s="246"/>
      <c r="M627" s="246"/>
      <c r="N627" s="246"/>
      <c r="O627" s="246"/>
      <c r="P627" s="246"/>
      <c r="Q627" s="70">
        <v>80640060760</v>
      </c>
      <c r="R627" s="130">
        <v>80640060760</v>
      </c>
    </row>
    <row r="628" spans="1:18" x14ac:dyDescent="0.2">
      <c r="A628" s="136">
        <v>8</v>
      </c>
      <c r="B628" s="235" t="s">
        <v>393</v>
      </c>
      <c r="C628" s="136" t="s">
        <v>26</v>
      </c>
      <c r="D628" s="131">
        <v>0</v>
      </c>
      <c r="E628" s="131">
        <v>0.38</v>
      </c>
      <c r="F628" s="145">
        <v>0.38</v>
      </c>
      <c r="G628" s="249">
        <v>1900</v>
      </c>
      <c r="H628" s="133" t="s">
        <v>29</v>
      </c>
      <c r="I628" s="245"/>
      <c r="J628" s="246"/>
      <c r="K628" s="246"/>
      <c r="L628" s="246"/>
      <c r="M628" s="246"/>
      <c r="N628" s="246"/>
      <c r="O628" s="246"/>
      <c r="P628" s="246"/>
      <c r="Q628" s="70">
        <v>80640060781</v>
      </c>
      <c r="R628" s="130">
        <v>80640060781</v>
      </c>
    </row>
    <row r="629" spans="1:18" x14ac:dyDescent="0.2">
      <c r="A629" s="130">
        <v>9</v>
      </c>
      <c r="B629" s="133" t="s">
        <v>60</v>
      </c>
      <c r="C629" s="130" t="s">
        <v>26</v>
      </c>
      <c r="D629" s="131">
        <v>0</v>
      </c>
      <c r="E629" s="131">
        <v>0.64</v>
      </c>
      <c r="F629" s="145">
        <v>0.64</v>
      </c>
      <c r="G629" s="249">
        <v>3200</v>
      </c>
      <c r="H629" s="133" t="s">
        <v>29</v>
      </c>
      <c r="I629" s="245"/>
      <c r="J629" s="246"/>
      <c r="K629" s="246"/>
      <c r="L629" s="246"/>
      <c r="M629" s="246"/>
      <c r="N629" s="246"/>
      <c r="O629" s="246"/>
      <c r="P629" s="246"/>
      <c r="Q629" s="70">
        <v>80640060750</v>
      </c>
      <c r="R629" s="130">
        <v>80640060750</v>
      </c>
    </row>
    <row r="630" spans="1:18" x14ac:dyDescent="0.2">
      <c r="A630" s="130">
        <v>10</v>
      </c>
      <c r="B630" s="133" t="s">
        <v>394</v>
      </c>
      <c r="C630" s="130" t="s">
        <v>26</v>
      </c>
      <c r="D630" s="131">
        <v>0</v>
      </c>
      <c r="E630" s="131">
        <v>0.69</v>
      </c>
      <c r="F630" s="145">
        <v>0.69</v>
      </c>
      <c r="G630" s="249">
        <v>3450</v>
      </c>
      <c r="H630" s="133" t="s">
        <v>29</v>
      </c>
      <c r="I630" s="245"/>
      <c r="J630" s="246"/>
      <c r="K630" s="246"/>
      <c r="L630" s="246"/>
      <c r="M630" s="246"/>
      <c r="N630" s="246"/>
      <c r="O630" s="246"/>
      <c r="P630" s="246"/>
      <c r="Q630" s="70">
        <v>80640060757</v>
      </c>
      <c r="R630" s="130">
        <v>80640060757</v>
      </c>
    </row>
    <row r="631" spans="1:18" x14ac:dyDescent="0.2">
      <c r="A631" s="130">
        <v>11</v>
      </c>
      <c r="B631" s="133" t="s">
        <v>395</v>
      </c>
      <c r="C631" s="130" t="s">
        <v>26</v>
      </c>
      <c r="D631" s="131">
        <v>0</v>
      </c>
      <c r="E631" s="131">
        <v>0.36</v>
      </c>
      <c r="F631" s="145">
        <v>0.36</v>
      </c>
      <c r="G631" s="249">
        <v>1620</v>
      </c>
      <c r="H631" s="133" t="s">
        <v>29</v>
      </c>
      <c r="I631" s="245"/>
      <c r="J631" s="246"/>
      <c r="K631" s="246"/>
      <c r="L631" s="246"/>
      <c r="M631" s="246"/>
      <c r="N631" s="246"/>
      <c r="O631" s="246"/>
      <c r="P631" s="246"/>
      <c r="Q631" s="70">
        <v>80640060793</v>
      </c>
      <c r="R631" s="130">
        <v>80640060793</v>
      </c>
    </row>
    <row r="632" spans="1:18" x14ac:dyDescent="0.2">
      <c r="A632" s="130">
        <v>12</v>
      </c>
      <c r="B632" s="133" t="s">
        <v>42</v>
      </c>
      <c r="C632" s="130" t="s">
        <v>26</v>
      </c>
      <c r="D632" s="131">
        <v>0</v>
      </c>
      <c r="E632" s="131">
        <v>0.84</v>
      </c>
      <c r="F632" s="145">
        <v>0.84</v>
      </c>
      <c r="G632" s="249">
        <v>4200</v>
      </c>
      <c r="H632" s="133" t="s">
        <v>29</v>
      </c>
      <c r="I632" s="245"/>
      <c r="J632" s="246"/>
      <c r="K632" s="246"/>
      <c r="L632" s="246"/>
      <c r="M632" s="246"/>
      <c r="N632" s="246"/>
      <c r="O632" s="246"/>
      <c r="P632" s="246"/>
      <c r="Q632" s="70">
        <v>80640060772</v>
      </c>
      <c r="R632" s="130">
        <v>80640060772</v>
      </c>
    </row>
    <row r="633" spans="1:18" x14ac:dyDescent="0.2">
      <c r="A633" s="128">
        <v>13</v>
      </c>
      <c r="B633" s="225" t="s">
        <v>228</v>
      </c>
      <c r="C633" s="128" t="s">
        <v>26</v>
      </c>
      <c r="D633" s="131">
        <v>0</v>
      </c>
      <c r="E633" s="131">
        <v>0.39</v>
      </c>
      <c r="F633" s="145">
        <v>0.39</v>
      </c>
      <c r="G633" s="249">
        <v>1755</v>
      </c>
      <c r="H633" s="207" t="s">
        <v>70</v>
      </c>
      <c r="I633" s="245"/>
      <c r="J633" s="246"/>
      <c r="K633" s="246"/>
      <c r="L633" s="246"/>
      <c r="M633" s="246"/>
      <c r="N633" s="246"/>
      <c r="O633" s="246"/>
      <c r="P633" s="246"/>
      <c r="Q633" s="70">
        <v>80640060775</v>
      </c>
      <c r="R633" s="130">
        <v>80640060775</v>
      </c>
    </row>
    <row r="634" spans="1:18" x14ac:dyDescent="0.2">
      <c r="A634" s="128">
        <v>14</v>
      </c>
      <c r="B634" s="230" t="s">
        <v>53</v>
      </c>
      <c r="C634" s="128" t="s">
        <v>26</v>
      </c>
      <c r="D634" s="247">
        <v>0</v>
      </c>
      <c r="E634" s="131">
        <v>0.4</v>
      </c>
      <c r="F634" s="145">
        <v>0.4</v>
      </c>
      <c r="G634" s="249">
        <v>1800</v>
      </c>
      <c r="H634" s="133" t="s">
        <v>29</v>
      </c>
      <c r="I634" s="245"/>
      <c r="J634" s="246"/>
      <c r="K634" s="246"/>
      <c r="L634" s="246"/>
      <c r="M634" s="246"/>
      <c r="N634" s="246"/>
      <c r="O634" s="246"/>
      <c r="P634" s="246"/>
      <c r="Q634" s="70">
        <v>80640060794</v>
      </c>
      <c r="R634" s="130">
        <v>80640060794</v>
      </c>
    </row>
    <row r="635" spans="1:18" x14ac:dyDescent="0.2">
      <c r="A635" s="134"/>
      <c r="B635" s="236"/>
      <c r="C635" s="128" t="s">
        <v>26</v>
      </c>
      <c r="D635" s="247">
        <v>0.4</v>
      </c>
      <c r="E635" s="131">
        <v>0.49</v>
      </c>
      <c r="F635" s="145">
        <v>0.09</v>
      </c>
      <c r="G635" s="249">
        <v>405</v>
      </c>
      <c r="H635" s="133" t="s">
        <v>27</v>
      </c>
      <c r="I635" s="245"/>
      <c r="J635" s="246"/>
      <c r="K635" s="246"/>
      <c r="L635" s="246"/>
      <c r="M635" s="246"/>
      <c r="N635" s="246"/>
      <c r="O635" s="246"/>
      <c r="P635" s="246"/>
      <c r="Q635" s="70">
        <v>80640060794</v>
      </c>
      <c r="R635" s="130">
        <v>80640060794</v>
      </c>
    </row>
    <row r="636" spans="1:18" x14ac:dyDescent="0.2">
      <c r="A636" s="128">
        <v>15</v>
      </c>
      <c r="B636" s="230" t="s">
        <v>396</v>
      </c>
      <c r="C636" s="128" t="s">
        <v>26</v>
      </c>
      <c r="D636" s="247">
        <v>0</v>
      </c>
      <c r="E636" s="131">
        <v>0.47</v>
      </c>
      <c r="F636" s="145">
        <v>0.47</v>
      </c>
      <c r="G636" s="249">
        <v>2115</v>
      </c>
      <c r="H636" s="133" t="s">
        <v>29</v>
      </c>
      <c r="I636" s="245"/>
      <c r="J636" s="246"/>
      <c r="K636" s="246"/>
      <c r="L636" s="246"/>
      <c r="M636" s="246"/>
      <c r="N636" s="246"/>
      <c r="O636" s="246"/>
      <c r="P636" s="246"/>
      <c r="Q636" s="70">
        <v>80640060790</v>
      </c>
      <c r="R636" s="130">
        <v>80640060790</v>
      </c>
    </row>
    <row r="637" spans="1:18" x14ac:dyDescent="0.2">
      <c r="A637" s="136"/>
      <c r="B637" s="234"/>
      <c r="C637" s="128" t="s">
        <v>26</v>
      </c>
      <c r="D637" s="247">
        <v>0.47</v>
      </c>
      <c r="E637" s="131">
        <v>0.56999999999999995</v>
      </c>
      <c r="F637" s="145">
        <v>0.1</v>
      </c>
      <c r="G637" s="249">
        <v>450</v>
      </c>
      <c r="H637" s="133" t="s">
        <v>27</v>
      </c>
      <c r="I637" s="245"/>
      <c r="J637" s="246"/>
      <c r="K637" s="246"/>
      <c r="L637" s="246"/>
      <c r="M637" s="246"/>
      <c r="N637" s="246"/>
      <c r="O637" s="246"/>
      <c r="P637" s="246"/>
      <c r="Q637" s="70">
        <v>80640060790</v>
      </c>
      <c r="R637" s="130">
        <v>80640060790</v>
      </c>
    </row>
    <row r="638" spans="1:18" x14ac:dyDescent="0.2">
      <c r="A638" s="136">
        <v>16</v>
      </c>
      <c r="B638" s="235" t="s">
        <v>397</v>
      </c>
      <c r="C638" s="128" t="s">
        <v>26</v>
      </c>
      <c r="D638" s="131">
        <v>0</v>
      </c>
      <c r="E638" s="131">
        <v>0.1</v>
      </c>
      <c r="F638" s="145">
        <v>0.1</v>
      </c>
      <c r="G638" s="249">
        <v>500</v>
      </c>
      <c r="H638" s="133" t="s">
        <v>27</v>
      </c>
      <c r="I638" s="245"/>
      <c r="J638" s="246"/>
      <c r="K638" s="246"/>
      <c r="L638" s="246"/>
      <c r="M638" s="246"/>
      <c r="N638" s="246"/>
      <c r="O638" s="246"/>
      <c r="P638" s="246"/>
      <c r="Q638" s="70">
        <v>80640060976</v>
      </c>
      <c r="R638" s="130">
        <v>80640060976</v>
      </c>
    </row>
    <row r="639" spans="1:18" x14ac:dyDescent="0.2">
      <c r="A639" s="128">
        <v>17</v>
      </c>
      <c r="B639" s="225" t="s">
        <v>398</v>
      </c>
      <c r="C639" s="128" t="s">
        <v>26</v>
      </c>
      <c r="D639" s="131">
        <v>0</v>
      </c>
      <c r="E639" s="131">
        <v>0.14000000000000001</v>
      </c>
      <c r="F639" s="145">
        <v>0.14000000000000001</v>
      </c>
      <c r="G639" s="249">
        <v>700</v>
      </c>
      <c r="H639" s="207" t="s">
        <v>70</v>
      </c>
      <c r="I639" s="245"/>
      <c r="J639" s="246"/>
      <c r="K639" s="246"/>
      <c r="L639" s="246"/>
      <c r="M639" s="246"/>
      <c r="N639" s="246"/>
      <c r="O639" s="246"/>
      <c r="P639" s="246"/>
      <c r="Q639" s="70">
        <v>80640060767</v>
      </c>
      <c r="R639" s="130">
        <v>80640060767</v>
      </c>
    </row>
    <row r="640" spans="1:18" x14ac:dyDescent="0.2">
      <c r="A640" s="128">
        <v>18</v>
      </c>
      <c r="B640" s="230" t="s">
        <v>75</v>
      </c>
      <c r="C640" s="128" t="s">
        <v>26</v>
      </c>
      <c r="D640" s="247">
        <v>0</v>
      </c>
      <c r="E640" s="131">
        <v>0.12</v>
      </c>
      <c r="F640" s="145">
        <v>0.12</v>
      </c>
      <c r="G640" s="249">
        <v>600</v>
      </c>
      <c r="H640" s="133" t="s">
        <v>29</v>
      </c>
      <c r="I640" s="245"/>
      <c r="J640" s="246"/>
      <c r="K640" s="246"/>
      <c r="L640" s="246"/>
      <c r="M640" s="246"/>
      <c r="N640" s="246"/>
      <c r="O640" s="246"/>
      <c r="P640" s="246"/>
      <c r="Q640" s="70">
        <v>80640060773</v>
      </c>
      <c r="R640" s="130">
        <v>80640060773</v>
      </c>
    </row>
    <row r="641" spans="1:18" x14ac:dyDescent="0.2">
      <c r="A641" s="136"/>
      <c r="B641" s="234"/>
      <c r="C641" s="128" t="s">
        <v>26</v>
      </c>
      <c r="D641" s="247">
        <v>0.13200000000000001</v>
      </c>
      <c r="E641" s="131">
        <v>0.182</v>
      </c>
      <c r="F641" s="145">
        <v>0.05</v>
      </c>
      <c r="G641" s="249">
        <v>250</v>
      </c>
      <c r="H641" s="207" t="s">
        <v>70</v>
      </c>
      <c r="I641" s="245"/>
      <c r="J641" s="246"/>
      <c r="K641" s="246"/>
      <c r="L641" s="246"/>
      <c r="M641" s="246"/>
      <c r="N641" s="246"/>
      <c r="O641" s="246"/>
      <c r="P641" s="246"/>
      <c r="Q641" s="70">
        <v>80640060773</v>
      </c>
      <c r="R641" s="130">
        <v>80640060774</v>
      </c>
    </row>
    <row r="642" spans="1:18" x14ac:dyDescent="0.2">
      <c r="A642" s="136">
        <v>19</v>
      </c>
      <c r="B642" s="235" t="s">
        <v>95</v>
      </c>
      <c r="C642" s="130" t="s">
        <v>26</v>
      </c>
      <c r="D642" s="131">
        <v>0</v>
      </c>
      <c r="E642" s="131">
        <v>0.1</v>
      </c>
      <c r="F642" s="145">
        <v>0.1</v>
      </c>
      <c r="G642" s="249">
        <v>450</v>
      </c>
      <c r="H642" s="207" t="s">
        <v>70</v>
      </c>
      <c r="I642" s="245"/>
      <c r="J642" s="246"/>
      <c r="K642" s="246"/>
      <c r="L642" s="246"/>
      <c r="M642" s="246"/>
      <c r="N642" s="246"/>
      <c r="O642" s="246"/>
      <c r="P642" s="246"/>
      <c r="Q642" s="70">
        <v>80640060815</v>
      </c>
      <c r="R642" s="130">
        <v>80640060863</v>
      </c>
    </row>
    <row r="643" spans="1:18" x14ac:dyDescent="0.2">
      <c r="A643" s="130">
        <v>20</v>
      </c>
      <c r="B643" s="133" t="s">
        <v>108</v>
      </c>
      <c r="C643" s="130" t="s">
        <v>26</v>
      </c>
      <c r="D643" s="131">
        <v>0</v>
      </c>
      <c r="E643" s="131">
        <v>0.45</v>
      </c>
      <c r="F643" s="145">
        <v>0.45</v>
      </c>
      <c r="G643" s="249">
        <v>2250</v>
      </c>
      <c r="H643" s="133" t="s">
        <v>29</v>
      </c>
      <c r="I643" s="245"/>
      <c r="J643" s="246"/>
      <c r="K643" s="246"/>
      <c r="L643" s="246"/>
      <c r="M643" s="246"/>
      <c r="N643" s="246"/>
      <c r="O643" s="246"/>
      <c r="P643" s="246"/>
      <c r="Q643" s="70">
        <v>80640060779</v>
      </c>
      <c r="R643" s="130">
        <v>80640060779</v>
      </c>
    </row>
    <row r="644" spans="1:18" x14ac:dyDescent="0.2">
      <c r="A644" s="130">
        <v>21</v>
      </c>
      <c r="B644" s="133" t="s">
        <v>242</v>
      </c>
      <c r="C644" s="130" t="s">
        <v>26</v>
      </c>
      <c r="D644" s="131">
        <v>0</v>
      </c>
      <c r="E644" s="131">
        <v>0.4</v>
      </c>
      <c r="F644" s="145">
        <v>0.4</v>
      </c>
      <c r="G644" s="249">
        <v>2000</v>
      </c>
      <c r="H644" s="133" t="s">
        <v>29</v>
      </c>
      <c r="I644" s="245"/>
      <c r="J644" s="246"/>
      <c r="K644" s="246"/>
      <c r="L644" s="246"/>
      <c r="M644" s="246"/>
      <c r="N644" s="246"/>
      <c r="O644" s="246"/>
      <c r="P644" s="246"/>
      <c r="Q644" s="70">
        <v>80640060777</v>
      </c>
      <c r="R644" s="130">
        <v>80640060777</v>
      </c>
    </row>
    <row r="645" spans="1:18" x14ac:dyDescent="0.2">
      <c r="A645" s="130">
        <v>22</v>
      </c>
      <c r="B645" s="133" t="s">
        <v>119</v>
      </c>
      <c r="C645" s="130" t="s">
        <v>26</v>
      </c>
      <c r="D645" s="131">
        <v>0</v>
      </c>
      <c r="E645" s="131">
        <v>0.1</v>
      </c>
      <c r="F645" s="145">
        <v>0.1</v>
      </c>
      <c r="G645" s="249">
        <v>500</v>
      </c>
      <c r="H645" s="133" t="s">
        <v>27</v>
      </c>
      <c r="I645" s="245"/>
      <c r="J645" s="246"/>
      <c r="K645" s="246"/>
      <c r="L645" s="246"/>
      <c r="M645" s="246"/>
      <c r="N645" s="246"/>
      <c r="O645" s="246"/>
      <c r="P645" s="246"/>
      <c r="Q645" s="70">
        <v>80640060828</v>
      </c>
      <c r="R645" s="130">
        <v>80640060828</v>
      </c>
    </row>
    <row r="646" spans="1:18" x14ac:dyDescent="0.2">
      <c r="A646" s="130">
        <v>23</v>
      </c>
      <c r="B646" s="133" t="s">
        <v>263</v>
      </c>
      <c r="C646" s="130" t="s">
        <v>26</v>
      </c>
      <c r="D646" s="131">
        <v>0</v>
      </c>
      <c r="E646" s="131">
        <v>0.31</v>
      </c>
      <c r="F646" s="145">
        <v>0.31</v>
      </c>
      <c r="G646" s="249">
        <v>1550</v>
      </c>
      <c r="H646" s="207" t="s">
        <v>70</v>
      </c>
      <c r="I646" s="245"/>
      <c r="J646" s="246"/>
      <c r="K646" s="246"/>
      <c r="L646" s="246"/>
      <c r="M646" s="246"/>
      <c r="N646" s="246"/>
      <c r="O646" s="246"/>
      <c r="P646" s="246"/>
      <c r="Q646" s="70">
        <v>80640060786</v>
      </c>
      <c r="R646" s="130">
        <v>80640060786</v>
      </c>
    </row>
    <row r="647" spans="1:18" x14ac:dyDescent="0.2">
      <c r="A647" s="130">
        <v>24</v>
      </c>
      <c r="B647" s="133" t="s">
        <v>133</v>
      </c>
      <c r="C647" s="130" t="s">
        <v>26</v>
      </c>
      <c r="D647" s="131">
        <v>0</v>
      </c>
      <c r="E647" s="131">
        <v>0.2</v>
      </c>
      <c r="F647" s="145">
        <v>0.2</v>
      </c>
      <c r="G647" s="249">
        <v>1000</v>
      </c>
      <c r="H647" s="207" t="s">
        <v>70</v>
      </c>
      <c r="I647" s="245"/>
      <c r="J647" s="246"/>
      <c r="K647" s="246"/>
      <c r="L647" s="246"/>
      <c r="M647" s="246"/>
      <c r="N647" s="246"/>
      <c r="O647" s="246"/>
      <c r="P647" s="246"/>
      <c r="Q647" s="70">
        <v>80640060787</v>
      </c>
      <c r="R647" s="130">
        <v>80640060787</v>
      </c>
    </row>
    <row r="648" spans="1:18" x14ac:dyDescent="0.2">
      <c r="A648" s="130">
        <v>25</v>
      </c>
      <c r="B648" s="133" t="s">
        <v>399</v>
      </c>
      <c r="C648" s="130" t="s">
        <v>26</v>
      </c>
      <c r="D648" s="131">
        <v>0</v>
      </c>
      <c r="E648" s="131">
        <v>0.31</v>
      </c>
      <c r="F648" s="145">
        <v>0.31</v>
      </c>
      <c r="G648" s="249">
        <v>1550</v>
      </c>
      <c r="H648" s="133" t="s">
        <v>29</v>
      </c>
      <c r="I648" s="245"/>
      <c r="J648" s="246"/>
      <c r="K648" s="246"/>
      <c r="L648" s="246"/>
      <c r="M648" s="246"/>
      <c r="N648" s="246"/>
      <c r="O648" s="246"/>
      <c r="P648" s="246"/>
      <c r="Q648" s="70">
        <v>80640060789</v>
      </c>
      <c r="R648" s="130">
        <v>80640060789</v>
      </c>
    </row>
    <row r="649" spans="1:18" x14ac:dyDescent="0.2">
      <c r="A649" s="130">
        <v>26</v>
      </c>
      <c r="B649" s="133" t="s">
        <v>400</v>
      </c>
      <c r="C649" s="130" t="s">
        <v>26</v>
      </c>
      <c r="D649" s="131">
        <v>0</v>
      </c>
      <c r="E649" s="131">
        <v>0.35</v>
      </c>
      <c r="F649" s="145">
        <v>0.35</v>
      </c>
      <c r="G649" s="249">
        <v>1750</v>
      </c>
      <c r="H649" s="133" t="s">
        <v>29</v>
      </c>
      <c r="I649" s="245"/>
      <c r="J649" s="246"/>
      <c r="K649" s="246"/>
      <c r="L649" s="246"/>
      <c r="M649" s="246"/>
      <c r="N649" s="246"/>
      <c r="O649" s="246"/>
      <c r="P649" s="246"/>
      <c r="Q649" s="70">
        <v>80640060791</v>
      </c>
      <c r="R649" s="130">
        <v>80640060791</v>
      </c>
    </row>
    <row r="650" spans="1:18" x14ac:dyDescent="0.2">
      <c r="A650" s="130">
        <v>27</v>
      </c>
      <c r="B650" s="133" t="s">
        <v>143</v>
      </c>
      <c r="C650" s="130" t="s">
        <v>26</v>
      </c>
      <c r="D650" s="131">
        <v>0</v>
      </c>
      <c r="E650" s="131">
        <v>0.16</v>
      </c>
      <c r="F650" s="145">
        <v>0.16</v>
      </c>
      <c r="G650" s="249">
        <v>800</v>
      </c>
      <c r="H650" s="133" t="s">
        <v>29</v>
      </c>
      <c r="I650" s="245"/>
      <c r="J650" s="246"/>
      <c r="K650" s="246"/>
      <c r="L650" s="246"/>
      <c r="M650" s="246"/>
      <c r="N650" s="246"/>
      <c r="O650" s="246"/>
      <c r="P650" s="246"/>
      <c r="Q650" s="70">
        <v>80640060759</v>
      </c>
      <c r="R650" s="130">
        <v>80640060759</v>
      </c>
    </row>
    <row r="651" spans="1:18" x14ac:dyDescent="0.2">
      <c r="A651" s="128">
        <v>28</v>
      </c>
      <c r="B651" s="225" t="s">
        <v>293</v>
      </c>
      <c r="C651" s="128" t="s">
        <v>26</v>
      </c>
      <c r="D651" s="131">
        <v>0</v>
      </c>
      <c r="E651" s="131">
        <v>0.35</v>
      </c>
      <c r="F651" s="145">
        <v>0.35</v>
      </c>
      <c r="G651" s="249">
        <v>1750</v>
      </c>
      <c r="H651" s="133" t="s">
        <v>29</v>
      </c>
      <c r="I651" s="245"/>
      <c r="J651" s="246"/>
      <c r="K651" s="246"/>
      <c r="L651" s="246"/>
      <c r="M651" s="246"/>
      <c r="N651" s="246"/>
      <c r="O651" s="246"/>
      <c r="P651" s="246"/>
      <c r="Q651" s="70">
        <v>80640060792</v>
      </c>
      <c r="R651" s="130">
        <v>80640060792</v>
      </c>
    </row>
    <row r="652" spans="1:18" x14ac:dyDescent="0.2">
      <c r="A652" s="128">
        <v>29</v>
      </c>
      <c r="B652" s="230" t="s">
        <v>152</v>
      </c>
      <c r="C652" s="128" t="s">
        <v>26</v>
      </c>
      <c r="D652" s="247">
        <v>0</v>
      </c>
      <c r="E652" s="131">
        <v>0.109</v>
      </c>
      <c r="F652" s="145">
        <v>0.109</v>
      </c>
      <c r="G652" s="249">
        <v>545</v>
      </c>
      <c r="H652" s="133" t="s">
        <v>29</v>
      </c>
      <c r="I652" s="245"/>
      <c r="J652" s="246"/>
      <c r="K652" s="246"/>
      <c r="L652" s="246"/>
      <c r="M652" s="246"/>
      <c r="N652" s="246"/>
      <c r="O652" s="246"/>
      <c r="P652" s="246"/>
      <c r="Q652" s="70">
        <v>80640060763</v>
      </c>
      <c r="R652" s="130">
        <v>80640060862</v>
      </c>
    </row>
    <row r="653" spans="1:18" x14ac:dyDescent="0.2">
      <c r="A653" s="134"/>
      <c r="B653" s="236"/>
      <c r="C653" s="128" t="s">
        <v>26</v>
      </c>
      <c r="D653" s="247">
        <v>0.12</v>
      </c>
      <c r="E653" s="131">
        <v>0.35299999999999998</v>
      </c>
      <c r="F653" s="145">
        <v>0.23300000000000001</v>
      </c>
      <c r="G653" s="249">
        <v>1165</v>
      </c>
      <c r="H653" s="133" t="s">
        <v>29</v>
      </c>
      <c r="I653" s="245"/>
      <c r="J653" s="246"/>
      <c r="K653" s="246"/>
      <c r="L653" s="246"/>
      <c r="M653" s="246"/>
      <c r="N653" s="246"/>
      <c r="O653" s="246"/>
      <c r="P653" s="246"/>
      <c r="Q653" s="70">
        <v>80640060763</v>
      </c>
      <c r="R653" s="130">
        <v>80640060763</v>
      </c>
    </row>
    <row r="654" spans="1:18" x14ac:dyDescent="0.2">
      <c r="A654" s="134"/>
      <c r="B654" s="236"/>
      <c r="C654" s="128" t="s">
        <v>26</v>
      </c>
      <c r="D654" s="247">
        <v>0.36099999999999999</v>
      </c>
      <c r="E654" s="131">
        <v>0.42299999999999999</v>
      </c>
      <c r="F654" s="145">
        <v>6.2E-2</v>
      </c>
      <c r="G654" s="249">
        <v>310</v>
      </c>
      <c r="H654" s="207" t="s">
        <v>70</v>
      </c>
      <c r="I654" s="245"/>
      <c r="J654" s="246"/>
      <c r="K654" s="246"/>
      <c r="L654" s="246"/>
      <c r="M654" s="246"/>
      <c r="N654" s="246"/>
      <c r="O654" s="246"/>
      <c r="P654" s="246"/>
      <c r="Q654" s="70">
        <v>80640060763</v>
      </c>
      <c r="R654" s="130">
        <v>80640060764</v>
      </c>
    </row>
    <row r="655" spans="1:18" x14ac:dyDescent="0.2">
      <c r="A655" s="136"/>
      <c r="B655" s="234"/>
      <c r="C655" s="128" t="s">
        <v>26</v>
      </c>
      <c r="D655" s="247">
        <v>0</v>
      </c>
      <c r="E655" s="131">
        <v>0.33100000000000002</v>
      </c>
      <c r="F655" s="145">
        <v>0.33100000000000002</v>
      </c>
      <c r="G655" s="249">
        <v>1655</v>
      </c>
      <c r="H655" s="207" t="s">
        <v>70</v>
      </c>
      <c r="I655" s="245"/>
      <c r="J655" s="246"/>
      <c r="K655" s="246"/>
      <c r="L655" s="246"/>
      <c r="M655" s="246"/>
      <c r="N655" s="246"/>
      <c r="O655" s="246"/>
      <c r="P655" s="246"/>
      <c r="Q655" s="70">
        <v>80640060763</v>
      </c>
      <c r="R655" s="130">
        <v>80640060771</v>
      </c>
    </row>
    <row r="656" spans="1:18" x14ac:dyDescent="0.2">
      <c r="A656" s="136">
        <v>30</v>
      </c>
      <c r="B656" s="235" t="s">
        <v>165</v>
      </c>
      <c r="C656" s="128" t="s">
        <v>26</v>
      </c>
      <c r="D656" s="131">
        <v>0</v>
      </c>
      <c r="E656" s="131">
        <v>0.48</v>
      </c>
      <c r="F656" s="145">
        <v>0.48</v>
      </c>
      <c r="G656" s="249">
        <v>2400</v>
      </c>
      <c r="H656" s="133" t="s">
        <v>29</v>
      </c>
      <c r="I656" s="245"/>
      <c r="J656" s="246"/>
      <c r="K656" s="246"/>
      <c r="L656" s="246"/>
      <c r="M656" s="246"/>
      <c r="N656" s="246"/>
      <c r="O656" s="246"/>
      <c r="P656" s="246"/>
      <c r="Q656" s="70">
        <v>80640060778</v>
      </c>
      <c r="R656" s="130">
        <v>80640060778</v>
      </c>
    </row>
    <row r="657" spans="1:18" x14ac:dyDescent="0.2">
      <c r="A657" s="128">
        <v>31</v>
      </c>
      <c r="B657" s="225" t="s">
        <v>266</v>
      </c>
      <c r="C657" s="128" t="s">
        <v>26</v>
      </c>
      <c r="D657" s="131">
        <v>0</v>
      </c>
      <c r="E657" s="131">
        <v>0.62</v>
      </c>
      <c r="F657" s="145">
        <v>0.62</v>
      </c>
      <c r="G657" s="249">
        <v>3100</v>
      </c>
      <c r="H657" s="133" t="s">
        <v>29</v>
      </c>
      <c r="I657" s="245"/>
      <c r="J657" s="246"/>
      <c r="K657" s="246"/>
      <c r="L657" s="246"/>
      <c r="M657" s="246"/>
      <c r="N657" s="246"/>
      <c r="O657" s="246"/>
      <c r="P657" s="246"/>
      <c r="Q657" s="70">
        <v>80640060776</v>
      </c>
      <c r="R657" s="130">
        <v>80640060776</v>
      </c>
    </row>
    <row r="658" spans="1:18" x14ac:dyDescent="0.2">
      <c r="A658" s="128">
        <v>32</v>
      </c>
      <c r="B658" s="230" t="s">
        <v>401</v>
      </c>
      <c r="C658" s="128" t="s">
        <v>26</v>
      </c>
      <c r="D658" s="247">
        <v>0</v>
      </c>
      <c r="E658" s="131">
        <v>0.11</v>
      </c>
      <c r="F658" s="145">
        <v>0.11</v>
      </c>
      <c r="G658" s="249">
        <v>550</v>
      </c>
      <c r="H658" s="133" t="s">
        <v>29</v>
      </c>
      <c r="I658" s="245"/>
      <c r="J658" s="246"/>
      <c r="K658" s="246"/>
      <c r="L658" s="246"/>
      <c r="M658" s="246"/>
      <c r="N658" s="246"/>
      <c r="O658" s="246"/>
      <c r="P658" s="246"/>
      <c r="Q658" s="70">
        <v>80640060765</v>
      </c>
      <c r="R658" s="130">
        <v>80640060765</v>
      </c>
    </row>
    <row r="659" spans="1:18" x14ac:dyDescent="0.2">
      <c r="A659" s="136"/>
      <c r="B659" s="234"/>
      <c r="C659" s="128" t="s">
        <v>26</v>
      </c>
      <c r="D659" s="247">
        <v>0.124</v>
      </c>
      <c r="E659" s="131">
        <v>0.26600000000000001</v>
      </c>
      <c r="F659" s="145">
        <v>0.14199999999999999</v>
      </c>
      <c r="G659" s="249">
        <v>710</v>
      </c>
      <c r="H659" s="133" t="s">
        <v>29</v>
      </c>
      <c r="I659" s="245"/>
      <c r="J659" s="246"/>
      <c r="K659" s="246"/>
      <c r="L659" s="246"/>
      <c r="M659" s="246"/>
      <c r="N659" s="246"/>
      <c r="O659" s="246"/>
      <c r="P659" s="246"/>
      <c r="Q659" s="70">
        <v>80640060765</v>
      </c>
      <c r="R659" s="130">
        <v>80640060766</v>
      </c>
    </row>
    <row r="660" spans="1:18" x14ac:dyDescent="0.2">
      <c r="A660" s="134">
        <v>33</v>
      </c>
      <c r="B660" s="233" t="s">
        <v>198</v>
      </c>
      <c r="C660" s="128" t="s">
        <v>26</v>
      </c>
      <c r="D660" s="131">
        <v>0</v>
      </c>
      <c r="E660" s="131">
        <v>0.08</v>
      </c>
      <c r="F660" s="145">
        <v>0.08</v>
      </c>
      <c r="G660" s="249">
        <v>400</v>
      </c>
      <c r="H660" s="133" t="s">
        <v>27</v>
      </c>
      <c r="I660" s="245"/>
      <c r="J660" s="246"/>
      <c r="K660" s="246"/>
      <c r="L660" s="246"/>
      <c r="M660" s="246"/>
      <c r="N660" s="246"/>
      <c r="O660" s="246"/>
      <c r="P660" s="246"/>
      <c r="Q660" s="70">
        <v>80640060068</v>
      </c>
      <c r="R660" s="130">
        <v>80640060515</v>
      </c>
    </row>
    <row r="661" spans="1:18" x14ac:dyDescent="0.2">
      <c r="A661" s="128">
        <v>34</v>
      </c>
      <c r="B661" s="230" t="s">
        <v>270</v>
      </c>
      <c r="C661" s="128" t="s">
        <v>26</v>
      </c>
      <c r="D661" s="247">
        <v>0</v>
      </c>
      <c r="E661" s="131">
        <v>0.113</v>
      </c>
      <c r="F661" s="145">
        <v>0.113</v>
      </c>
      <c r="G661" s="249">
        <v>565</v>
      </c>
      <c r="H661" s="133" t="s">
        <v>29</v>
      </c>
      <c r="I661" s="245"/>
      <c r="J661" s="246"/>
      <c r="K661" s="246"/>
      <c r="L661" s="246"/>
      <c r="M661" s="246"/>
      <c r="N661" s="246"/>
      <c r="O661" s="246"/>
      <c r="P661" s="246"/>
      <c r="Q661" s="70">
        <v>80640060761</v>
      </c>
      <c r="R661" s="130">
        <v>80640060762</v>
      </c>
    </row>
    <row r="662" spans="1:18" x14ac:dyDescent="0.2">
      <c r="A662" s="136"/>
      <c r="B662" s="234"/>
      <c r="C662" s="128" t="s">
        <v>26</v>
      </c>
      <c r="D662" s="247">
        <v>0.122</v>
      </c>
      <c r="E662" s="131">
        <v>0.29699999999999999</v>
      </c>
      <c r="F662" s="145">
        <v>0.17499999999999999</v>
      </c>
      <c r="G662" s="249">
        <v>875</v>
      </c>
      <c r="H662" s="133" t="s">
        <v>29</v>
      </c>
      <c r="I662" s="245"/>
      <c r="J662" s="246"/>
      <c r="K662" s="246"/>
      <c r="L662" s="246"/>
      <c r="M662" s="246"/>
      <c r="N662" s="246"/>
      <c r="O662" s="246"/>
      <c r="P662" s="246"/>
      <c r="Q662" s="70">
        <v>80640060761</v>
      </c>
      <c r="R662" s="130">
        <v>80640060761</v>
      </c>
    </row>
    <row r="663" spans="1:18" x14ac:dyDescent="0.2">
      <c r="A663" s="134">
        <v>35</v>
      </c>
      <c r="B663" s="233" t="s">
        <v>193</v>
      </c>
      <c r="C663" s="128" t="s">
        <v>26</v>
      </c>
      <c r="D663" s="131">
        <v>0</v>
      </c>
      <c r="E663" s="131">
        <v>0.08</v>
      </c>
      <c r="F663" s="145">
        <v>0.08</v>
      </c>
      <c r="G663" s="249">
        <v>400</v>
      </c>
      <c r="H663" s="207" t="s">
        <v>70</v>
      </c>
      <c r="I663" s="245"/>
      <c r="J663" s="246"/>
      <c r="K663" s="246"/>
      <c r="L663" s="246"/>
      <c r="M663" s="246"/>
      <c r="N663" s="246"/>
      <c r="O663" s="246"/>
      <c r="P663" s="246"/>
      <c r="Q663" s="70">
        <v>80640060788</v>
      </c>
      <c r="R663" s="130">
        <v>80640060788</v>
      </c>
    </row>
    <row r="664" spans="1:18" x14ac:dyDescent="0.2">
      <c r="A664" s="128">
        <v>36</v>
      </c>
      <c r="B664" s="230" t="s">
        <v>264</v>
      </c>
      <c r="C664" s="128" t="s">
        <v>26</v>
      </c>
      <c r="D664" s="247">
        <v>0.03</v>
      </c>
      <c r="E664" s="131">
        <v>0.21</v>
      </c>
      <c r="F664" s="145">
        <v>0.18</v>
      </c>
      <c r="G664" s="249">
        <v>630</v>
      </c>
      <c r="H664" s="133" t="s">
        <v>27</v>
      </c>
      <c r="I664" s="245"/>
      <c r="J664" s="246"/>
      <c r="K664" s="246"/>
      <c r="L664" s="246"/>
      <c r="M664" s="246"/>
      <c r="N664" s="246"/>
      <c r="O664" s="246"/>
      <c r="P664" s="246"/>
      <c r="Q664" s="70">
        <v>80840060196</v>
      </c>
      <c r="R664" s="130">
        <v>80640060196</v>
      </c>
    </row>
    <row r="665" spans="1:18" x14ac:dyDescent="0.2">
      <c r="A665" s="134"/>
      <c r="B665" s="236"/>
      <c r="C665" s="128" t="s">
        <v>26</v>
      </c>
      <c r="D665" s="247">
        <v>0.21</v>
      </c>
      <c r="E665" s="131">
        <v>0.53</v>
      </c>
      <c r="F665" s="145">
        <v>0.32</v>
      </c>
      <c r="G665" s="249">
        <v>1600</v>
      </c>
      <c r="H665" s="133" t="s">
        <v>27</v>
      </c>
      <c r="I665" s="245"/>
      <c r="J665" s="246"/>
      <c r="K665" s="246"/>
      <c r="L665" s="246"/>
      <c r="M665" s="246"/>
      <c r="N665" s="246"/>
      <c r="O665" s="246"/>
      <c r="P665" s="246"/>
      <c r="Q665" s="70">
        <v>80640060830</v>
      </c>
      <c r="R665" s="130">
        <v>80640060830</v>
      </c>
    </row>
    <row r="666" spans="1:18" x14ac:dyDescent="0.2">
      <c r="A666" s="128">
        <v>37</v>
      </c>
      <c r="B666" s="230" t="s">
        <v>402</v>
      </c>
      <c r="C666" s="128" t="s">
        <v>26</v>
      </c>
      <c r="D666" s="247">
        <v>0</v>
      </c>
      <c r="E666" s="131">
        <v>0.254</v>
      </c>
      <c r="F666" s="145">
        <v>0.254</v>
      </c>
      <c r="G666" s="249">
        <v>1143</v>
      </c>
      <c r="H666" s="207" t="s">
        <v>70</v>
      </c>
      <c r="I666" s="245"/>
      <c r="J666" s="246"/>
      <c r="K666" s="246"/>
      <c r="L666" s="246"/>
      <c r="M666" s="246"/>
      <c r="N666" s="246"/>
      <c r="O666" s="246"/>
      <c r="P666" s="246"/>
      <c r="Q666" s="70">
        <v>80640060831</v>
      </c>
      <c r="R666" s="130">
        <v>80640060831</v>
      </c>
    </row>
    <row r="667" spans="1:18" x14ac:dyDescent="0.2">
      <c r="A667" s="136"/>
      <c r="B667" s="234"/>
      <c r="C667" s="128" t="s">
        <v>26</v>
      </c>
      <c r="D667" s="247">
        <v>0.26200000000000001</v>
      </c>
      <c r="E667" s="131">
        <v>0.38900000000000001</v>
      </c>
      <c r="F667" s="145">
        <v>0.127</v>
      </c>
      <c r="G667" s="249">
        <v>572</v>
      </c>
      <c r="H667" s="207" t="s">
        <v>70</v>
      </c>
      <c r="I667" s="245"/>
      <c r="J667" s="246"/>
      <c r="K667" s="246"/>
      <c r="L667" s="246"/>
      <c r="M667" s="246"/>
      <c r="N667" s="246"/>
      <c r="O667" s="246"/>
      <c r="P667" s="246"/>
      <c r="Q667" s="70">
        <v>80640060831</v>
      </c>
      <c r="R667" s="130">
        <v>80640060815</v>
      </c>
    </row>
    <row r="668" spans="1:18" x14ac:dyDescent="0.2">
      <c r="A668" s="136">
        <v>38</v>
      </c>
      <c r="B668" s="235" t="s">
        <v>403</v>
      </c>
      <c r="C668" s="128" t="s">
        <v>26</v>
      </c>
      <c r="D668" s="131">
        <v>0</v>
      </c>
      <c r="E668" s="131">
        <v>0.55000000000000004</v>
      </c>
      <c r="F668" s="145">
        <v>0.55000000000000004</v>
      </c>
      <c r="G668" s="249">
        <v>2750</v>
      </c>
      <c r="H668" s="133" t="s">
        <v>27</v>
      </c>
      <c r="I668" s="245"/>
      <c r="J668" s="246"/>
      <c r="K668" s="246"/>
      <c r="L668" s="246"/>
      <c r="M668" s="246"/>
      <c r="N668" s="246"/>
      <c r="O668" s="246"/>
      <c r="P668" s="246"/>
      <c r="Q668" s="70">
        <v>80640060832</v>
      </c>
      <c r="R668" s="130">
        <v>80640060832</v>
      </c>
    </row>
    <row r="669" spans="1:18" x14ac:dyDescent="0.2">
      <c r="A669" s="128">
        <v>39</v>
      </c>
      <c r="B669" s="225" t="s">
        <v>404</v>
      </c>
      <c r="C669" s="128" t="s">
        <v>26</v>
      </c>
      <c r="D669" s="131">
        <v>0</v>
      </c>
      <c r="E669" s="131">
        <v>0.22</v>
      </c>
      <c r="F669" s="145">
        <v>0.22</v>
      </c>
      <c r="G669" s="249">
        <v>1100</v>
      </c>
      <c r="H669" s="133" t="s">
        <v>29</v>
      </c>
      <c r="I669" s="245"/>
      <c r="J669" s="246"/>
      <c r="K669" s="246"/>
      <c r="L669" s="246"/>
      <c r="M669" s="246"/>
      <c r="N669" s="246"/>
      <c r="O669" s="246"/>
      <c r="P669" s="246"/>
      <c r="Q669" s="70">
        <v>80640060257</v>
      </c>
      <c r="R669" s="130">
        <v>80640060257</v>
      </c>
    </row>
    <row r="670" spans="1:18" x14ac:dyDescent="0.2">
      <c r="A670" s="128">
        <v>40</v>
      </c>
      <c r="B670" s="230" t="s">
        <v>110</v>
      </c>
      <c r="C670" s="128" t="s">
        <v>26</v>
      </c>
      <c r="D670" s="247">
        <v>0</v>
      </c>
      <c r="E670" s="131">
        <v>0.13100000000000001</v>
      </c>
      <c r="F670" s="145">
        <v>0.13100000000000001</v>
      </c>
      <c r="G670" s="249">
        <v>590</v>
      </c>
      <c r="H670" s="207" t="s">
        <v>70</v>
      </c>
      <c r="I670" s="245"/>
      <c r="J670" s="246"/>
      <c r="K670" s="246"/>
      <c r="L670" s="246"/>
      <c r="M670" s="246"/>
      <c r="N670" s="246"/>
      <c r="O670" s="246"/>
      <c r="P670" s="246"/>
      <c r="Q670" s="70">
        <v>80640060930</v>
      </c>
      <c r="R670" s="130">
        <v>80640060829</v>
      </c>
    </row>
    <row r="671" spans="1:18" x14ac:dyDescent="0.2">
      <c r="A671" s="136"/>
      <c r="B671" s="234"/>
      <c r="C671" s="128" t="s">
        <v>26</v>
      </c>
      <c r="D671" s="247">
        <v>0.13900000000000001</v>
      </c>
      <c r="E671" s="131">
        <v>0.26200000000000001</v>
      </c>
      <c r="F671" s="145">
        <v>0.123</v>
      </c>
      <c r="G671" s="249">
        <v>554</v>
      </c>
      <c r="H671" s="207" t="s">
        <v>70</v>
      </c>
      <c r="I671" s="245"/>
      <c r="J671" s="246"/>
      <c r="K671" s="246"/>
      <c r="L671" s="246"/>
      <c r="M671" s="246"/>
      <c r="N671" s="246"/>
      <c r="O671" s="246"/>
      <c r="P671" s="246"/>
      <c r="Q671" s="70">
        <v>80640060930</v>
      </c>
      <c r="R671" s="130">
        <v>80640060930</v>
      </c>
    </row>
    <row r="672" spans="1:18" x14ac:dyDescent="0.2">
      <c r="A672" s="136">
        <v>41</v>
      </c>
      <c r="B672" s="235" t="s">
        <v>405</v>
      </c>
      <c r="C672" s="130" t="s">
        <v>26</v>
      </c>
      <c r="D672" s="131">
        <v>0</v>
      </c>
      <c r="E672" s="131">
        <v>0.2</v>
      </c>
      <c r="F672" s="145">
        <v>0.2</v>
      </c>
      <c r="G672" s="249">
        <v>900</v>
      </c>
      <c r="H672" s="207" t="s">
        <v>70</v>
      </c>
      <c r="I672" s="245"/>
      <c r="J672" s="246"/>
      <c r="K672" s="246"/>
      <c r="L672" s="246"/>
      <c r="M672" s="246"/>
      <c r="N672" s="246"/>
      <c r="O672" s="246"/>
      <c r="P672" s="246"/>
      <c r="Q672" s="70">
        <v>80640060072</v>
      </c>
      <c r="R672" s="130">
        <v>80640060530</v>
      </c>
    </row>
    <row r="673" spans="1:32" x14ac:dyDescent="0.2">
      <c r="A673" s="130">
        <v>42</v>
      </c>
      <c r="B673" s="133" t="s">
        <v>406</v>
      </c>
      <c r="C673" s="130" t="s">
        <v>26</v>
      </c>
      <c r="D673" s="131">
        <v>0</v>
      </c>
      <c r="E673" s="131">
        <v>0.15</v>
      </c>
      <c r="F673" s="145">
        <v>0.15</v>
      </c>
      <c r="G673" s="249">
        <v>750</v>
      </c>
      <c r="H673" s="207" t="s">
        <v>70</v>
      </c>
      <c r="I673" s="245"/>
      <c r="J673" s="246"/>
      <c r="K673" s="246"/>
      <c r="L673" s="246"/>
      <c r="M673" s="246"/>
      <c r="N673" s="246"/>
      <c r="O673" s="246"/>
      <c r="P673" s="246"/>
      <c r="Q673" s="70">
        <v>80640060027</v>
      </c>
      <c r="R673" s="130">
        <v>80640060439</v>
      </c>
    </row>
    <row r="674" spans="1:32" x14ac:dyDescent="0.2">
      <c r="A674" s="130">
        <v>43</v>
      </c>
      <c r="B674" s="133" t="s">
        <v>407</v>
      </c>
      <c r="C674" s="130" t="s">
        <v>26</v>
      </c>
      <c r="D674" s="131">
        <v>0</v>
      </c>
      <c r="E674" s="131">
        <v>0.3</v>
      </c>
      <c r="F674" s="145">
        <v>0.3</v>
      </c>
      <c r="G674" s="249">
        <v>1500</v>
      </c>
      <c r="H674" s="133" t="s">
        <v>27</v>
      </c>
      <c r="I674" s="245"/>
      <c r="J674" s="246"/>
      <c r="K674" s="246"/>
      <c r="L674" s="246"/>
      <c r="M674" s="246"/>
      <c r="N674" s="246"/>
      <c r="O674" s="246"/>
      <c r="P674" s="246"/>
      <c r="Q674" s="70">
        <v>80640061295</v>
      </c>
      <c r="R674" s="130">
        <v>80640061294</v>
      </c>
    </row>
    <row r="675" spans="1:32" ht="15" x14ac:dyDescent="0.25">
      <c r="A675" s="130">
        <v>44</v>
      </c>
      <c r="B675" s="133" t="s">
        <v>268</v>
      </c>
      <c r="C675" s="130" t="s">
        <v>26</v>
      </c>
      <c r="D675" s="131">
        <v>0</v>
      </c>
      <c r="E675" s="131">
        <v>0.6</v>
      </c>
      <c r="F675" s="145">
        <v>0.6</v>
      </c>
      <c r="G675" s="249">
        <v>3000</v>
      </c>
      <c r="H675" s="133" t="s">
        <v>27</v>
      </c>
      <c r="I675" s="245"/>
      <c r="J675" s="246"/>
      <c r="K675" s="246"/>
      <c r="L675" s="246"/>
      <c r="M675" s="246"/>
      <c r="N675" s="246"/>
      <c r="O675" s="246"/>
      <c r="P675" s="246"/>
      <c r="Q675" s="70">
        <v>80640060801</v>
      </c>
      <c r="R675" s="130">
        <v>80640060801</v>
      </c>
      <c r="S675"/>
      <c r="T675"/>
      <c r="U675"/>
      <c r="V675"/>
      <c r="W675"/>
      <c r="X675"/>
      <c r="Y675"/>
      <c r="Z675"/>
      <c r="AA675" t="s">
        <v>211</v>
      </c>
      <c r="AB675"/>
      <c r="AC675"/>
      <c r="AD675"/>
      <c r="AE675"/>
      <c r="AF675"/>
    </row>
    <row r="676" spans="1:32" ht="22.5" x14ac:dyDescent="0.2">
      <c r="C676" s="1"/>
      <c r="T676" s="103" t="s">
        <v>215</v>
      </c>
      <c r="U676" s="103" t="s">
        <v>216</v>
      </c>
      <c r="V676" s="103" t="s">
        <v>217</v>
      </c>
      <c r="W676" s="103" t="s">
        <v>218</v>
      </c>
      <c r="X676" s="103" t="s">
        <v>219</v>
      </c>
      <c r="Y676" s="104" t="s">
        <v>214</v>
      </c>
      <c r="AA676" s="103" t="s">
        <v>215</v>
      </c>
      <c r="AB676" s="103" t="s">
        <v>216</v>
      </c>
      <c r="AC676" s="103" t="s">
        <v>217</v>
      </c>
      <c r="AD676" s="103" t="s">
        <v>218</v>
      </c>
      <c r="AE676" s="103" t="s">
        <v>219</v>
      </c>
      <c r="AF676" s="104" t="s">
        <v>214</v>
      </c>
    </row>
    <row r="677" spans="1:32" ht="12.75" customHeight="1" x14ac:dyDescent="0.2">
      <c r="A677" s="93" t="s">
        <v>408</v>
      </c>
      <c r="B677" s="94"/>
      <c r="C677" s="95"/>
      <c r="D677" s="94"/>
      <c r="E677" s="96"/>
      <c r="F677" s="97">
        <f>SUM(F615:F676)</f>
        <v>21.697000000000003</v>
      </c>
      <c r="G677" s="175">
        <f>SUM(G615:G676)</f>
        <v>109630</v>
      </c>
      <c r="H677" s="160"/>
      <c r="I677" s="16"/>
      <c r="J677" s="99"/>
      <c r="K677" s="100" t="s">
        <v>213</v>
      </c>
      <c r="L677" s="243">
        <f>SUM(L615:L676)</f>
        <v>0</v>
      </c>
      <c r="M677" s="243">
        <f>SUM(M615:M676)</f>
        <v>0</v>
      </c>
      <c r="N677" s="92"/>
      <c r="O677" s="100" t="s">
        <v>214</v>
      </c>
      <c r="P677" s="243">
        <f>SUM(P615:P676)</f>
        <v>0</v>
      </c>
      <c r="Q677" s="92"/>
      <c r="S677" s="102" t="s">
        <v>20</v>
      </c>
      <c r="T677" s="103" t="s">
        <v>23</v>
      </c>
      <c r="U677" s="103" t="s">
        <v>23</v>
      </c>
      <c r="V677" s="103" t="s">
        <v>23</v>
      </c>
      <c r="W677" s="103" t="s">
        <v>23</v>
      </c>
      <c r="X677" s="103" t="s">
        <v>23</v>
      </c>
      <c r="Y677" s="104" t="s">
        <v>23</v>
      </c>
      <c r="Z677" s="102"/>
      <c r="AA677" s="103" t="s">
        <v>23</v>
      </c>
      <c r="AB677" s="103" t="s">
        <v>23</v>
      </c>
      <c r="AC677" s="103" t="s">
        <v>23</v>
      </c>
      <c r="AD677" s="103" t="s">
        <v>23</v>
      </c>
      <c r="AE677" s="103" t="s">
        <v>23</v>
      </c>
      <c r="AF677" s="104" t="s">
        <v>23</v>
      </c>
    </row>
    <row r="678" spans="1:32" ht="12.75" customHeight="1" x14ac:dyDescent="0.2">
      <c r="A678" s="105" t="s">
        <v>221</v>
      </c>
      <c r="B678" s="106"/>
      <c r="C678" s="111"/>
      <c r="D678" s="106"/>
      <c r="E678" s="112"/>
      <c r="F678" s="107">
        <f>SUMIFS(F615:F675,H615:H675,"melnais")</f>
        <v>15.365999999999998</v>
      </c>
      <c r="G678" s="244">
        <f>SUMIFS(G615:G675,H615:H675,"melnais")</f>
        <v>78584</v>
      </c>
      <c r="H678" s="163"/>
      <c r="I678" s="89"/>
      <c r="J678" s="92"/>
      <c r="K678" s="92"/>
      <c r="L678" s="115"/>
      <c r="M678" s="115"/>
      <c r="N678" s="92"/>
      <c r="O678" s="92"/>
      <c r="P678" s="92"/>
      <c r="Q678" s="92"/>
      <c r="S678" s="116" t="s">
        <v>222</v>
      </c>
      <c r="T678" s="117">
        <f>SUMIFS(F615:F675,C615:C675,"A",H615:H675,"melnais")</f>
        <v>0</v>
      </c>
      <c r="U678" s="117">
        <f>SUMIFS(F615:F675,C615:C675,"A",H615:H675,"dubultā virsma")</f>
        <v>0</v>
      </c>
      <c r="V678" s="117">
        <f>SUMIFS(F615:F675,C615:C675,"A",H615:H675,"bruģis")</f>
        <v>0</v>
      </c>
      <c r="W678" s="117">
        <f>SUMIFS(F615:F675,C615:C675,"A",H615:H675,"grants")</f>
        <v>0</v>
      </c>
      <c r="X678" s="117">
        <f>SUMIFS(F615:F675,C615:C675,"A",H615:H675,"cits segums")</f>
        <v>0</v>
      </c>
      <c r="Y678" s="117">
        <f>SUM(T678:X678)</f>
        <v>0</v>
      </c>
      <c r="Z678" s="116" t="s">
        <v>222</v>
      </c>
      <c r="AA678" s="117">
        <f>SUMIFS(F615:F675,C615:C675,"A",H615:H675,"melnais", Q615:Q675,"Nepiederošs")</f>
        <v>0</v>
      </c>
      <c r="AB678" s="117">
        <f>SUMIFS(F615:F675,C615:C675,"A",H615:H675,"dubultā virsma", Q615:Q675,"Nepiederošs")</f>
        <v>0</v>
      </c>
      <c r="AC678" s="117">
        <f>SUMIFS(F615:F675,C615:C675,"A",H615:H675,"bruģis", Q615:Q675,"Nepiederošs")</f>
        <v>0</v>
      </c>
      <c r="AD678" s="117">
        <f>SUMIFS(F615:F675,C615:C675,"A",H615:H675,"grants", Q615:Q675,"Nepiederošs")</f>
        <v>0</v>
      </c>
      <c r="AE678" s="117">
        <f>SUMIFS(F615:F675,C615:C675,"A",H615:H675,"cits segums", Q615:Q675,"Nepiederošs")</f>
        <v>0</v>
      </c>
      <c r="AF678" s="117">
        <f>SUM(AA678:AE678)</f>
        <v>0</v>
      </c>
    </row>
    <row r="679" spans="1:32" ht="12.75" customHeight="1" x14ac:dyDescent="0.2">
      <c r="A679" s="105" t="s">
        <v>223</v>
      </c>
      <c r="B679" s="106"/>
      <c r="C679" s="111"/>
      <c r="D679" s="106"/>
      <c r="E679" s="112"/>
      <c r="F679" s="107">
        <f>SUMIFS(F615:F675,H615:H675,"bruģis")</f>
        <v>0</v>
      </c>
      <c r="G679" s="244">
        <f>SUMIFS(G615:G675,H615:H675,"bruģis")</f>
        <v>0</v>
      </c>
      <c r="I679" s="16"/>
      <c r="J679" s="92"/>
      <c r="N679" s="92"/>
      <c r="O679" s="92"/>
      <c r="P679" s="92"/>
      <c r="Q679" s="92"/>
      <c r="S679" s="120" t="s">
        <v>39</v>
      </c>
      <c r="T679" s="117">
        <f>SUMIFS(F615:F675,C615:C675,"B",H615:H675,"melnais")</f>
        <v>0.94</v>
      </c>
      <c r="U679" s="117">
        <f>SUMIFS(F615:F675,C615:C675,"B",H615:H675,"dubultā virsma")</f>
        <v>0</v>
      </c>
      <c r="V679" s="117">
        <f>SUMIFS(F615:F675,C615:C675,"B",H615:H675,"bruģis")</f>
        <v>0</v>
      </c>
      <c r="W679" s="117">
        <f>SUMIFS(F615:F675,C615:C675,"B",H615:H675,"grants")</f>
        <v>0</v>
      </c>
      <c r="X679" s="117">
        <f>SUMIFS(F615:F675,C615:C675,"B",H615:H675,"cits segums")</f>
        <v>0</v>
      </c>
      <c r="Y679" s="117">
        <f t="shared" ref="Y679:Y681" si="89">SUM(T679:X679)</f>
        <v>0.94</v>
      </c>
      <c r="Z679" s="120" t="s">
        <v>39</v>
      </c>
      <c r="AA679" s="117">
        <f>SUMIFS(F615:F675,C615:C675,"B",H615:H675,"melnais", Q615:Q675,"Nepiederošs")</f>
        <v>0</v>
      </c>
      <c r="AB679" s="117">
        <f>SUMIFS(F615:F675,C615:C675,"B",H615:H675,"dubultā virsma", Q615:Q675,"Nepiederošs")</f>
        <v>0</v>
      </c>
      <c r="AC679" s="117">
        <f>SUMIFS(F615:F675,C615:C675,"B",H615:H675,"bruģis", Q615:Q675,"Nepiederošs")</f>
        <v>0</v>
      </c>
      <c r="AD679" s="117">
        <f>SUMIFS(F615:F675,C615:C675,"B",H615:H675,"grants", Q615:Q675,"Nepiederošs")</f>
        <v>0</v>
      </c>
      <c r="AE679" s="117">
        <f>SUMIFS(F615:F675,C615:C675,"B",H615:H675,"cits segums", Q615:Q675,"Nepiederošs")</f>
        <v>0</v>
      </c>
      <c r="AF679" s="117">
        <f t="shared" ref="AF679:AF681" si="90">SUM(AA679:AE679)</f>
        <v>0</v>
      </c>
    </row>
    <row r="680" spans="1:32" ht="12.75" customHeight="1" x14ac:dyDescent="0.2">
      <c r="A680" s="105" t="s">
        <v>224</v>
      </c>
      <c r="B680" s="106"/>
      <c r="C680" s="111"/>
      <c r="D680" s="106"/>
      <c r="E680" s="112"/>
      <c r="F680" s="107">
        <f>SUMIFS(F615:F675,H615:H675,"grants")</f>
        <v>3.6830000000000003</v>
      </c>
      <c r="G680" s="244">
        <f>SUMIFS(G615:G675,H615:H675,"grants")</f>
        <v>18467</v>
      </c>
      <c r="I680" s="16"/>
      <c r="J680" s="92"/>
      <c r="N680" s="92"/>
      <c r="O680" s="92"/>
      <c r="P680" s="92"/>
      <c r="Q680" s="92"/>
      <c r="S680" s="121" t="s">
        <v>34</v>
      </c>
      <c r="T680" s="117">
        <f>SUMIFS(F615:F675,C615:C675,"C",H615:H675,"melnais")</f>
        <v>3.74</v>
      </c>
      <c r="U680" s="117">
        <f>SUMIFS(F615:F675,C615:C675,"C",H615:H675,"dubultā virsma")</f>
        <v>0</v>
      </c>
      <c r="V680" s="117">
        <f>SUMIFS(F615:F675,C615:C675,"C",H615:H675,"bruģis")</f>
        <v>0</v>
      </c>
      <c r="W680" s="117">
        <f>SUMIFS(F615:F675,C615:C675,"C",H615:H675,"grants")</f>
        <v>0.14299999999999999</v>
      </c>
      <c r="X680" s="117">
        <f>SUMIFS(F615:F675,C615:C675,"C",H615:H675,"cits segums")</f>
        <v>0</v>
      </c>
      <c r="Y680" s="117">
        <f t="shared" si="89"/>
        <v>3.883</v>
      </c>
      <c r="Z680" s="121" t="s">
        <v>34</v>
      </c>
      <c r="AA680" s="117">
        <f>SUMIFS(F615:F675,C615:C675,"C",H615:H675,"melnais", Q615:Q675,"Nepiederošs")</f>
        <v>0</v>
      </c>
      <c r="AB680" s="117">
        <f>SUMIFS(F615:F675,C615:C675,"C",H615:H675,"dubultā virsma", Q615:Q675,"Nepiederošs")</f>
        <v>0</v>
      </c>
      <c r="AC680" s="117">
        <f>SUMIFS(F615:F675,C615:C675,"C",H615:H675,"bruģis", Q615:Q675,"Nepiederošs")</f>
        <v>0</v>
      </c>
      <c r="AD680" s="117">
        <f>SUMIFS(F615:F675,C615:C675,"C",H615:H675,"grants", Q615:Q675,"Nepiederošs")</f>
        <v>0</v>
      </c>
      <c r="AE680" s="117">
        <f>SUMIFS(F615:F675,C615:C675,"C",H615:H675,"cits segums", Q615:Q675,"Nepiederošs")</f>
        <v>0</v>
      </c>
      <c r="AF680" s="117">
        <f t="shared" si="90"/>
        <v>0</v>
      </c>
    </row>
    <row r="681" spans="1:32" ht="12.75" customHeight="1" x14ac:dyDescent="0.2">
      <c r="A681" s="105" t="s">
        <v>225</v>
      </c>
      <c r="B681" s="106"/>
      <c r="C681" s="111"/>
      <c r="D681" s="106"/>
      <c r="E681" s="112"/>
      <c r="F681" s="107">
        <f>SUMIFS(F615:F675,H615:H675,"cits segums")</f>
        <v>2.6480000000000001</v>
      </c>
      <c r="G681" s="244">
        <f>SUMIFS(G615:G675,H615:H675,"cits segums")</f>
        <v>12579</v>
      </c>
      <c r="H681" s="89"/>
      <c r="I681" s="16"/>
      <c r="J681" s="122"/>
      <c r="N681" s="92"/>
      <c r="O681" s="92"/>
      <c r="P681" s="92"/>
      <c r="Q681" s="92"/>
      <c r="S681" s="116" t="s">
        <v>26</v>
      </c>
      <c r="T681" s="117">
        <f>SUMIFS(F615:F675,C615:C675,"D",H615:H675,"melnais")</f>
        <v>10.686</v>
      </c>
      <c r="U681" s="117">
        <f>SUMIFS(F615:F675,C615:C675,"D",H615:H675,"dubultā virsma")</f>
        <v>0</v>
      </c>
      <c r="V681" s="117">
        <f>SUMIFS(F615:F675,C615:C675,"D",H615:H675,"bruģis")</f>
        <v>0</v>
      </c>
      <c r="W681" s="117">
        <f>SUMIFS(F615:F675,C615:C675,"D",H615:H675,"grants")</f>
        <v>3.5400000000000005</v>
      </c>
      <c r="X681" s="117">
        <f>SUMIFS(F615:F675,C615:C675,"D",H615:H675,"cits segums")</f>
        <v>2.6480000000000001</v>
      </c>
      <c r="Y681" s="117">
        <f t="shared" si="89"/>
        <v>16.874000000000002</v>
      </c>
      <c r="Z681" s="116" t="s">
        <v>26</v>
      </c>
      <c r="AA681" s="117">
        <f>SUMIFS(F615:F675,C615:C675,"D",H615:H675,"melnais", Q615:Q675,"Nepiederošs")</f>
        <v>0</v>
      </c>
      <c r="AB681" s="117">
        <f>SUMIFS(F615:F675,C615:C675,"D",H615:H675,"dubultā virsma", Q615:Q675,"Nepiederošs")</f>
        <v>0</v>
      </c>
      <c r="AC681" s="117">
        <f>SUMIFS(F615:F675,C615:C675,"D",H615:H675,"bruģis", Q615:Q675,"Nepiederošs")</f>
        <v>0</v>
      </c>
      <c r="AD681" s="117">
        <f>SUMIFS(F615:F675,C615:C675,"D",H615:H675,"grants", Q615:Q675,"Nepiederošs")</f>
        <v>0</v>
      </c>
      <c r="AE681" s="117">
        <f>SUMIFS(F615:F675,C615:C675,"D",H615:H675,"cits segums", Q615:Q675,"Nepiederošs")</f>
        <v>0</v>
      </c>
      <c r="AF681" s="117">
        <f t="shared" si="90"/>
        <v>0</v>
      </c>
    </row>
    <row r="682" spans="1:32" ht="15" x14ac:dyDescent="0.25">
      <c r="C682" s="1"/>
      <c r="S682" s="172"/>
      <c r="T682" s="126">
        <f>SUM(T678:T681)</f>
        <v>15.366</v>
      </c>
      <c r="U682" s="126">
        <f t="shared" ref="U682:Y682" si="91">SUM(U678:U681)</f>
        <v>0</v>
      </c>
      <c r="V682" s="126">
        <f t="shared" si="91"/>
        <v>0</v>
      </c>
      <c r="W682" s="126">
        <f t="shared" si="91"/>
        <v>3.6830000000000003</v>
      </c>
      <c r="X682" s="126">
        <f t="shared" si="91"/>
        <v>2.6480000000000001</v>
      </c>
      <c r="Y682" s="126">
        <f t="shared" si="91"/>
        <v>21.697000000000003</v>
      </c>
      <c r="Z682"/>
      <c r="AA682" s="126">
        <f>SUM(AA678:AA681)</f>
        <v>0</v>
      </c>
      <c r="AB682" s="126">
        <f t="shared" ref="AB682" si="92">SUM(AB678:AB681)</f>
        <v>0</v>
      </c>
      <c r="AC682" s="126">
        <f>SUM(AC678:AC681)</f>
        <v>0</v>
      </c>
      <c r="AD682" s="126">
        <f t="shared" ref="AD682:AF682" si="93">SUM(AD678:AD681)</f>
        <v>0</v>
      </c>
      <c r="AE682" s="126">
        <f t="shared" si="93"/>
        <v>0</v>
      </c>
      <c r="AF682" s="126">
        <f t="shared" si="93"/>
        <v>0</v>
      </c>
    </row>
    <row r="683" spans="1:32" s="2" customFormat="1" ht="15" customHeight="1" x14ac:dyDescent="0.25">
      <c r="A683" s="1"/>
      <c r="C683" s="1"/>
      <c r="D683" s="6" t="s">
        <v>409</v>
      </c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4"/>
      <c r="R683" s="7"/>
    </row>
    <row r="684" spans="1:32" ht="12.75" customHeight="1" x14ac:dyDescent="0.2">
      <c r="A684" s="8" t="s">
        <v>2</v>
      </c>
      <c r="B684" s="9" t="s">
        <v>3</v>
      </c>
      <c r="C684" s="10"/>
      <c r="D684" s="11" t="s">
        <v>4</v>
      </c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3"/>
      <c r="Q684" s="14" t="s">
        <v>5</v>
      </c>
      <c r="R684" s="15"/>
    </row>
    <row r="685" spans="1:32" ht="12.75" customHeight="1" x14ac:dyDescent="0.2">
      <c r="A685" s="8"/>
      <c r="B685" s="9"/>
      <c r="C685" s="17"/>
      <c r="D685" s="9" t="s">
        <v>6</v>
      </c>
      <c r="E685" s="9"/>
      <c r="F685" s="9"/>
      <c r="G685" s="9"/>
      <c r="H685" s="9"/>
      <c r="I685" s="18" t="s">
        <v>7</v>
      </c>
      <c r="J685" s="18"/>
      <c r="K685" s="18"/>
      <c r="L685" s="18"/>
      <c r="M685" s="18"/>
      <c r="N685" s="18"/>
      <c r="O685" s="18"/>
      <c r="P685" s="19" t="s">
        <v>8</v>
      </c>
      <c r="Q685" s="20"/>
      <c r="R685" s="21"/>
    </row>
    <row r="686" spans="1:32" ht="15.2" customHeight="1" x14ac:dyDescent="0.2">
      <c r="A686" s="8"/>
      <c r="B686" s="9"/>
      <c r="C686" s="17"/>
      <c r="D686" s="9" t="s">
        <v>9</v>
      </c>
      <c r="E686" s="9"/>
      <c r="F686" s="8" t="s">
        <v>10</v>
      </c>
      <c r="G686" s="8" t="s">
        <v>11</v>
      </c>
      <c r="H686" s="8" t="s">
        <v>12</v>
      </c>
      <c r="I686" s="18" t="s">
        <v>13</v>
      </c>
      <c r="J686" s="18" t="s">
        <v>14</v>
      </c>
      <c r="K686" s="18"/>
      <c r="L686" s="22" t="s">
        <v>15</v>
      </c>
      <c r="M686" s="22" t="s">
        <v>11</v>
      </c>
      <c r="N686" s="22" t="s">
        <v>16</v>
      </c>
      <c r="O686" s="22" t="s">
        <v>17</v>
      </c>
      <c r="P686" s="23"/>
      <c r="Q686" s="23" t="s">
        <v>18</v>
      </c>
      <c r="R686" s="24" t="s">
        <v>19</v>
      </c>
    </row>
    <row r="687" spans="1:32" ht="33.75" customHeight="1" x14ac:dyDescent="0.2">
      <c r="A687" s="8"/>
      <c r="B687" s="9"/>
      <c r="C687" s="25" t="s">
        <v>20</v>
      </c>
      <c r="D687" s="26" t="s">
        <v>21</v>
      </c>
      <c r="E687" s="26" t="s">
        <v>22</v>
      </c>
      <c r="F687" s="8"/>
      <c r="G687" s="8"/>
      <c r="H687" s="8"/>
      <c r="I687" s="18"/>
      <c r="J687" s="27" t="s">
        <v>23</v>
      </c>
      <c r="K687" s="27" t="s">
        <v>24</v>
      </c>
      <c r="L687" s="22"/>
      <c r="M687" s="22"/>
      <c r="N687" s="22"/>
      <c r="O687" s="22"/>
      <c r="P687" s="28"/>
      <c r="Q687" s="28"/>
      <c r="R687" s="29"/>
    </row>
    <row r="688" spans="1:32" s="32" customFormat="1" ht="12" customHeight="1" x14ac:dyDescent="0.25">
      <c r="A688" s="173">
        <v>1</v>
      </c>
      <c r="B688" s="173">
        <v>2</v>
      </c>
      <c r="C688" s="173"/>
      <c r="D688" s="30">
        <v>3</v>
      </c>
      <c r="E688" s="30">
        <v>4</v>
      </c>
      <c r="F688" s="30">
        <v>5</v>
      </c>
      <c r="G688" s="30">
        <v>6</v>
      </c>
      <c r="H688" s="30">
        <v>7</v>
      </c>
      <c r="I688" s="31">
        <v>8</v>
      </c>
      <c r="J688" s="31">
        <v>9</v>
      </c>
      <c r="K688" s="31">
        <v>10</v>
      </c>
      <c r="L688" s="31">
        <v>11</v>
      </c>
      <c r="M688" s="31">
        <v>12</v>
      </c>
      <c r="N688" s="31">
        <v>13</v>
      </c>
      <c r="O688" s="31">
        <v>14</v>
      </c>
      <c r="P688" s="31">
        <v>15</v>
      </c>
      <c r="Q688" s="31">
        <v>16</v>
      </c>
      <c r="R688" s="30">
        <v>17</v>
      </c>
    </row>
    <row r="689" spans="1:32" x14ac:dyDescent="0.2">
      <c r="A689" s="128">
        <v>1</v>
      </c>
      <c r="B689" s="230" t="s">
        <v>410</v>
      </c>
      <c r="C689" s="130" t="s">
        <v>26</v>
      </c>
      <c r="D689" s="247">
        <v>0</v>
      </c>
      <c r="E689" s="131">
        <v>1.22</v>
      </c>
      <c r="F689" s="145">
        <v>1.22</v>
      </c>
      <c r="G689" s="228">
        <v>6100</v>
      </c>
      <c r="H689" s="133" t="s">
        <v>29</v>
      </c>
      <c r="I689" s="237"/>
      <c r="J689" s="131"/>
      <c r="K689" s="131"/>
      <c r="L689" s="131"/>
      <c r="M689" s="131"/>
      <c r="N689" s="131"/>
      <c r="O689" s="131"/>
      <c r="P689" s="131"/>
      <c r="Q689" s="70">
        <v>80640030267</v>
      </c>
      <c r="R689" s="139">
        <v>80640030267</v>
      </c>
    </row>
    <row r="690" spans="1:32" x14ac:dyDescent="0.2">
      <c r="A690" s="134"/>
      <c r="B690" s="236"/>
      <c r="C690" s="130" t="s">
        <v>26</v>
      </c>
      <c r="D690" s="247">
        <v>1.22</v>
      </c>
      <c r="E690" s="131">
        <v>1.47</v>
      </c>
      <c r="F690" s="145">
        <v>0.20499999999999999</v>
      </c>
      <c r="G690" s="228">
        <v>1025</v>
      </c>
      <c r="H690" s="133" t="s">
        <v>27</v>
      </c>
      <c r="I690" s="237"/>
      <c r="J690" s="131"/>
      <c r="K690" s="131"/>
      <c r="L690" s="131"/>
      <c r="M690" s="131"/>
      <c r="N690" s="131"/>
      <c r="O690" s="131"/>
      <c r="P690" s="131"/>
      <c r="Q690" s="70">
        <v>80640030267</v>
      </c>
      <c r="R690" s="139">
        <v>80640030267</v>
      </c>
    </row>
    <row r="691" spans="1:32" x14ac:dyDescent="0.2">
      <c r="A691" s="128">
        <v>2</v>
      </c>
      <c r="B691" s="230" t="s">
        <v>100</v>
      </c>
      <c r="C691" s="130" t="s">
        <v>26</v>
      </c>
      <c r="D691" s="247">
        <v>0</v>
      </c>
      <c r="E691" s="131">
        <v>2.0499999999999998</v>
      </c>
      <c r="F691" s="145">
        <v>2.0499999999999998</v>
      </c>
      <c r="G691" s="228">
        <v>10250</v>
      </c>
      <c r="H691" s="133" t="s">
        <v>29</v>
      </c>
      <c r="I691" s="237"/>
      <c r="J691" s="131"/>
      <c r="K691" s="131"/>
      <c r="L691" s="131"/>
      <c r="M691" s="131"/>
      <c r="N691" s="131"/>
      <c r="O691" s="131"/>
      <c r="P691" s="131"/>
      <c r="Q691" s="70">
        <v>80640030265</v>
      </c>
      <c r="R691" s="139">
        <v>80640030265</v>
      </c>
    </row>
    <row r="692" spans="1:32" x14ac:dyDescent="0.2">
      <c r="A692" s="136"/>
      <c r="B692" s="234"/>
      <c r="C692" s="130" t="s">
        <v>26</v>
      </c>
      <c r="D692" s="247">
        <v>2.0499999999999998</v>
      </c>
      <c r="E692" s="131">
        <v>2.93</v>
      </c>
      <c r="F692" s="145">
        <v>0.88</v>
      </c>
      <c r="G692" s="228">
        <v>4400</v>
      </c>
      <c r="H692" s="133" t="s">
        <v>27</v>
      </c>
      <c r="I692" s="237"/>
      <c r="J692" s="131"/>
      <c r="K692" s="131"/>
      <c r="L692" s="131"/>
      <c r="M692" s="131"/>
      <c r="N692" s="131"/>
      <c r="O692" s="131"/>
      <c r="P692" s="131"/>
      <c r="Q692" s="70">
        <v>80640030265</v>
      </c>
      <c r="R692" s="139">
        <v>80640030265</v>
      </c>
    </row>
    <row r="693" spans="1:32" x14ac:dyDescent="0.2">
      <c r="A693" s="136">
        <v>3</v>
      </c>
      <c r="B693" s="235" t="s">
        <v>411</v>
      </c>
      <c r="C693" s="136" t="s">
        <v>26</v>
      </c>
      <c r="D693" s="131">
        <v>0</v>
      </c>
      <c r="E693" s="131">
        <v>0.25</v>
      </c>
      <c r="F693" s="145">
        <v>0.25</v>
      </c>
      <c r="G693" s="228">
        <v>1400</v>
      </c>
      <c r="H693" s="133" t="s">
        <v>29</v>
      </c>
      <c r="I693" s="237"/>
      <c r="J693" s="131"/>
      <c r="K693" s="131"/>
      <c r="L693" s="131"/>
      <c r="M693" s="131"/>
      <c r="N693" s="131"/>
      <c r="O693" s="131"/>
      <c r="P693" s="131"/>
      <c r="Q693" s="70">
        <v>80640030264</v>
      </c>
      <c r="R693" s="139">
        <v>80640030264</v>
      </c>
    </row>
    <row r="694" spans="1:32" ht="15" x14ac:dyDescent="0.25">
      <c r="A694" s="130">
        <v>4</v>
      </c>
      <c r="B694" s="133" t="s">
        <v>298</v>
      </c>
      <c r="C694" s="130" t="s">
        <v>26</v>
      </c>
      <c r="D694" s="131">
        <v>0</v>
      </c>
      <c r="E694" s="131">
        <v>0.5</v>
      </c>
      <c r="F694" s="145">
        <v>0.5</v>
      </c>
      <c r="G694" s="228">
        <v>2500</v>
      </c>
      <c r="H694" s="133" t="s">
        <v>29</v>
      </c>
      <c r="I694" s="237"/>
      <c r="J694" s="131"/>
      <c r="K694" s="131"/>
      <c r="L694" s="131"/>
      <c r="M694" s="131"/>
      <c r="N694" s="131"/>
      <c r="O694" s="131"/>
      <c r="P694" s="131"/>
      <c r="Q694" s="70">
        <v>80640030266</v>
      </c>
      <c r="R694" s="139">
        <v>80640030266</v>
      </c>
      <c r="S694"/>
      <c r="T694"/>
      <c r="U694"/>
      <c r="V694"/>
      <c r="W694"/>
      <c r="X694"/>
      <c r="Y694"/>
      <c r="Z694"/>
      <c r="AA694" t="s">
        <v>211</v>
      </c>
      <c r="AB694"/>
      <c r="AC694"/>
      <c r="AD694"/>
      <c r="AE694"/>
      <c r="AF694"/>
    </row>
    <row r="695" spans="1:32" ht="22.5" x14ac:dyDescent="0.2">
      <c r="C695" s="1"/>
      <c r="K695" s="100" t="s">
        <v>213</v>
      </c>
      <c r="L695" s="243">
        <f>SUM(L689:L694)</f>
        <v>0</v>
      </c>
      <c r="M695" s="243">
        <f>SUM(M689:M694)</f>
        <v>0</v>
      </c>
      <c r="N695" s="92"/>
      <c r="O695" s="100" t="s">
        <v>214</v>
      </c>
      <c r="P695" s="243">
        <f>SUM(P689:P694)</f>
        <v>0</v>
      </c>
      <c r="T695" s="103" t="s">
        <v>215</v>
      </c>
      <c r="U695" s="103" t="s">
        <v>216</v>
      </c>
      <c r="V695" s="103" t="s">
        <v>217</v>
      </c>
      <c r="W695" s="103" t="s">
        <v>218</v>
      </c>
      <c r="X695" s="103" t="s">
        <v>219</v>
      </c>
      <c r="Y695" s="104" t="s">
        <v>214</v>
      </c>
      <c r="AA695" s="103" t="s">
        <v>215</v>
      </c>
      <c r="AB695" s="103" t="s">
        <v>216</v>
      </c>
      <c r="AC695" s="103" t="s">
        <v>217</v>
      </c>
      <c r="AD695" s="103" t="s">
        <v>218</v>
      </c>
      <c r="AE695" s="103" t="s">
        <v>219</v>
      </c>
      <c r="AF695" s="104" t="s">
        <v>214</v>
      </c>
    </row>
    <row r="696" spans="1:32" ht="12.75" customHeight="1" x14ac:dyDescent="0.2">
      <c r="A696" s="93" t="s">
        <v>412</v>
      </c>
      <c r="B696" s="94"/>
      <c r="C696" s="95"/>
      <c r="D696" s="94"/>
      <c r="E696" s="96"/>
      <c r="F696" s="97">
        <f>SUM(F689:F694)</f>
        <v>5.1049999999999995</v>
      </c>
      <c r="G696" s="175">
        <f>SUM(G689:G694)</f>
        <v>25675</v>
      </c>
      <c r="H696" s="160"/>
      <c r="I696" s="16"/>
      <c r="J696" s="99"/>
      <c r="Q696" s="92"/>
      <c r="S696" s="102" t="s">
        <v>20</v>
      </c>
      <c r="T696" s="103" t="s">
        <v>23</v>
      </c>
      <c r="U696" s="103" t="s">
        <v>23</v>
      </c>
      <c r="V696" s="103" t="s">
        <v>23</v>
      </c>
      <c r="W696" s="103" t="s">
        <v>23</v>
      </c>
      <c r="X696" s="103" t="s">
        <v>23</v>
      </c>
      <c r="Y696" s="104" t="s">
        <v>23</v>
      </c>
      <c r="Z696" s="102"/>
      <c r="AA696" s="103" t="s">
        <v>23</v>
      </c>
      <c r="AB696" s="103" t="s">
        <v>23</v>
      </c>
      <c r="AC696" s="103" t="s">
        <v>23</v>
      </c>
      <c r="AD696" s="103" t="s">
        <v>23</v>
      </c>
      <c r="AE696" s="103" t="s">
        <v>23</v>
      </c>
      <c r="AF696" s="104" t="s">
        <v>23</v>
      </c>
    </row>
    <row r="697" spans="1:32" ht="12.75" customHeight="1" x14ac:dyDescent="0.2">
      <c r="A697" s="105" t="s">
        <v>221</v>
      </c>
      <c r="B697" s="106"/>
      <c r="C697" s="111"/>
      <c r="D697" s="106"/>
      <c r="E697" s="112"/>
      <c r="F697" s="107">
        <f>SUMIFS(F689:F694,H689:H694,"melnais")</f>
        <v>4.0199999999999996</v>
      </c>
      <c r="G697" s="244">
        <f>SUMIFS(G689:G694,H689:H694,"melnais")</f>
        <v>20250</v>
      </c>
      <c r="H697" s="163"/>
      <c r="I697" s="89"/>
      <c r="J697" s="92"/>
      <c r="K697" s="92"/>
      <c r="L697" s="115"/>
      <c r="M697" s="115"/>
      <c r="N697" s="92"/>
      <c r="O697" s="92"/>
      <c r="P697" s="92"/>
      <c r="Q697" s="92"/>
      <c r="S697" s="116" t="s">
        <v>222</v>
      </c>
      <c r="T697" s="117">
        <f>SUMIFS(F688:F694,C688:C694,"A",H688:H694,"melnais")</f>
        <v>0</v>
      </c>
      <c r="U697" s="117">
        <f>SUMIFS(F688:F694,C688:C694,"A",H688:H694,"dubultā virsma")</f>
        <v>0</v>
      </c>
      <c r="V697" s="117">
        <f>SUMIFS(F688:F694,C688:C694,"A",H688:H694,"bruģis")</f>
        <v>0</v>
      </c>
      <c r="W697" s="117">
        <f>SUMIFS(F688:F694,C688:C694,"A",H688:H694,"grants")</f>
        <v>0</v>
      </c>
      <c r="X697" s="117">
        <f>SUMIFS(F688:F694,C688:C694,"A",H688:H694,"cits segums")</f>
        <v>0</v>
      </c>
      <c r="Y697" s="117">
        <f>SUM(T697:X697)</f>
        <v>0</v>
      </c>
      <c r="Z697" s="116" t="s">
        <v>222</v>
      </c>
      <c r="AA697" s="117">
        <f>SUMIFS(F688:F694,C688:C694,"A",H688:H694,"melnais", Q688:Q694,"Nepiederošs")</f>
        <v>0</v>
      </c>
      <c r="AB697" s="117">
        <f>SUMIFS(F688:F694,C688:C694,"A",H688:H694,"dubultā virsma", Q688:Q694,"Nepiederošs")</f>
        <v>0</v>
      </c>
      <c r="AC697" s="117">
        <f>SUMIFS(F688:F694,C688:C694,"A",H688:H694,"bruģis", Q688:Q694,"Nepiederošs")</f>
        <v>0</v>
      </c>
      <c r="AD697" s="117">
        <f>SUMIFS(F688:F694,C688:C694,"A",H688:H694,"grants", Q688:Q694,"Nepiederošs")</f>
        <v>0</v>
      </c>
      <c r="AE697" s="117">
        <f>SUMIFS(F688:F694,C688:C694,"A",H688:H694,"cits segums", Q688:Q694,"Nepiederošs")</f>
        <v>0</v>
      </c>
      <c r="AF697" s="117">
        <f>SUM(AA697:AE697)</f>
        <v>0</v>
      </c>
    </row>
    <row r="698" spans="1:32" ht="12.75" customHeight="1" x14ac:dyDescent="0.2">
      <c r="A698" s="105" t="s">
        <v>223</v>
      </c>
      <c r="B698" s="106"/>
      <c r="C698" s="111"/>
      <c r="D698" s="106"/>
      <c r="E698" s="112"/>
      <c r="F698" s="107">
        <f>SUMIFS(F689:F694,H689:H694,"bruģis")</f>
        <v>0</v>
      </c>
      <c r="G698" s="244">
        <f>SUMIFS(G689:G694,H689:H694,"bruģis")</f>
        <v>0</v>
      </c>
      <c r="I698" s="16"/>
      <c r="J698" s="92"/>
      <c r="N698" s="92"/>
      <c r="O698" s="92"/>
      <c r="P698" s="92"/>
      <c r="Q698" s="92"/>
      <c r="S698" s="120" t="s">
        <v>39</v>
      </c>
      <c r="T698" s="117">
        <f>SUMIFS(F688:F694,C688:C694,"B",H688:H694,"melnais")</f>
        <v>0</v>
      </c>
      <c r="U698" s="117">
        <f>SUMIFS(F688:F694,C688:C694,"B",H688:H694,"dubultā virsma")</f>
        <v>0</v>
      </c>
      <c r="V698" s="117">
        <f>SUMIFS(F688:F694,C688:C694,"B",H688:H694,"bruģis")</f>
        <v>0</v>
      </c>
      <c r="W698" s="117">
        <f>SUMIFS(F688:F694,C688:C694,"B",H688:H694,"grants")</f>
        <v>0</v>
      </c>
      <c r="X698" s="117">
        <f>SUMIFS(F688:F694,C688:C694,"B",H688:H694,"cits segums")</f>
        <v>0</v>
      </c>
      <c r="Y698" s="117">
        <f t="shared" ref="Y698:Y700" si="94">SUM(T698:X698)</f>
        <v>0</v>
      </c>
      <c r="Z698" s="120" t="s">
        <v>39</v>
      </c>
      <c r="AA698" s="117">
        <f>SUMIFS(F688:F694,C688:C694,"B",H688:H694,"melnais", Q688:Q694,"Nepiederošs")</f>
        <v>0</v>
      </c>
      <c r="AB698" s="117">
        <f>SUMIFS(F688:F694,C688:C694,"B",H688:H694,"dubultā virsma", Q688:Q694,"Nepiederošs")</f>
        <v>0</v>
      </c>
      <c r="AC698" s="117">
        <f>SUMIFS(F688:F694,C688:C694,"B",H688:H694,"bruģis", Q688:Q694,"Nepiederošs")</f>
        <v>0</v>
      </c>
      <c r="AD698" s="117">
        <f>SUMIFS(F688:F694,C688:C694,"B",H688:H694,"grants", Q688:Q694,"Nepiederošs")</f>
        <v>0</v>
      </c>
      <c r="AE698" s="117">
        <f>SUMIFS(F688:F694,C688:C694,"B",H688:H694,"cits segums", Q688:Q694,"Nepiederošs")</f>
        <v>0</v>
      </c>
      <c r="AF698" s="117">
        <f t="shared" ref="AF698:AF700" si="95">SUM(AA698:AE698)</f>
        <v>0</v>
      </c>
    </row>
    <row r="699" spans="1:32" ht="12.75" customHeight="1" x14ac:dyDescent="0.2">
      <c r="A699" s="105" t="s">
        <v>224</v>
      </c>
      <c r="B699" s="106"/>
      <c r="C699" s="111"/>
      <c r="D699" s="106"/>
      <c r="E699" s="112"/>
      <c r="F699" s="107">
        <f>SUMIFS(F689:F694,H689:H694,"grants")</f>
        <v>1.085</v>
      </c>
      <c r="G699" s="244">
        <f>SUMIFS(G689:G694,H689:H694,"grants")</f>
        <v>5425</v>
      </c>
      <c r="I699" s="16"/>
      <c r="J699" s="92"/>
      <c r="N699" s="92"/>
      <c r="O699" s="92"/>
      <c r="P699" s="92"/>
      <c r="Q699" s="92"/>
      <c r="S699" s="121" t="s">
        <v>34</v>
      </c>
      <c r="T699" s="117">
        <f>SUMIFS(F688:F694,C688:C694,"C",H688:H694,"melnais")</f>
        <v>0</v>
      </c>
      <c r="U699" s="117">
        <f>SUMIFS(F688:F694,C688:C694,"C",H688:H694,"dubultā virsma")</f>
        <v>0</v>
      </c>
      <c r="V699" s="117">
        <f>SUMIFS(F688:F694,C688:C694,"C",H688:H694,"bruģis")</f>
        <v>0</v>
      </c>
      <c r="W699" s="117">
        <f>SUMIFS(F688:F694,C688:C694,"C",H688:H694,"grants")</f>
        <v>0</v>
      </c>
      <c r="X699" s="117">
        <f>SUMIFS(F688:F694,C688:C694,"C",H688:H694,"cits segums")</f>
        <v>0</v>
      </c>
      <c r="Y699" s="117">
        <f t="shared" si="94"/>
        <v>0</v>
      </c>
      <c r="Z699" s="121" t="s">
        <v>34</v>
      </c>
      <c r="AA699" s="117">
        <f>SUMIFS(F688:F694,C688:C694,"C",H688:H694,"melnais", Q688:Q694,"Nepiederošs")</f>
        <v>0</v>
      </c>
      <c r="AB699" s="117">
        <f>SUMIFS(F688:F694,C688:C694,"C",H688:H694,"dubultā virsma", Q688:Q694,"Nepiederošs")</f>
        <v>0</v>
      </c>
      <c r="AC699" s="117">
        <f>SUMIFS(F688:F694,C688:C694,"C",H688:H694,"bruģis", Q688:Q694,"Nepiederošs")</f>
        <v>0</v>
      </c>
      <c r="AD699" s="117">
        <f>SUMIFS(F688:F694,C688:C694,"C",H688:H694,"grants", Q688:Q694,"Nepiederošs")</f>
        <v>0</v>
      </c>
      <c r="AE699" s="117">
        <f>SUMIFS(F688:F694,C688:C694,"C",H688:H694,"cits segums", Q688:Q694,"Nepiederošs")</f>
        <v>0</v>
      </c>
      <c r="AF699" s="117">
        <f t="shared" si="95"/>
        <v>0</v>
      </c>
    </row>
    <row r="700" spans="1:32" ht="12.75" customHeight="1" x14ac:dyDescent="0.2">
      <c r="A700" s="105" t="s">
        <v>225</v>
      </c>
      <c r="B700" s="106"/>
      <c r="C700" s="111"/>
      <c r="D700" s="106"/>
      <c r="E700" s="112"/>
      <c r="F700" s="107">
        <f>SUMIFS(F689:F694,H689:H694,"cits segums")</f>
        <v>0</v>
      </c>
      <c r="G700" s="244">
        <f>SUMIFS(G689:G694,H689:H694,"cits segums")</f>
        <v>0</v>
      </c>
      <c r="H700" s="89"/>
      <c r="I700" s="16"/>
      <c r="J700" s="122"/>
      <c r="N700" s="92"/>
      <c r="O700" s="92"/>
      <c r="P700" s="92"/>
      <c r="Q700" s="92"/>
      <c r="S700" s="116" t="s">
        <v>26</v>
      </c>
      <c r="T700" s="117">
        <f>SUMIFS(F688:F694,C688:C694,"D",H688:H694,"melnais")</f>
        <v>4.0199999999999996</v>
      </c>
      <c r="U700" s="117">
        <f>SUMIFS(F688:F694,C688:C694,"D",H688:H694,"dubultā virsma")</f>
        <v>0</v>
      </c>
      <c r="V700" s="117">
        <f>SUMIFS(F688:F694,C688:C694,"D",H688:H694,"bruģis")</f>
        <v>0</v>
      </c>
      <c r="W700" s="117">
        <f>SUMIFS(F688:F694,C688:C694,"D",H688:H694,"grants")</f>
        <v>1.085</v>
      </c>
      <c r="X700" s="117">
        <f>SUMIFS(F688:F694,C688:C694,"D",H688:H694,"cits segums")</f>
        <v>0</v>
      </c>
      <c r="Y700" s="117">
        <f t="shared" si="94"/>
        <v>5.1049999999999995</v>
      </c>
      <c r="Z700" s="116" t="s">
        <v>26</v>
      </c>
      <c r="AA700" s="117">
        <f>SUMIFS(F688:F694,C688:C694,"D",H688:H694,"melnais", Q688:Q694,"Nepiederošs")</f>
        <v>0</v>
      </c>
      <c r="AB700" s="117">
        <f>SUMIFS(F688:F694,C688:C694,"D",H688:H694,"dubultā virsma", Q688:Q694,"Nepiederošs")</f>
        <v>0</v>
      </c>
      <c r="AC700" s="117">
        <f>SUMIFS(F688:F694,C688:C694,"D",H688:H694,"bruģis", Q688:Q694,"Nepiederošs")</f>
        <v>0</v>
      </c>
      <c r="AD700" s="117">
        <f>SUMIFS(F688:F694,C688:C694,"D",H688:H694,"grants", Q688:Q694,"Nepiederošs")</f>
        <v>0</v>
      </c>
      <c r="AE700" s="117">
        <f>SUMIFS(F688:F694,C688:C694,"D",H688:H694,"cits segums", Q688:Q694,"Nepiederošs")</f>
        <v>0</v>
      </c>
      <c r="AF700" s="117">
        <f t="shared" si="95"/>
        <v>0</v>
      </c>
    </row>
    <row r="701" spans="1:32" ht="15" x14ac:dyDescent="0.25">
      <c r="C701" s="1"/>
      <c r="S701" s="172"/>
      <c r="T701" s="126">
        <f>SUM(T697:T700)</f>
        <v>4.0199999999999996</v>
      </c>
      <c r="U701" s="126">
        <f t="shared" ref="U701:Y701" si="96">SUM(U697:U700)</f>
        <v>0</v>
      </c>
      <c r="V701" s="126">
        <f t="shared" si="96"/>
        <v>0</v>
      </c>
      <c r="W701" s="126">
        <f t="shared" si="96"/>
        <v>1.085</v>
      </c>
      <c r="X701" s="126">
        <f t="shared" si="96"/>
        <v>0</v>
      </c>
      <c r="Y701" s="126">
        <f t="shared" si="96"/>
        <v>5.1049999999999995</v>
      </c>
      <c r="Z701"/>
      <c r="AA701" s="126">
        <f>SUM(AA697:AA700)</f>
        <v>0</v>
      </c>
      <c r="AB701" s="126">
        <f t="shared" ref="AB701" si="97">SUM(AB697:AB700)</f>
        <v>0</v>
      </c>
      <c r="AC701" s="126">
        <f>SUM(AC697:AC700)</f>
        <v>0</v>
      </c>
      <c r="AD701" s="126">
        <f t="shared" ref="AD701:AF701" si="98">SUM(AD697:AD700)</f>
        <v>0</v>
      </c>
      <c r="AE701" s="126">
        <f t="shared" si="98"/>
        <v>0</v>
      </c>
      <c r="AF701" s="126">
        <f t="shared" si="98"/>
        <v>0</v>
      </c>
    </row>
    <row r="702" spans="1:32" s="2" customFormat="1" ht="15" customHeight="1" x14ac:dyDescent="0.25">
      <c r="A702" s="1"/>
      <c r="C702" s="1"/>
      <c r="D702" s="6" t="s">
        <v>413</v>
      </c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4"/>
      <c r="R702" s="7"/>
    </row>
    <row r="703" spans="1:32" ht="12.75" customHeight="1" x14ac:dyDescent="0.2">
      <c r="A703" s="8" t="s">
        <v>2</v>
      </c>
      <c r="B703" s="9" t="s">
        <v>3</v>
      </c>
      <c r="C703" s="10"/>
      <c r="D703" s="11" t="s">
        <v>4</v>
      </c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3"/>
      <c r="Q703" s="14" t="s">
        <v>5</v>
      </c>
      <c r="R703" s="15"/>
    </row>
    <row r="704" spans="1:32" ht="12.75" customHeight="1" x14ac:dyDescent="0.2">
      <c r="A704" s="8"/>
      <c r="B704" s="9"/>
      <c r="C704" s="17"/>
      <c r="D704" s="9" t="s">
        <v>6</v>
      </c>
      <c r="E704" s="9"/>
      <c r="F704" s="9"/>
      <c r="G704" s="9"/>
      <c r="H704" s="9"/>
      <c r="I704" s="18" t="s">
        <v>7</v>
      </c>
      <c r="J704" s="18"/>
      <c r="K704" s="18"/>
      <c r="L704" s="18"/>
      <c r="M704" s="18"/>
      <c r="N704" s="18"/>
      <c r="O704" s="18"/>
      <c r="P704" s="19" t="s">
        <v>8</v>
      </c>
      <c r="Q704" s="20"/>
      <c r="R704" s="21"/>
    </row>
    <row r="705" spans="1:18" ht="15.2" customHeight="1" x14ac:dyDescent="0.2">
      <c r="A705" s="8"/>
      <c r="B705" s="9"/>
      <c r="C705" s="17"/>
      <c r="D705" s="9" t="s">
        <v>9</v>
      </c>
      <c r="E705" s="9"/>
      <c r="F705" s="8" t="s">
        <v>10</v>
      </c>
      <c r="G705" s="8" t="s">
        <v>11</v>
      </c>
      <c r="H705" s="8" t="s">
        <v>12</v>
      </c>
      <c r="I705" s="18" t="s">
        <v>13</v>
      </c>
      <c r="J705" s="18" t="s">
        <v>14</v>
      </c>
      <c r="K705" s="18"/>
      <c r="L705" s="22" t="s">
        <v>15</v>
      </c>
      <c r="M705" s="22" t="s">
        <v>11</v>
      </c>
      <c r="N705" s="22" t="s">
        <v>16</v>
      </c>
      <c r="O705" s="22" t="s">
        <v>17</v>
      </c>
      <c r="P705" s="23"/>
      <c r="Q705" s="23" t="s">
        <v>18</v>
      </c>
      <c r="R705" s="24" t="s">
        <v>19</v>
      </c>
    </row>
    <row r="706" spans="1:18" ht="33.75" customHeight="1" x14ac:dyDescent="0.2">
      <c r="A706" s="8"/>
      <c r="B706" s="9"/>
      <c r="C706" s="25" t="s">
        <v>20</v>
      </c>
      <c r="D706" s="26" t="s">
        <v>21</v>
      </c>
      <c r="E706" s="26" t="s">
        <v>22</v>
      </c>
      <c r="F706" s="8"/>
      <c r="G706" s="8"/>
      <c r="H706" s="8"/>
      <c r="I706" s="18"/>
      <c r="J706" s="27" t="s">
        <v>23</v>
      </c>
      <c r="K706" s="27" t="s">
        <v>24</v>
      </c>
      <c r="L706" s="22"/>
      <c r="M706" s="22"/>
      <c r="N706" s="22"/>
      <c r="O706" s="22"/>
      <c r="P706" s="28"/>
      <c r="Q706" s="28"/>
      <c r="R706" s="29"/>
    </row>
    <row r="707" spans="1:18" s="32" customFormat="1" ht="12" customHeight="1" x14ac:dyDescent="0.25">
      <c r="A707" s="173">
        <v>1</v>
      </c>
      <c r="B707" s="173">
        <v>2</v>
      </c>
      <c r="C707" s="173"/>
      <c r="D707" s="173">
        <v>3</v>
      </c>
      <c r="E707" s="173">
        <v>4</v>
      </c>
      <c r="F707" s="173">
        <v>5</v>
      </c>
      <c r="G707" s="173">
        <v>6</v>
      </c>
      <c r="H707" s="173">
        <v>7</v>
      </c>
      <c r="I707" s="174">
        <v>8</v>
      </c>
      <c r="J707" s="174">
        <v>9</v>
      </c>
      <c r="K707" s="174">
        <v>10</v>
      </c>
      <c r="L707" s="174">
        <v>11</v>
      </c>
      <c r="M707" s="174">
        <v>12</v>
      </c>
      <c r="N707" s="174">
        <v>13</v>
      </c>
      <c r="O707" s="174">
        <v>14</v>
      </c>
      <c r="P707" s="174">
        <v>15</v>
      </c>
      <c r="Q707" s="174">
        <v>16</v>
      </c>
      <c r="R707" s="173">
        <v>17</v>
      </c>
    </row>
    <row r="708" spans="1:18" x14ac:dyDescent="0.2">
      <c r="A708" s="128">
        <v>1</v>
      </c>
      <c r="B708" s="225" t="s">
        <v>48</v>
      </c>
      <c r="C708" s="130" t="s">
        <v>26</v>
      </c>
      <c r="D708" s="131">
        <v>0</v>
      </c>
      <c r="E708" s="131">
        <v>0.83</v>
      </c>
      <c r="F708" s="145">
        <v>0.83</v>
      </c>
      <c r="G708" s="228">
        <v>3320</v>
      </c>
      <c r="H708" s="133" t="s">
        <v>27</v>
      </c>
      <c r="I708" s="245"/>
      <c r="J708" s="246"/>
      <c r="K708" s="246"/>
      <c r="L708" s="246"/>
      <c r="M708" s="246"/>
      <c r="N708" s="246"/>
      <c r="O708" s="246"/>
      <c r="P708" s="246"/>
      <c r="Q708" s="250">
        <v>80640070935</v>
      </c>
      <c r="R708" s="250">
        <v>80640070887</v>
      </c>
    </row>
    <row r="709" spans="1:18" x14ac:dyDescent="0.2">
      <c r="A709" s="128">
        <v>2</v>
      </c>
      <c r="B709" s="230" t="s">
        <v>414</v>
      </c>
      <c r="C709" s="130" t="s">
        <v>26</v>
      </c>
      <c r="D709" s="247">
        <v>0</v>
      </c>
      <c r="E709" s="131">
        <v>8.2000000000000003E-2</v>
      </c>
      <c r="F709" s="145">
        <v>8.2000000000000003E-2</v>
      </c>
      <c r="G709" s="228">
        <v>180</v>
      </c>
      <c r="H709" s="133" t="s">
        <v>27</v>
      </c>
      <c r="I709" s="245"/>
      <c r="J709" s="246"/>
      <c r="K709" s="246"/>
      <c r="L709" s="246"/>
      <c r="M709" s="246"/>
      <c r="N709" s="246"/>
      <c r="O709" s="246"/>
      <c r="P709" s="246"/>
      <c r="Q709" s="250">
        <v>80640070893</v>
      </c>
      <c r="R709" s="250">
        <v>80640070893</v>
      </c>
    </row>
    <row r="710" spans="1:18" x14ac:dyDescent="0.2">
      <c r="A710" s="136"/>
      <c r="B710" s="234"/>
      <c r="C710" s="130" t="s">
        <v>26</v>
      </c>
      <c r="D710" s="247">
        <v>0</v>
      </c>
      <c r="E710" s="131">
        <v>8.1000000000000003E-2</v>
      </c>
      <c r="F710" s="145">
        <v>8.1000000000000003E-2</v>
      </c>
      <c r="G710" s="228">
        <v>178</v>
      </c>
      <c r="H710" s="133" t="s">
        <v>27</v>
      </c>
      <c r="I710" s="245"/>
      <c r="J710" s="246"/>
      <c r="K710" s="246"/>
      <c r="L710" s="246"/>
      <c r="M710" s="246"/>
      <c r="N710" s="246"/>
      <c r="O710" s="246"/>
      <c r="P710" s="246"/>
      <c r="Q710" s="250">
        <v>80640070894</v>
      </c>
      <c r="R710" s="250">
        <v>80640070894</v>
      </c>
    </row>
    <row r="711" spans="1:18" x14ac:dyDescent="0.2">
      <c r="A711" s="136">
        <v>3</v>
      </c>
      <c r="B711" s="235" t="s">
        <v>415</v>
      </c>
      <c r="C711" s="130" t="s">
        <v>26</v>
      </c>
      <c r="D711" s="131">
        <v>0</v>
      </c>
      <c r="E711" s="131">
        <v>0.31</v>
      </c>
      <c r="F711" s="145">
        <v>0.31</v>
      </c>
      <c r="G711" s="228">
        <v>1550</v>
      </c>
      <c r="H711" s="133" t="s">
        <v>27</v>
      </c>
      <c r="I711" s="245"/>
      <c r="J711" s="246"/>
      <c r="K711" s="246"/>
      <c r="L711" s="246"/>
      <c r="M711" s="246"/>
      <c r="N711" s="246"/>
      <c r="O711" s="246"/>
      <c r="P711" s="246"/>
      <c r="Q711" s="250">
        <v>80640070953</v>
      </c>
      <c r="R711" s="250">
        <v>80640070930</v>
      </c>
    </row>
    <row r="712" spans="1:18" x14ac:dyDescent="0.2">
      <c r="A712" s="128">
        <v>4</v>
      </c>
      <c r="B712" s="225" t="s">
        <v>416</v>
      </c>
      <c r="C712" s="130" t="s">
        <v>26</v>
      </c>
      <c r="D712" s="131">
        <v>0</v>
      </c>
      <c r="E712" s="131">
        <v>0.40799999999999997</v>
      </c>
      <c r="F712" s="145">
        <v>0.40799999999999997</v>
      </c>
      <c r="G712" s="228">
        <v>1428</v>
      </c>
      <c r="H712" s="133" t="s">
        <v>27</v>
      </c>
      <c r="I712" s="245"/>
      <c r="J712" s="246"/>
      <c r="K712" s="246"/>
      <c r="L712" s="246"/>
      <c r="M712" s="246"/>
      <c r="N712" s="246"/>
      <c r="O712" s="246"/>
      <c r="P712" s="246"/>
      <c r="Q712" s="250">
        <v>80640070885</v>
      </c>
      <c r="R712" s="250">
        <v>80640070885</v>
      </c>
    </row>
    <row r="713" spans="1:18" x14ac:dyDescent="0.2">
      <c r="A713" s="128">
        <v>5</v>
      </c>
      <c r="B713" s="230" t="s">
        <v>417</v>
      </c>
      <c r="C713" s="130" t="s">
        <v>26</v>
      </c>
      <c r="D713" s="247">
        <v>0</v>
      </c>
      <c r="E713" s="131">
        <v>0.151</v>
      </c>
      <c r="F713" s="145">
        <v>0.151</v>
      </c>
      <c r="G713" s="228">
        <v>378</v>
      </c>
      <c r="H713" s="133" t="s">
        <v>27</v>
      </c>
      <c r="I713" s="245"/>
      <c r="J713" s="246"/>
      <c r="K713" s="246"/>
      <c r="L713" s="246"/>
      <c r="M713" s="246"/>
      <c r="N713" s="246"/>
      <c r="O713" s="246"/>
      <c r="P713" s="246"/>
      <c r="Q713" s="250">
        <v>80640070895</v>
      </c>
      <c r="R713" s="250">
        <v>80640070895</v>
      </c>
    </row>
    <row r="714" spans="1:18" x14ac:dyDescent="0.2">
      <c r="A714" s="134"/>
      <c r="B714" s="234"/>
      <c r="C714" s="130" t="s">
        <v>26</v>
      </c>
      <c r="D714" s="247">
        <v>0</v>
      </c>
      <c r="E714" s="131">
        <v>7.9000000000000001E-2</v>
      </c>
      <c r="F714" s="145">
        <v>7.9000000000000001E-2</v>
      </c>
      <c r="G714" s="228">
        <f>79*3</f>
        <v>237</v>
      </c>
      <c r="H714" s="133" t="s">
        <v>27</v>
      </c>
      <c r="I714" s="245"/>
      <c r="J714" s="246"/>
      <c r="K714" s="246"/>
      <c r="L714" s="246"/>
      <c r="M714" s="246"/>
      <c r="N714" s="246"/>
      <c r="O714" s="246"/>
      <c r="P714" s="246"/>
      <c r="Q714" s="251">
        <v>80640070896</v>
      </c>
      <c r="R714" s="251">
        <v>80640070896</v>
      </c>
    </row>
    <row r="715" spans="1:18" x14ac:dyDescent="0.2">
      <c r="A715" s="128">
        <v>6</v>
      </c>
      <c r="B715" s="236" t="s">
        <v>418</v>
      </c>
      <c r="C715" s="130" t="s">
        <v>26</v>
      </c>
      <c r="D715" s="247">
        <v>0</v>
      </c>
      <c r="E715" s="131">
        <v>0.16500000000000001</v>
      </c>
      <c r="F715" s="145">
        <v>0.16500000000000001</v>
      </c>
      <c r="G715" s="228">
        <f>165*2.2</f>
        <v>363.00000000000006</v>
      </c>
      <c r="H715" s="133" t="s">
        <v>27</v>
      </c>
      <c r="I715" s="245"/>
      <c r="J715" s="246"/>
      <c r="K715" s="246"/>
      <c r="L715" s="246"/>
      <c r="M715" s="246"/>
      <c r="N715" s="246"/>
      <c r="O715" s="246"/>
      <c r="P715" s="246"/>
      <c r="Q715" s="250">
        <v>80640070897</v>
      </c>
      <c r="R715" s="250">
        <v>80640070897</v>
      </c>
    </row>
    <row r="716" spans="1:18" x14ac:dyDescent="0.2">
      <c r="A716" s="134"/>
      <c r="B716" s="234"/>
      <c r="C716" s="130" t="s">
        <v>26</v>
      </c>
      <c r="D716" s="247">
        <v>0</v>
      </c>
      <c r="E716" s="131">
        <f>D716+F716</f>
        <v>8.3000000000000004E-2</v>
      </c>
      <c r="F716" s="145">
        <v>8.3000000000000004E-2</v>
      </c>
      <c r="G716" s="228">
        <f>83*2</f>
        <v>166</v>
      </c>
      <c r="H716" s="133" t="s">
        <v>27</v>
      </c>
      <c r="I716" s="245"/>
      <c r="J716" s="246"/>
      <c r="K716" s="246"/>
      <c r="L716" s="246"/>
      <c r="M716" s="246"/>
      <c r="N716" s="246"/>
      <c r="O716" s="246"/>
      <c r="P716" s="246"/>
      <c r="Q716" s="250">
        <v>80640070898</v>
      </c>
      <c r="R716" s="250">
        <v>80640070898</v>
      </c>
    </row>
    <row r="717" spans="1:18" x14ac:dyDescent="0.2">
      <c r="A717" s="128">
        <v>7</v>
      </c>
      <c r="B717" s="236" t="s">
        <v>419</v>
      </c>
      <c r="C717" s="130" t="s">
        <v>26</v>
      </c>
      <c r="D717" s="247">
        <v>0</v>
      </c>
      <c r="E717" s="131">
        <v>0.182</v>
      </c>
      <c r="F717" s="145">
        <v>0.182</v>
      </c>
      <c r="G717" s="228">
        <f>182*2.5</f>
        <v>455</v>
      </c>
      <c r="H717" s="133" t="s">
        <v>27</v>
      </c>
      <c r="I717" s="245"/>
      <c r="J717" s="246"/>
      <c r="K717" s="246"/>
      <c r="L717" s="246"/>
      <c r="M717" s="246"/>
      <c r="N717" s="246"/>
      <c r="O717" s="246"/>
      <c r="P717" s="246"/>
      <c r="Q717" s="250">
        <v>80640070899</v>
      </c>
      <c r="R717" s="250">
        <v>80640070899</v>
      </c>
    </row>
    <row r="718" spans="1:18" x14ac:dyDescent="0.2">
      <c r="A718" s="134"/>
      <c r="B718" s="234"/>
      <c r="C718" s="130" t="s">
        <v>26</v>
      </c>
      <c r="D718" s="247">
        <v>0</v>
      </c>
      <c r="E718" s="131">
        <f>D718+F718</f>
        <v>8.5000000000000006E-2</v>
      </c>
      <c r="F718" s="145">
        <v>8.5000000000000006E-2</v>
      </c>
      <c r="G718" s="228">
        <f>85*2</f>
        <v>170</v>
      </c>
      <c r="H718" s="133" t="s">
        <v>27</v>
      </c>
      <c r="I718" s="245"/>
      <c r="J718" s="246"/>
      <c r="K718" s="246"/>
      <c r="L718" s="246"/>
      <c r="M718" s="246"/>
      <c r="N718" s="246"/>
      <c r="O718" s="246"/>
      <c r="P718" s="246"/>
      <c r="Q718" s="250">
        <v>80640070900</v>
      </c>
      <c r="R718" s="250">
        <v>80640070900</v>
      </c>
    </row>
    <row r="719" spans="1:18" x14ac:dyDescent="0.2">
      <c r="A719" s="128">
        <v>8</v>
      </c>
      <c r="B719" s="236" t="s">
        <v>420</v>
      </c>
      <c r="C719" s="130" t="s">
        <v>26</v>
      </c>
      <c r="D719" s="247">
        <v>0</v>
      </c>
      <c r="E719" s="131">
        <v>0.182</v>
      </c>
      <c r="F719" s="145">
        <v>0.182</v>
      </c>
      <c r="G719" s="228">
        <f>182*2.5</f>
        <v>455</v>
      </c>
      <c r="H719" s="133" t="s">
        <v>27</v>
      </c>
      <c r="I719" s="245"/>
      <c r="J719" s="246"/>
      <c r="K719" s="246"/>
      <c r="L719" s="246"/>
      <c r="M719" s="246"/>
      <c r="N719" s="246"/>
      <c r="O719" s="246"/>
      <c r="P719" s="246"/>
      <c r="Q719" s="250">
        <v>80640070901</v>
      </c>
      <c r="R719" s="250">
        <v>80640070901</v>
      </c>
    </row>
    <row r="720" spans="1:18" x14ac:dyDescent="0.2">
      <c r="A720" s="134"/>
      <c r="B720" s="234"/>
      <c r="C720" s="130" t="s">
        <v>26</v>
      </c>
      <c r="D720" s="247">
        <v>0</v>
      </c>
      <c r="E720" s="131">
        <f>D720+F720</f>
        <v>8.5000000000000006E-2</v>
      </c>
      <c r="F720" s="145">
        <v>8.5000000000000006E-2</v>
      </c>
      <c r="G720" s="228">
        <v>213</v>
      </c>
      <c r="H720" s="133" t="s">
        <v>27</v>
      </c>
      <c r="I720" s="245"/>
      <c r="J720" s="246"/>
      <c r="K720" s="246"/>
      <c r="L720" s="246"/>
      <c r="M720" s="246"/>
      <c r="N720" s="246"/>
      <c r="O720" s="246"/>
      <c r="P720" s="246"/>
      <c r="Q720" s="250">
        <v>80640070902</v>
      </c>
      <c r="R720" s="250">
        <v>80640070902</v>
      </c>
    </row>
    <row r="721" spans="1:18" x14ac:dyDescent="0.2">
      <c r="A721" s="128">
        <v>9</v>
      </c>
      <c r="B721" s="236" t="s">
        <v>421</v>
      </c>
      <c r="C721" s="130" t="s">
        <v>26</v>
      </c>
      <c r="D721" s="247">
        <v>0</v>
      </c>
      <c r="E721" s="131">
        <v>0.14399999999999999</v>
      </c>
      <c r="F721" s="145">
        <v>0.14399999999999999</v>
      </c>
      <c r="G721" s="228">
        <f>2.5*144</f>
        <v>360</v>
      </c>
      <c r="H721" s="133" t="s">
        <v>27</v>
      </c>
      <c r="I721" s="245"/>
      <c r="J721" s="246"/>
      <c r="K721" s="246"/>
      <c r="L721" s="246"/>
      <c r="M721" s="246"/>
      <c r="N721" s="246"/>
      <c r="O721" s="246"/>
      <c r="P721" s="246"/>
      <c r="Q721" s="250">
        <v>80640070903</v>
      </c>
      <c r="R721" s="250">
        <v>80640070903</v>
      </c>
    </row>
    <row r="722" spans="1:18" x14ac:dyDescent="0.2">
      <c r="A722" s="134"/>
      <c r="B722" s="234"/>
      <c r="C722" s="130" t="s">
        <v>26</v>
      </c>
      <c r="D722" s="247">
        <v>0</v>
      </c>
      <c r="E722" s="131">
        <f>D722+F722</f>
        <v>8.2000000000000003E-2</v>
      </c>
      <c r="F722" s="145">
        <v>8.2000000000000003E-2</v>
      </c>
      <c r="G722" s="228">
        <f>82*2.5</f>
        <v>205</v>
      </c>
      <c r="H722" s="133" t="s">
        <v>27</v>
      </c>
      <c r="I722" s="245"/>
      <c r="J722" s="246"/>
      <c r="K722" s="246"/>
      <c r="L722" s="246"/>
      <c r="M722" s="246"/>
      <c r="N722" s="246"/>
      <c r="O722" s="246"/>
      <c r="P722" s="246"/>
      <c r="Q722" s="250">
        <v>80640070904</v>
      </c>
      <c r="R722" s="250">
        <v>80640070904</v>
      </c>
    </row>
    <row r="723" spans="1:18" x14ac:dyDescent="0.2">
      <c r="A723" s="128">
        <v>10</v>
      </c>
      <c r="B723" s="236" t="s">
        <v>422</v>
      </c>
      <c r="C723" s="130" t="s">
        <v>26</v>
      </c>
      <c r="D723" s="247">
        <v>0</v>
      </c>
      <c r="E723" s="131">
        <v>0.104</v>
      </c>
      <c r="F723" s="145">
        <v>0.104</v>
      </c>
      <c r="G723" s="228">
        <f>104*2.5</f>
        <v>260</v>
      </c>
      <c r="H723" s="133" t="s">
        <v>27</v>
      </c>
      <c r="I723" s="245"/>
      <c r="J723" s="246"/>
      <c r="K723" s="246"/>
      <c r="L723" s="246"/>
      <c r="M723" s="246"/>
      <c r="N723" s="246"/>
      <c r="O723" s="246"/>
      <c r="P723" s="246"/>
      <c r="Q723" s="250">
        <v>80640070905</v>
      </c>
      <c r="R723" s="250">
        <v>80640070905</v>
      </c>
    </row>
    <row r="724" spans="1:18" x14ac:dyDescent="0.2">
      <c r="A724" s="134"/>
      <c r="B724" s="234"/>
      <c r="C724" s="130" t="s">
        <v>26</v>
      </c>
      <c r="D724" s="247">
        <v>0</v>
      </c>
      <c r="E724" s="131">
        <f>D724+0.085</f>
        <v>8.5000000000000006E-2</v>
      </c>
      <c r="F724" s="145">
        <v>8.5000000000000006E-2</v>
      </c>
      <c r="G724" s="228">
        <v>213</v>
      </c>
      <c r="H724" s="133" t="s">
        <v>27</v>
      </c>
      <c r="I724" s="245"/>
      <c r="J724" s="246"/>
      <c r="K724" s="246"/>
      <c r="L724" s="246"/>
      <c r="M724" s="246"/>
      <c r="N724" s="246"/>
      <c r="O724" s="246"/>
      <c r="P724" s="246"/>
      <c r="Q724" s="250">
        <v>80640070906</v>
      </c>
      <c r="R724" s="250">
        <v>80640070906</v>
      </c>
    </row>
    <row r="725" spans="1:18" x14ac:dyDescent="0.2">
      <c r="A725" s="128">
        <v>11</v>
      </c>
      <c r="B725" s="230" t="s">
        <v>423</v>
      </c>
      <c r="C725" s="130" t="s">
        <v>26</v>
      </c>
      <c r="D725" s="247">
        <v>0</v>
      </c>
      <c r="E725" s="131">
        <v>6.7000000000000004E-2</v>
      </c>
      <c r="F725" s="145">
        <v>6.7000000000000004E-2</v>
      </c>
      <c r="G725" s="228">
        <v>168</v>
      </c>
      <c r="H725" s="133" t="s">
        <v>27</v>
      </c>
      <c r="I725" s="245"/>
      <c r="J725" s="246"/>
      <c r="K725" s="246"/>
      <c r="L725" s="246"/>
      <c r="M725" s="246"/>
      <c r="N725" s="246"/>
      <c r="O725" s="246"/>
      <c r="P725" s="246"/>
      <c r="Q725" s="250">
        <v>80640070907</v>
      </c>
      <c r="R725" s="250">
        <v>80640070907</v>
      </c>
    </row>
    <row r="726" spans="1:18" x14ac:dyDescent="0.2">
      <c r="A726" s="136"/>
      <c r="B726" s="234"/>
      <c r="C726" s="130" t="s">
        <v>26</v>
      </c>
      <c r="D726" s="247">
        <v>0</v>
      </c>
      <c r="E726" s="131">
        <v>0.154</v>
      </c>
      <c r="F726" s="145">
        <f>E726-D726</f>
        <v>0.154</v>
      </c>
      <c r="G726" s="228">
        <v>218</v>
      </c>
      <c r="H726" s="133" t="s">
        <v>27</v>
      </c>
      <c r="I726" s="245"/>
      <c r="J726" s="246"/>
      <c r="K726" s="246"/>
      <c r="L726" s="246"/>
      <c r="M726" s="246"/>
      <c r="N726" s="246"/>
      <c r="O726" s="246"/>
      <c r="P726" s="246"/>
      <c r="Q726" s="250">
        <v>80640070908</v>
      </c>
      <c r="R726" s="250">
        <v>80640070908</v>
      </c>
    </row>
    <row r="727" spans="1:18" x14ac:dyDescent="0.2">
      <c r="A727" s="136">
        <v>12</v>
      </c>
      <c r="B727" s="133" t="s">
        <v>424</v>
      </c>
      <c r="C727" s="130" t="s">
        <v>26</v>
      </c>
      <c r="D727" s="131">
        <v>0</v>
      </c>
      <c r="E727" s="131">
        <v>0.8</v>
      </c>
      <c r="F727" s="145">
        <v>0.8</v>
      </c>
      <c r="G727" s="228">
        <v>3200</v>
      </c>
      <c r="H727" s="133" t="s">
        <v>27</v>
      </c>
      <c r="I727" s="245"/>
      <c r="J727" s="246"/>
      <c r="K727" s="246"/>
      <c r="L727" s="246"/>
      <c r="M727" s="246"/>
      <c r="N727" s="246"/>
      <c r="O727" s="246"/>
      <c r="P727" s="246"/>
      <c r="Q727" s="250">
        <v>80640070934</v>
      </c>
      <c r="R727" s="250">
        <v>80640070886</v>
      </c>
    </row>
    <row r="728" spans="1:18" x14ac:dyDescent="0.2">
      <c r="A728" s="128">
        <v>13</v>
      </c>
      <c r="B728" s="225" t="s">
        <v>425</v>
      </c>
      <c r="C728" s="130" t="s">
        <v>26</v>
      </c>
      <c r="D728" s="131">
        <v>0</v>
      </c>
      <c r="E728" s="131">
        <v>1.5</v>
      </c>
      <c r="F728" s="145">
        <v>1.5</v>
      </c>
      <c r="G728" s="228">
        <v>6000</v>
      </c>
      <c r="H728" s="133" t="s">
        <v>27</v>
      </c>
      <c r="I728" s="245"/>
      <c r="J728" s="246"/>
      <c r="K728" s="246"/>
      <c r="L728" s="246"/>
      <c r="M728" s="246"/>
      <c r="N728" s="246"/>
      <c r="O728" s="246"/>
      <c r="P728" s="246"/>
      <c r="Q728" s="250">
        <v>80640070932</v>
      </c>
      <c r="R728" s="250">
        <v>80640070884</v>
      </c>
    </row>
    <row r="729" spans="1:18" x14ac:dyDescent="0.2">
      <c r="A729" s="128">
        <v>16</v>
      </c>
      <c r="B729" s="230" t="s">
        <v>426</v>
      </c>
      <c r="C729" s="130" t="s">
        <v>26</v>
      </c>
      <c r="D729" s="247">
        <v>0</v>
      </c>
      <c r="E729" s="131">
        <v>0.85</v>
      </c>
      <c r="F729" s="145">
        <v>0.85</v>
      </c>
      <c r="G729" s="228">
        <v>3400</v>
      </c>
      <c r="H729" s="133" t="s">
        <v>27</v>
      </c>
      <c r="I729" s="245"/>
      <c r="J729" s="246"/>
      <c r="K729" s="246"/>
      <c r="L729" s="246"/>
      <c r="M729" s="246"/>
      <c r="N729" s="246"/>
      <c r="O729" s="246"/>
      <c r="P729" s="246"/>
      <c r="Q729" s="250">
        <v>80640070845</v>
      </c>
      <c r="R729" s="250">
        <v>80640070317</v>
      </c>
    </row>
    <row r="730" spans="1:18" x14ac:dyDescent="0.2">
      <c r="A730" s="134"/>
      <c r="B730" s="236"/>
      <c r="C730" s="130" t="s">
        <v>26</v>
      </c>
      <c r="D730" s="247">
        <f>E729</f>
        <v>0.85</v>
      </c>
      <c r="E730" s="131">
        <f>D731</f>
        <v>1.6479999999999999</v>
      </c>
      <c r="F730" s="145">
        <f>E730-D730</f>
        <v>0.79799999999999993</v>
      </c>
      <c r="G730" s="228">
        <f>4*798</f>
        <v>3192</v>
      </c>
      <c r="H730" s="133" t="s">
        <v>27</v>
      </c>
      <c r="I730" s="245"/>
      <c r="J730" s="246"/>
      <c r="K730" s="246"/>
      <c r="L730" s="246"/>
      <c r="M730" s="246"/>
      <c r="N730" s="246"/>
      <c r="O730" s="246"/>
      <c r="P730" s="246"/>
      <c r="Q730" s="252" t="s">
        <v>252</v>
      </c>
      <c r="R730" s="250">
        <v>80640070882</v>
      </c>
    </row>
    <row r="731" spans="1:18" x14ac:dyDescent="0.2">
      <c r="A731" s="136"/>
      <c r="B731" s="234"/>
      <c r="C731" s="130" t="s">
        <v>26</v>
      </c>
      <c r="D731" s="247">
        <v>1.6479999999999999</v>
      </c>
      <c r="E731" s="131">
        <v>2.6280000000000001</v>
      </c>
      <c r="F731" s="145">
        <v>0.98</v>
      </c>
      <c r="G731" s="228">
        <v>3920</v>
      </c>
      <c r="H731" s="133" t="s">
        <v>27</v>
      </c>
      <c r="I731" s="245"/>
      <c r="J731" s="246"/>
      <c r="K731" s="246"/>
      <c r="L731" s="246"/>
      <c r="M731" s="246"/>
      <c r="N731" s="246"/>
      <c r="O731" s="246"/>
      <c r="P731" s="246"/>
      <c r="Q731" s="250">
        <v>80640070845</v>
      </c>
      <c r="R731" s="250">
        <v>80640070846</v>
      </c>
    </row>
    <row r="732" spans="1:18" x14ac:dyDescent="0.2">
      <c r="A732" s="130">
        <v>15</v>
      </c>
      <c r="B732" s="225" t="s">
        <v>427</v>
      </c>
      <c r="C732" s="130" t="s">
        <v>26</v>
      </c>
      <c r="D732" s="131">
        <v>0</v>
      </c>
      <c r="E732" s="131">
        <v>0.73</v>
      </c>
      <c r="F732" s="145">
        <v>0.73</v>
      </c>
      <c r="G732" s="228">
        <v>2920</v>
      </c>
      <c r="H732" s="133" t="s">
        <v>27</v>
      </c>
      <c r="I732" s="245"/>
      <c r="J732" s="246"/>
      <c r="K732" s="246"/>
      <c r="L732" s="246"/>
      <c r="M732" s="246"/>
      <c r="N732" s="246"/>
      <c r="O732" s="246"/>
      <c r="P732" s="246"/>
      <c r="Q732" s="250">
        <v>80640070937</v>
      </c>
      <c r="R732" s="250">
        <v>80640070889</v>
      </c>
    </row>
    <row r="733" spans="1:18" x14ac:dyDescent="0.2">
      <c r="A733" s="128">
        <v>16</v>
      </c>
      <c r="B733" s="225" t="s">
        <v>428</v>
      </c>
      <c r="C733" s="130" t="s">
        <v>26</v>
      </c>
      <c r="D733" s="247">
        <v>0</v>
      </c>
      <c r="E733" s="131">
        <v>0.08</v>
      </c>
      <c r="F733" s="145">
        <v>0.08</v>
      </c>
      <c r="G733" s="228">
        <f>80*2.5</f>
        <v>200</v>
      </c>
      <c r="H733" s="133" t="s">
        <v>27</v>
      </c>
      <c r="I733" s="245"/>
      <c r="J733" s="246"/>
      <c r="K733" s="246"/>
      <c r="L733" s="246"/>
      <c r="M733" s="246"/>
      <c r="N733" s="246"/>
      <c r="O733" s="246"/>
      <c r="P733" s="246"/>
      <c r="Q733" s="250">
        <v>80640070927</v>
      </c>
      <c r="R733" s="250">
        <v>80640070927</v>
      </c>
    </row>
    <row r="734" spans="1:18" x14ac:dyDescent="0.2">
      <c r="A734" s="136"/>
      <c r="B734" s="233"/>
      <c r="C734" s="130" t="s">
        <v>26</v>
      </c>
      <c r="D734" s="247">
        <v>0</v>
      </c>
      <c r="E734" s="131">
        <v>0.16800000000000001</v>
      </c>
      <c r="F734" s="145">
        <v>0.16800000000000001</v>
      </c>
      <c r="G734" s="228">
        <v>370</v>
      </c>
      <c r="H734" s="133" t="s">
        <v>27</v>
      </c>
      <c r="I734" s="245"/>
      <c r="J734" s="246"/>
      <c r="K734" s="246"/>
      <c r="L734" s="246"/>
      <c r="M734" s="246"/>
      <c r="N734" s="246"/>
      <c r="O734" s="246"/>
      <c r="P734" s="246"/>
      <c r="Q734" s="250">
        <v>80640070928</v>
      </c>
      <c r="R734" s="250">
        <v>80640070928</v>
      </c>
    </row>
    <row r="735" spans="1:18" x14ac:dyDescent="0.2">
      <c r="A735" s="128">
        <v>17</v>
      </c>
      <c r="B735" s="225" t="s">
        <v>429</v>
      </c>
      <c r="C735" s="130" t="s">
        <v>26</v>
      </c>
      <c r="D735" s="247">
        <v>0</v>
      </c>
      <c r="E735" s="131">
        <v>8.3000000000000004E-2</v>
      </c>
      <c r="F735" s="145">
        <v>8.3000000000000004E-2</v>
      </c>
      <c r="G735" s="228">
        <v>183</v>
      </c>
      <c r="H735" s="133" t="s">
        <v>27</v>
      </c>
      <c r="I735" s="245"/>
      <c r="J735" s="246"/>
      <c r="K735" s="246"/>
      <c r="L735" s="246"/>
      <c r="M735" s="246"/>
      <c r="N735" s="246"/>
      <c r="O735" s="246"/>
      <c r="P735" s="246"/>
      <c r="Q735" s="250">
        <v>80640070923</v>
      </c>
      <c r="R735" s="250">
        <v>80640070923</v>
      </c>
    </row>
    <row r="736" spans="1:18" x14ac:dyDescent="0.2">
      <c r="A736" s="136"/>
      <c r="B736" s="233"/>
      <c r="C736" s="130" t="s">
        <v>26</v>
      </c>
      <c r="D736" s="247">
        <v>0</v>
      </c>
      <c r="E736" s="131">
        <v>0.17799999999999999</v>
      </c>
      <c r="F736" s="145">
        <v>0.17799999999999999</v>
      </c>
      <c r="G736" s="228">
        <v>392</v>
      </c>
      <c r="H736" s="133" t="s">
        <v>27</v>
      </c>
      <c r="I736" s="245"/>
      <c r="J736" s="246"/>
      <c r="K736" s="246"/>
      <c r="L736" s="246"/>
      <c r="M736" s="246"/>
      <c r="N736" s="246"/>
      <c r="O736" s="246"/>
      <c r="P736" s="246"/>
      <c r="Q736" s="250">
        <v>80640070924</v>
      </c>
      <c r="R736" s="250">
        <v>80640070924</v>
      </c>
    </row>
    <row r="737" spans="1:32" x14ac:dyDescent="0.2">
      <c r="A737" s="128">
        <v>18</v>
      </c>
      <c r="B737" s="225" t="s">
        <v>430</v>
      </c>
      <c r="C737" s="130" t="s">
        <v>26</v>
      </c>
      <c r="D737" s="247">
        <v>0</v>
      </c>
      <c r="E737" s="131">
        <v>8.1000000000000003E-2</v>
      </c>
      <c r="F737" s="145">
        <v>8.1000000000000003E-2</v>
      </c>
      <c r="G737" s="228">
        <v>203</v>
      </c>
      <c r="H737" s="133" t="s">
        <v>27</v>
      </c>
      <c r="I737" s="245"/>
      <c r="J737" s="246"/>
      <c r="K737" s="246"/>
      <c r="L737" s="246"/>
      <c r="M737" s="246"/>
      <c r="N737" s="246"/>
      <c r="O737" s="246"/>
      <c r="P737" s="246"/>
      <c r="Q737" s="250">
        <v>80640070921</v>
      </c>
      <c r="R737" s="250">
        <v>80640070921</v>
      </c>
    </row>
    <row r="738" spans="1:32" x14ac:dyDescent="0.2">
      <c r="A738" s="136"/>
      <c r="B738" s="233"/>
      <c r="C738" s="130" t="s">
        <v>26</v>
      </c>
      <c r="D738" s="247">
        <v>0</v>
      </c>
      <c r="E738" s="131">
        <v>0.188</v>
      </c>
      <c r="F738" s="145">
        <v>0.188</v>
      </c>
      <c r="G738" s="228">
        <v>414</v>
      </c>
      <c r="H738" s="133" t="s">
        <v>27</v>
      </c>
      <c r="I738" s="245"/>
      <c r="J738" s="246"/>
      <c r="K738" s="246"/>
      <c r="L738" s="246"/>
      <c r="M738" s="246"/>
      <c r="N738" s="246"/>
      <c r="O738" s="246"/>
      <c r="P738" s="246"/>
      <c r="Q738" s="250">
        <v>80640070922</v>
      </c>
      <c r="R738" s="250">
        <v>80640070922</v>
      </c>
    </row>
    <row r="739" spans="1:32" x14ac:dyDescent="0.2">
      <c r="A739" s="128">
        <v>19</v>
      </c>
      <c r="B739" s="225" t="s">
        <v>431</v>
      </c>
      <c r="C739" s="130" t="s">
        <v>26</v>
      </c>
      <c r="D739" s="247">
        <v>0</v>
      </c>
      <c r="E739" s="131">
        <v>8.2000000000000003E-2</v>
      </c>
      <c r="F739" s="145">
        <v>8.2000000000000003E-2</v>
      </c>
      <c r="G739" s="228">
        <f>82*2.5</f>
        <v>205</v>
      </c>
      <c r="H739" s="133" t="s">
        <v>27</v>
      </c>
      <c r="I739" s="245"/>
      <c r="J739" s="246"/>
      <c r="K739" s="246"/>
      <c r="L739" s="246"/>
      <c r="M739" s="246"/>
      <c r="N739" s="246"/>
      <c r="O739" s="246"/>
      <c r="P739" s="246"/>
      <c r="Q739" s="250">
        <v>80640070918</v>
      </c>
      <c r="R739" s="250">
        <v>80640070918</v>
      </c>
    </row>
    <row r="740" spans="1:32" x14ac:dyDescent="0.2">
      <c r="A740" s="136"/>
      <c r="B740" s="233"/>
      <c r="C740" s="130" t="s">
        <v>26</v>
      </c>
      <c r="D740" s="247">
        <v>0</v>
      </c>
      <c r="E740" s="131">
        <v>0.19900000000000001</v>
      </c>
      <c r="F740" s="145">
        <v>0.19900000000000001</v>
      </c>
      <c r="G740" s="228">
        <v>498</v>
      </c>
      <c r="H740" s="133" t="s">
        <v>27</v>
      </c>
      <c r="I740" s="245"/>
      <c r="J740" s="246"/>
      <c r="K740" s="246"/>
      <c r="L740" s="246"/>
      <c r="M740" s="246"/>
      <c r="N740" s="246"/>
      <c r="O740" s="246"/>
      <c r="P740" s="246"/>
      <c r="Q740" s="250">
        <v>80640070919</v>
      </c>
      <c r="R740" s="250">
        <v>80640070919</v>
      </c>
    </row>
    <row r="741" spans="1:32" x14ac:dyDescent="0.2">
      <c r="A741" s="128">
        <v>20</v>
      </c>
      <c r="B741" s="225" t="s">
        <v>432</v>
      </c>
      <c r="C741" s="130" t="s">
        <v>26</v>
      </c>
      <c r="D741" s="247">
        <v>0</v>
      </c>
      <c r="E741" s="131">
        <v>8.5000000000000006E-2</v>
      </c>
      <c r="F741" s="145">
        <v>8.5000000000000006E-2</v>
      </c>
      <c r="G741" s="228">
        <f>85*2.2</f>
        <v>187.00000000000003</v>
      </c>
      <c r="H741" s="133" t="s">
        <v>27</v>
      </c>
      <c r="I741" s="245"/>
      <c r="J741" s="246"/>
      <c r="K741" s="246"/>
      <c r="L741" s="246"/>
      <c r="M741" s="246"/>
      <c r="N741" s="246"/>
      <c r="O741" s="246"/>
      <c r="P741" s="246"/>
      <c r="Q741" s="250">
        <v>80640070916</v>
      </c>
      <c r="R741" s="250">
        <v>80640070916</v>
      </c>
    </row>
    <row r="742" spans="1:32" x14ac:dyDescent="0.2">
      <c r="A742" s="136"/>
      <c r="B742" s="233"/>
      <c r="C742" s="130" t="s">
        <v>26</v>
      </c>
      <c r="D742" s="247">
        <v>0</v>
      </c>
      <c r="E742" s="131">
        <v>0.20799999999999999</v>
      </c>
      <c r="F742" s="145">
        <v>0.20799999999999999</v>
      </c>
      <c r="G742" s="228">
        <f>208*2.5</f>
        <v>520</v>
      </c>
      <c r="H742" s="133" t="s">
        <v>27</v>
      </c>
      <c r="I742" s="245"/>
      <c r="J742" s="246"/>
      <c r="K742" s="246"/>
      <c r="L742" s="246"/>
      <c r="M742" s="246"/>
      <c r="N742" s="246"/>
      <c r="O742" s="246"/>
      <c r="P742" s="246"/>
      <c r="Q742" s="250">
        <v>80640070917</v>
      </c>
      <c r="R742" s="250">
        <v>80640070917</v>
      </c>
    </row>
    <row r="743" spans="1:32" x14ac:dyDescent="0.2">
      <c r="A743" s="128">
        <v>21</v>
      </c>
      <c r="B743" s="225" t="s">
        <v>433</v>
      </c>
      <c r="C743" s="130" t="s">
        <v>26</v>
      </c>
      <c r="D743" s="247">
        <v>0</v>
      </c>
      <c r="E743" s="131">
        <v>8.3000000000000004E-2</v>
      </c>
      <c r="F743" s="145">
        <v>8.3000000000000004E-2</v>
      </c>
      <c r="G743" s="228">
        <v>208</v>
      </c>
      <c r="H743" s="133" t="s">
        <v>27</v>
      </c>
      <c r="I743" s="245"/>
      <c r="J743" s="246"/>
      <c r="K743" s="246"/>
      <c r="L743" s="246"/>
      <c r="M743" s="246"/>
      <c r="N743" s="246"/>
      <c r="O743" s="246"/>
      <c r="P743" s="246"/>
      <c r="Q743" s="250">
        <v>80640070912</v>
      </c>
      <c r="R743" s="250">
        <v>80640070912</v>
      </c>
    </row>
    <row r="744" spans="1:32" x14ac:dyDescent="0.2">
      <c r="A744" s="136"/>
      <c r="B744" s="233"/>
      <c r="C744" s="130" t="s">
        <v>26</v>
      </c>
      <c r="D744" s="247">
        <v>0</v>
      </c>
      <c r="E744" s="131">
        <v>0.20599999999999999</v>
      </c>
      <c r="F744" s="145">
        <v>0.20599999999999999</v>
      </c>
      <c r="G744" s="228">
        <f>206*3</f>
        <v>618</v>
      </c>
      <c r="H744" s="133" t="s">
        <v>27</v>
      </c>
      <c r="I744" s="245"/>
      <c r="J744" s="246"/>
      <c r="K744" s="246"/>
      <c r="L744" s="246"/>
      <c r="M744" s="246"/>
      <c r="N744" s="246"/>
      <c r="O744" s="246"/>
      <c r="P744" s="246"/>
      <c r="Q744" s="250">
        <v>80640070913</v>
      </c>
      <c r="R744" s="250">
        <v>80640070913</v>
      </c>
    </row>
    <row r="745" spans="1:32" x14ac:dyDescent="0.2">
      <c r="A745" s="128">
        <v>22</v>
      </c>
      <c r="B745" s="225" t="s">
        <v>434</v>
      </c>
      <c r="C745" s="130" t="s">
        <v>26</v>
      </c>
      <c r="D745" s="247">
        <v>0</v>
      </c>
      <c r="E745" s="131">
        <v>8.3000000000000004E-2</v>
      </c>
      <c r="F745" s="145">
        <v>8.3000000000000004E-2</v>
      </c>
      <c r="G745" s="228">
        <f>83*2</f>
        <v>166</v>
      </c>
      <c r="H745" s="133" t="s">
        <v>27</v>
      </c>
      <c r="I745" s="245"/>
      <c r="J745" s="246"/>
      <c r="K745" s="246"/>
      <c r="L745" s="246"/>
      <c r="M745" s="246"/>
      <c r="N745" s="246"/>
      <c r="O745" s="246"/>
      <c r="P745" s="246"/>
      <c r="Q745" s="250">
        <v>80640070910</v>
      </c>
      <c r="R745" s="250">
        <v>80640070910</v>
      </c>
    </row>
    <row r="746" spans="1:32" x14ac:dyDescent="0.2">
      <c r="A746" s="136"/>
      <c r="B746" s="235"/>
      <c r="C746" s="130" t="s">
        <v>26</v>
      </c>
      <c r="D746" s="247">
        <v>0</v>
      </c>
      <c r="E746" s="131">
        <v>0.114</v>
      </c>
      <c r="F746" s="145">
        <v>0.114</v>
      </c>
      <c r="G746" s="228">
        <v>251</v>
      </c>
      <c r="H746" s="133" t="s">
        <v>27</v>
      </c>
      <c r="I746" s="245"/>
      <c r="J746" s="246"/>
      <c r="K746" s="246"/>
      <c r="L746" s="246"/>
      <c r="M746" s="246"/>
      <c r="N746" s="246"/>
      <c r="O746" s="246"/>
      <c r="P746" s="246"/>
      <c r="Q746" s="250">
        <v>80640070911</v>
      </c>
      <c r="R746" s="250">
        <v>80640070911</v>
      </c>
    </row>
    <row r="747" spans="1:32" x14ac:dyDescent="0.2">
      <c r="A747" s="128">
        <v>23</v>
      </c>
      <c r="B747" s="236" t="s">
        <v>435</v>
      </c>
      <c r="C747" s="130" t="s">
        <v>26</v>
      </c>
      <c r="D747" s="247">
        <v>0</v>
      </c>
      <c r="E747" s="131">
        <v>0.13</v>
      </c>
      <c r="F747" s="145">
        <v>0.13</v>
      </c>
      <c r="G747" s="228">
        <v>520</v>
      </c>
      <c r="H747" s="133" t="s">
        <v>27</v>
      </c>
      <c r="I747" s="245"/>
      <c r="J747" s="246"/>
      <c r="K747" s="246"/>
      <c r="L747" s="246"/>
      <c r="M747" s="246"/>
      <c r="N747" s="246"/>
      <c r="O747" s="246"/>
      <c r="P747" s="246"/>
      <c r="Q747" s="250">
        <v>80640070938</v>
      </c>
      <c r="R747" s="250">
        <v>80640070891</v>
      </c>
    </row>
    <row r="748" spans="1:32" x14ac:dyDescent="0.2">
      <c r="A748" s="136"/>
      <c r="B748" s="234"/>
      <c r="C748" s="130" t="s">
        <v>26</v>
      </c>
      <c r="D748" s="247">
        <v>0.14399999999999999</v>
      </c>
      <c r="E748" s="131">
        <v>0.52400000000000002</v>
      </c>
      <c r="F748" s="145">
        <v>0.38</v>
      </c>
      <c r="G748" s="228">
        <v>1520</v>
      </c>
      <c r="H748" s="133" t="s">
        <v>27</v>
      </c>
      <c r="I748" s="245"/>
      <c r="J748" s="246"/>
      <c r="K748" s="246"/>
      <c r="L748" s="246"/>
      <c r="M748" s="246"/>
      <c r="N748" s="246"/>
      <c r="O748" s="246"/>
      <c r="P748" s="246"/>
      <c r="Q748" s="250">
        <v>80640070938</v>
      </c>
      <c r="R748" s="250">
        <v>80640070890</v>
      </c>
    </row>
    <row r="749" spans="1:32" x14ac:dyDescent="0.2">
      <c r="A749" s="136">
        <v>24</v>
      </c>
      <c r="B749" s="234" t="s">
        <v>436</v>
      </c>
      <c r="C749" s="130" t="s">
        <v>26</v>
      </c>
      <c r="D749" s="247">
        <v>0</v>
      </c>
      <c r="E749" s="131">
        <v>0.27300000000000002</v>
      </c>
      <c r="F749" s="145">
        <v>0.27300000000000002</v>
      </c>
      <c r="G749" s="228">
        <v>683</v>
      </c>
      <c r="H749" s="133" t="s">
        <v>27</v>
      </c>
      <c r="I749" s="245"/>
      <c r="J749" s="246"/>
      <c r="K749" s="246"/>
      <c r="L749" s="246"/>
      <c r="M749" s="246"/>
      <c r="N749" s="246"/>
      <c r="O749" s="246"/>
      <c r="P749" s="246"/>
      <c r="Q749" s="250">
        <v>80640070930</v>
      </c>
      <c r="R749" s="250">
        <v>80640070930</v>
      </c>
    </row>
    <row r="750" spans="1:32" x14ac:dyDescent="0.2">
      <c r="A750" s="136">
        <v>25</v>
      </c>
      <c r="B750" s="234" t="s">
        <v>437</v>
      </c>
      <c r="C750" s="130" t="s">
        <v>26</v>
      </c>
      <c r="D750" s="247">
        <v>0</v>
      </c>
      <c r="E750" s="131">
        <v>0.315</v>
      </c>
      <c r="F750" s="145">
        <v>0.315</v>
      </c>
      <c r="G750" s="228">
        <f>3*315</f>
        <v>945</v>
      </c>
      <c r="H750" s="133" t="s">
        <v>27</v>
      </c>
      <c r="I750" s="245"/>
      <c r="J750" s="246"/>
      <c r="K750" s="246"/>
      <c r="L750" s="246"/>
      <c r="M750" s="246"/>
      <c r="N750" s="246"/>
      <c r="O750" s="246"/>
      <c r="P750" s="246"/>
      <c r="Q750" s="250">
        <v>80640070930</v>
      </c>
      <c r="R750" s="250">
        <v>80640070930</v>
      </c>
    </row>
    <row r="751" spans="1:32" x14ac:dyDescent="0.2">
      <c r="A751" s="136">
        <v>26</v>
      </c>
      <c r="B751" s="234" t="s">
        <v>438</v>
      </c>
      <c r="C751" s="130" t="s">
        <v>26</v>
      </c>
      <c r="D751" s="247">
        <v>0</v>
      </c>
      <c r="E751" s="131">
        <v>2.5350000000000001</v>
      </c>
      <c r="F751" s="145">
        <v>2.5350000000000001</v>
      </c>
      <c r="G751" s="228">
        <v>6338</v>
      </c>
      <c r="H751" s="133" t="s">
        <v>27</v>
      </c>
      <c r="I751" s="245"/>
      <c r="J751" s="246"/>
      <c r="K751" s="246"/>
      <c r="L751" s="246"/>
      <c r="M751" s="246"/>
      <c r="N751" s="246"/>
      <c r="O751" s="246"/>
      <c r="P751" s="246"/>
      <c r="Q751" s="251">
        <v>80640070892</v>
      </c>
      <c r="R751" s="251">
        <v>80640070892</v>
      </c>
    </row>
    <row r="752" spans="1:32" ht="11.25" customHeight="1" x14ac:dyDescent="0.25">
      <c r="A752" s="136">
        <v>27</v>
      </c>
      <c r="B752" s="235" t="s">
        <v>439</v>
      </c>
      <c r="C752" s="130" t="s">
        <v>26</v>
      </c>
      <c r="D752" s="131">
        <v>0</v>
      </c>
      <c r="E752" s="131">
        <v>0.34</v>
      </c>
      <c r="F752" s="145">
        <v>0.34</v>
      </c>
      <c r="G752" s="228">
        <v>1360</v>
      </c>
      <c r="H752" s="133" t="s">
        <v>27</v>
      </c>
      <c r="I752" s="245"/>
      <c r="J752" s="246"/>
      <c r="K752" s="246"/>
      <c r="L752" s="246"/>
      <c r="M752" s="246"/>
      <c r="N752" s="246"/>
      <c r="O752" s="246"/>
      <c r="P752" s="246"/>
      <c r="Q752" s="250">
        <v>80640070936</v>
      </c>
      <c r="R752" s="250">
        <v>80640070888</v>
      </c>
      <c r="S752"/>
      <c r="T752"/>
      <c r="U752"/>
      <c r="V752"/>
      <c r="W752"/>
      <c r="X752"/>
      <c r="Y752"/>
      <c r="Z752"/>
      <c r="AB752"/>
      <c r="AC752"/>
      <c r="AD752"/>
      <c r="AE752"/>
      <c r="AF752"/>
    </row>
    <row r="753" spans="1:32" ht="11.25" customHeight="1" x14ac:dyDescent="0.25">
      <c r="A753" s="136">
        <v>28</v>
      </c>
      <c r="B753" s="235" t="s">
        <v>440</v>
      </c>
      <c r="C753" s="130" t="s">
        <v>26</v>
      </c>
      <c r="D753" s="247">
        <v>0</v>
      </c>
      <c r="E753" s="131">
        <v>0.18099999999999999</v>
      </c>
      <c r="F753" s="145">
        <v>0.18099999999999999</v>
      </c>
      <c r="G753" s="228">
        <v>453</v>
      </c>
      <c r="H753" s="133" t="s">
        <v>27</v>
      </c>
      <c r="I753" s="245"/>
      <c r="J753" s="246"/>
      <c r="K753" s="246"/>
      <c r="L753" s="246"/>
      <c r="M753" s="246"/>
      <c r="N753" s="246"/>
      <c r="O753" s="246"/>
      <c r="P753" s="246"/>
      <c r="Q753" s="250">
        <v>80640070846</v>
      </c>
      <c r="R753" s="250">
        <v>80640070846</v>
      </c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</row>
    <row r="754" spans="1:32" ht="11.25" customHeight="1" x14ac:dyDescent="0.25">
      <c r="A754" s="130">
        <v>29</v>
      </c>
      <c r="B754" s="133" t="s">
        <v>441</v>
      </c>
      <c r="C754" s="130" t="s">
        <v>26</v>
      </c>
      <c r="D754" s="247">
        <v>0</v>
      </c>
      <c r="E754" s="131">
        <v>0.23</v>
      </c>
      <c r="F754" s="145">
        <v>0.23</v>
      </c>
      <c r="G754" s="228">
        <f>230*3</f>
        <v>690</v>
      </c>
      <c r="H754" s="133" t="s">
        <v>27</v>
      </c>
      <c r="I754" s="245"/>
      <c r="J754" s="246"/>
      <c r="K754" s="246"/>
      <c r="L754" s="246"/>
      <c r="M754" s="246"/>
      <c r="N754" s="246"/>
      <c r="O754" s="246"/>
      <c r="P754" s="246"/>
      <c r="Q754" s="250">
        <v>80640070930</v>
      </c>
      <c r="R754" s="250">
        <v>80640070930</v>
      </c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</row>
    <row r="755" spans="1:32" ht="11.25" customHeight="1" x14ac:dyDescent="0.25">
      <c r="A755" s="130">
        <v>30</v>
      </c>
      <c r="B755" s="225" t="s">
        <v>442</v>
      </c>
      <c r="C755" s="130" t="s">
        <v>26</v>
      </c>
      <c r="D755" s="247">
        <v>0</v>
      </c>
      <c r="E755" s="131">
        <v>0.39300000000000002</v>
      </c>
      <c r="F755" s="145">
        <v>0.39300000000000002</v>
      </c>
      <c r="G755" s="228">
        <v>983</v>
      </c>
      <c r="H755" s="133" t="s">
        <v>27</v>
      </c>
      <c r="I755" s="245"/>
      <c r="J755" s="246"/>
      <c r="K755" s="246"/>
      <c r="L755" s="246"/>
      <c r="M755" s="246"/>
      <c r="N755" s="246"/>
      <c r="O755" s="246"/>
      <c r="P755" s="246"/>
      <c r="Q755" s="250">
        <v>80640070930</v>
      </c>
      <c r="R755" s="250">
        <v>80640070930</v>
      </c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</row>
    <row r="756" spans="1:32" ht="11.25" customHeight="1" x14ac:dyDescent="0.25">
      <c r="A756" s="253">
        <v>31</v>
      </c>
      <c r="B756" s="225" t="s">
        <v>443</v>
      </c>
      <c r="C756" s="130" t="s">
        <v>26</v>
      </c>
      <c r="D756" s="247">
        <v>0</v>
      </c>
      <c r="E756" s="131">
        <v>5.3999999999999999E-2</v>
      </c>
      <c r="F756" s="145">
        <v>5.3999999999999999E-2</v>
      </c>
      <c r="G756" s="228">
        <v>119</v>
      </c>
      <c r="H756" s="133" t="s">
        <v>27</v>
      </c>
      <c r="I756" s="245"/>
      <c r="J756" s="246"/>
      <c r="K756" s="246"/>
      <c r="L756" s="246"/>
      <c r="M756" s="246"/>
      <c r="N756" s="246"/>
      <c r="O756" s="246"/>
      <c r="P756" s="246"/>
      <c r="Q756" s="251">
        <v>80640070894</v>
      </c>
      <c r="R756" s="251">
        <v>80640070894</v>
      </c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</row>
    <row r="757" spans="1:32" ht="11.25" customHeight="1" x14ac:dyDescent="0.25">
      <c r="A757" s="128">
        <v>32</v>
      </c>
      <c r="B757" s="230" t="s">
        <v>444</v>
      </c>
      <c r="C757" s="130" t="s">
        <v>26</v>
      </c>
      <c r="D757" s="247">
        <v>0</v>
      </c>
      <c r="E757" s="131">
        <v>0.222</v>
      </c>
      <c r="F757" s="145">
        <v>0.222</v>
      </c>
      <c r="G757" s="228">
        <v>600</v>
      </c>
      <c r="H757" s="133" t="s">
        <v>27</v>
      </c>
      <c r="I757" s="245"/>
      <c r="J757" s="246"/>
      <c r="K757" s="246"/>
      <c r="L757" s="246"/>
      <c r="M757" s="246"/>
      <c r="N757" s="246"/>
      <c r="O757" s="246"/>
      <c r="P757" s="246"/>
      <c r="Q757" s="250">
        <v>80640070893</v>
      </c>
      <c r="R757" s="250">
        <v>80640070893</v>
      </c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</row>
    <row r="758" spans="1:32" ht="11.25" customHeight="1" x14ac:dyDescent="0.25">
      <c r="A758" s="136"/>
      <c r="B758" s="234"/>
      <c r="C758" s="130" t="s">
        <v>26</v>
      </c>
      <c r="D758" s="247">
        <v>0</v>
      </c>
      <c r="E758" s="131">
        <v>8.1000000000000003E-2</v>
      </c>
      <c r="F758" s="145">
        <v>8.1000000000000003E-2</v>
      </c>
      <c r="G758" s="228">
        <v>203</v>
      </c>
      <c r="H758" s="133" t="s">
        <v>27</v>
      </c>
      <c r="I758" s="245"/>
      <c r="J758" s="246"/>
      <c r="K758" s="246"/>
      <c r="L758" s="246"/>
      <c r="M758" s="246"/>
      <c r="N758" s="246"/>
      <c r="O758" s="246"/>
      <c r="P758" s="246"/>
      <c r="Q758" s="251">
        <v>80640070894</v>
      </c>
      <c r="R758" s="251">
        <v>80640070894</v>
      </c>
      <c r="S758"/>
      <c r="T758"/>
      <c r="U758"/>
      <c r="V758"/>
      <c r="W758"/>
      <c r="X758"/>
      <c r="Y758"/>
      <c r="Z758"/>
      <c r="AA758" t="s">
        <v>211</v>
      </c>
      <c r="AB758"/>
      <c r="AC758"/>
      <c r="AD758"/>
      <c r="AE758"/>
      <c r="AF758"/>
    </row>
    <row r="759" spans="1:32" ht="22.5" x14ac:dyDescent="0.2">
      <c r="C759" s="1"/>
      <c r="K759" s="100" t="s">
        <v>213</v>
      </c>
      <c r="L759" s="243">
        <f>SUM(L708:L758)</f>
        <v>0</v>
      </c>
      <c r="M759" s="243">
        <f>SUM(M708:M758)</f>
        <v>0</v>
      </c>
      <c r="N759" s="92"/>
      <c r="O759" s="100" t="s">
        <v>214</v>
      </c>
      <c r="P759" s="243">
        <f>SUM(P708:P758)</f>
        <v>0</v>
      </c>
      <c r="T759" s="103" t="s">
        <v>215</v>
      </c>
      <c r="U759" s="103" t="s">
        <v>216</v>
      </c>
      <c r="V759" s="103" t="s">
        <v>217</v>
      </c>
      <c r="W759" s="103" t="s">
        <v>218</v>
      </c>
      <c r="X759" s="103" t="s">
        <v>219</v>
      </c>
      <c r="Y759" s="104" t="s">
        <v>214</v>
      </c>
      <c r="AA759" s="103" t="s">
        <v>215</v>
      </c>
      <c r="AB759" s="103" t="s">
        <v>216</v>
      </c>
      <c r="AC759" s="103" t="s">
        <v>217</v>
      </c>
      <c r="AD759" s="103" t="s">
        <v>218</v>
      </c>
      <c r="AE759" s="103" t="s">
        <v>219</v>
      </c>
      <c r="AF759" s="104" t="s">
        <v>214</v>
      </c>
    </row>
    <row r="760" spans="1:32" ht="12.75" customHeight="1" x14ac:dyDescent="0.2">
      <c r="A760" s="93" t="s">
        <v>321</v>
      </c>
      <c r="B760" s="94"/>
      <c r="C760" s="95"/>
      <c r="D760" s="94"/>
      <c r="E760" s="96"/>
      <c r="F760" s="97">
        <f>SUM(F708:F758)</f>
        <v>15.989000000000003</v>
      </c>
      <c r="G760" s="175">
        <f>SUM(G708:G758)</f>
        <v>51978</v>
      </c>
      <c r="H760" s="160"/>
      <c r="I760" s="16"/>
      <c r="J760" s="99"/>
      <c r="Q760" s="92"/>
      <c r="S760" s="102" t="s">
        <v>20</v>
      </c>
      <c r="T760" s="103" t="s">
        <v>23</v>
      </c>
      <c r="U760" s="103" t="s">
        <v>23</v>
      </c>
      <c r="V760" s="103" t="s">
        <v>23</v>
      </c>
      <c r="W760" s="103" t="s">
        <v>23</v>
      </c>
      <c r="X760" s="103" t="s">
        <v>23</v>
      </c>
      <c r="Y760" s="104" t="s">
        <v>23</v>
      </c>
      <c r="Z760" s="102"/>
      <c r="AA760" s="103" t="s">
        <v>23</v>
      </c>
      <c r="AB760" s="103" t="s">
        <v>23</v>
      </c>
      <c r="AC760" s="103" t="s">
        <v>23</v>
      </c>
      <c r="AD760" s="103" t="s">
        <v>23</v>
      </c>
      <c r="AE760" s="103" t="s">
        <v>23</v>
      </c>
      <c r="AF760" s="104" t="s">
        <v>23</v>
      </c>
    </row>
    <row r="761" spans="1:32" ht="12.75" customHeight="1" x14ac:dyDescent="0.2">
      <c r="A761" s="105" t="s">
        <v>221</v>
      </c>
      <c r="B761" s="106"/>
      <c r="C761" s="111"/>
      <c r="D761" s="106"/>
      <c r="E761" s="112"/>
      <c r="F761" s="107">
        <f>SUMIFS(F708:F758,H708:H758,"melnais")</f>
        <v>0</v>
      </c>
      <c r="G761" s="244">
        <f>SUMIFS(G708:G758,H708:H758,"melnais")</f>
        <v>0</v>
      </c>
      <c r="H761" s="163"/>
      <c r="I761" s="89"/>
      <c r="J761" s="92"/>
      <c r="K761" s="92"/>
      <c r="L761" s="115"/>
      <c r="M761" s="115"/>
      <c r="N761" s="92"/>
      <c r="O761" s="92"/>
      <c r="P761" s="92"/>
      <c r="Q761" s="92"/>
      <c r="S761" s="116" t="s">
        <v>222</v>
      </c>
      <c r="T761" s="117">
        <f>SUMIFS(F699:F758,C699:C758,"A",H699:H758,"melnais")</f>
        <v>0</v>
      </c>
      <c r="U761" s="117">
        <f>SUMIFS(F699:F758,C699:C758,"A",H699:H758,"dubultā virsma")</f>
        <v>0</v>
      </c>
      <c r="V761" s="117">
        <f>SUMIFS(F699:F758,C699:C758,"A",H699:H758,"bruģis")</f>
        <v>0</v>
      </c>
      <c r="W761" s="117">
        <f>SUMIFS(F699:F758,C699:C758,"A",H699:H758,"grants")</f>
        <v>0</v>
      </c>
      <c r="X761" s="117">
        <f>SUMIFS(F699:F758,C699:C758,"A",H699:H758,"cits segums")</f>
        <v>0</v>
      </c>
      <c r="Y761" s="117">
        <f>SUM(T761:X761)</f>
        <v>0</v>
      </c>
      <c r="Z761" s="116" t="s">
        <v>222</v>
      </c>
      <c r="AA761" s="117">
        <f>SUMIFS(F699:F758,C699:C758,"A",H699:H758,"melnais", Q699:Q758,"Nepiederošs")</f>
        <v>0</v>
      </c>
      <c r="AB761" s="117">
        <f>SUMIFS(F699:F758,C699:C758,"A",H699:H758,"dubultā virsma", Q699:Q758,"Nepiederošs")</f>
        <v>0</v>
      </c>
      <c r="AC761" s="117">
        <f>SUMIFS(F699:F758,C699:C758,"A",H699:H758,"bruģis", Q699:Q758,"Nepiederošs")</f>
        <v>0</v>
      </c>
      <c r="AD761" s="117">
        <f>SUMIFS(F699:F758,C699:C758,"A",H699:H758,"grants", Q699:Q758,"Nepiederošs")</f>
        <v>0</v>
      </c>
      <c r="AE761" s="117">
        <f>SUMIFS(F699:F758,C699:C758,"A",H699:H758,"cits segums", Q699:Q758,"Nepiederošs")</f>
        <v>0</v>
      </c>
      <c r="AF761" s="117">
        <f>SUM(AA761:AE761)</f>
        <v>0</v>
      </c>
    </row>
    <row r="762" spans="1:32" ht="12.75" customHeight="1" x14ac:dyDescent="0.2">
      <c r="A762" s="105" t="s">
        <v>223</v>
      </c>
      <c r="B762" s="106"/>
      <c r="C762" s="111"/>
      <c r="D762" s="106"/>
      <c r="E762" s="112"/>
      <c r="F762" s="107">
        <f>SUMIFS(F729:F758,H729:H758,"bruģis")</f>
        <v>0</v>
      </c>
      <c r="G762" s="244">
        <f>SUMIFS(G729:G758,H729:H758,"bruģis")</f>
        <v>0</v>
      </c>
      <c r="I762" s="16"/>
      <c r="J762" s="92"/>
      <c r="N762" s="92"/>
      <c r="O762" s="92"/>
      <c r="P762" s="92"/>
      <c r="Q762" s="92"/>
      <c r="S762" s="120" t="s">
        <v>39</v>
      </c>
      <c r="T762" s="117">
        <f>SUMIFS(F699:F758,C699:C758,"B",H699:H758,"melnais")</f>
        <v>0</v>
      </c>
      <c r="U762" s="117">
        <f>SUMIFS(F699:F758,C699:C758,"B",H699:H758,"dubultā virsma")</f>
        <v>0</v>
      </c>
      <c r="V762" s="117">
        <f>SUMIFS(F699:F758,C699:C758,"B",H699:H758,"bruģis")</f>
        <v>0</v>
      </c>
      <c r="W762" s="117">
        <f>SUMIFS(F699:F758,C699:C758,"B",H699:H758,"grants")</f>
        <v>0</v>
      </c>
      <c r="X762" s="117">
        <f>SUMIFS(F699:F758,C699:C758,"B",H699:H758,"cits segums")</f>
        <v>0</v>
      </c>
      <c r="Y762" s="117">
        <f t="shared" ref="Y762:Y764" si="99">SUM(T762:X762)</f>
        <v>0</v>
      </c>
      <c r="Z762" s="120" t="s">
        <v>39</v>
      </c>
      <c r="AA762" s="117">
        <f>SUMIFS(F699:F758,C699:C758,"B",H699:H758,"melnais", Q699:Q758,"Nepiederošs")</f>
        <v>0</v>
      </c>
      <c r="AB762" s="117">
        <f>SUMIFS(F699:F758,C699:C758,"B",H699:H758,"dubultā virsma", Q699:Q758,"Nepiederošs")</f>
        <v>0</v>
      </c>
      <c r="AC762" s="117">
        <f>SUMIFS(F699:F758,C699:C758,"B",H699:H758,"bruģis", Q699:Q758,"Nepiederošs")</f>
        <v>0</v>
      </c>
      <c r="AD762" s="117">
        <f>SUMIFS(F699:F758,C699:C758,"B",H699:H758,"grants", Q699:Q758,"Nepiederošs")</f>
        <v>0</v>
      </c>
      <c r="AE762" s="117">
        <f>SUMIFS(F699:F758,C699:C758,"B",H699:H758,"cits segums", Q699:Q758,"Nepiederošs")</f>
        <v>0</v>
      </c>
      <c r="AF762" s="117">
        <f t="shared" ref="AF762:AF764" si="100">SUM(AA762:AE762)</f>
        <v>0</v>
      </c>
    </row>
    <row r="763" spans="1:32" ht="12.75" customHeight="1" x14ac:dyDescent="0.2">
      <c r="A763" s="105" t="s">
        <v>224</v>
      </c>
      <c r="B763" s="106"/>
      <c r="C763" s="111"/>
      <c r="D763" s="106"/>
      <c r="E763" s="112"/>
      <c r="F763" s="107">
        <f>SUMIFS(F708:F758,H708:H758,"grants")</f>
        <v>15.989000000000003</v>
      </c>
      <c r="G763" s="244">
        <f>SUMIFS(G708:G758,H708:H758,"grants")</f>
        <v>51978</v>
      </c>
      <c r="I763" s="16"/>
      <c r="J763" s="92"/>
      <c r="N763" s="92"/>
      <c r="O763" s="92"/>
      <c r="P763" s="92"/>
      <c r="Q763" s="92"/>
      <c r="S763" s="121" t="s">
        <v>34</v>
      </c>
      <c r="T763" s="117">
        <f>SUMIFS(F699:F758,C699:C758,"C",H699:H758,"melnais")</f>
        <v>0</v>
      </c>
      <c r="U763" s="117">
        <f>SUMIFS(F699:F758,C699:C758,"C",H699:H758,"dubultā virsma")</f>
        <v>0</v>
      </c>
      <c r="V763" s="117">
        <f>SUMIFS(F699:F758,C699:C758,"C",H699:H758,"bruģis")</f>
        <v>0</v>
      </c>
      <c r="W763" s="117">
        <f>SUMIFS(F699:F758,C699:C758,"C",H699:H758,"grants")</f>
        <v>0</v>
      </c>
      <c r="X763" s="117">
        <f>SUMIFS(F699:F758,C699:C758,"C",H699:H758,"cits segums")</f>
        <v>0</v>
      </c>
      <c r="Y763" s="117">
        <f t="shared" si="99"/>
        <v>0</v>
      </c>
      <c r="Z763" s="121" t="s">
        <v>34</v>
      </c>
      <c r="AA763" s="117">
        <f>SUMIFS(F699:F758,C699:C758,"C",H699:H758,"melnais", Q699:Q758,"Nepiederošs")</f>
        <v>0</v>
      </c>
      <c r="AB763" s="117">
        <f>SUMIFS(F699:F758,C699:C758,"C",H699:H758,"dubultā virsma", Q699:Q758,"Nepiederošs")</f>
        <v>0</v>
      </c>
      <c r="AC763" s="117">
        <f>SUMIFS(F699:F758,C699:C758,"C",H699:H758,"bruģis", Q699:Q758,"Nepiederošs")</f>
        <v>0</v>
      </c>
      <c r="AD763" s="117">
        <f>SUMIFS(F699:F758,C699:C758,"C",H699:H758,"grants", Q699:Q758,"Nepiederošs")</f>
        <v>0</v>
      </c>
      <c r="AE763" s="117">
        <f>SUMIFS(F699:F758,C699:C758,"C",H699:H758,"cits segums", Q699:Q758,"Nepiederošs")</f>
        <v>0</v>
      </c>
      <c r="AF763" s="117">
        <f t="shared" si="100"/>
        <v>0</v>
      </c>
    </row>
    <row r="764" spans="1:32" ht="12.75" customHeight="1" x14ac:dyDescent="0.2">
      <c r="A764" s="105" t="s">
        <v>225</v>
      </c>
      <c r="B764" s="106"/>
      <c r="C764" s="111"/>
      <c r="D764" s="106"/>
      <c r="E764" s="112"/>
      <c r="F764" s="107">
        <f>SUMIFS(F708:F758,H708:H758,"cits segums")</f>
        <v>0</v>
      </c>
      <c r="G764" s="244">
        <f>SUMIFS(G708:G758,H708:H758,"cits segums")</f>
        <v>0</v>
      </c>
      <c r="H764" s="89"/>
      <c r="I764" s="16"/>
      <c r="J764" s="122"/>
      <c r="N764" s="92"/>
      <c r="O764" s="92"/>
      <c r="P764" s="92"/>
      <c r="Q764" s="92"/>
      <c r="S764" s="116" t="s">
        <v>26</v>
      </c>
      <c r="T764" s="117">
        <f>SUMIFS(F699:F758,C699:C758,"D",H699:H758,"melnais")</f>
        <v>0</v>
      </c>
      <c r="U764" s="117">
        <f>SUMIFS(F699:F758,C699:C758,"D",H699:H758,"dubultā virsma")</f>
        <v>0</v>
      </c>
      <c r="V764" s="117">
        <f>SUMIFS(F699:F758,C699:C758,"D",H699:H758,"bruģis")</f>
        <v>0</v>
      </c>
      <c r="W764" s="117">
        <f>SUMIFS(F699:F758,C699:C758,"D",H699:H758,"grants")</f>
        <v>15.989000000000003</v>
      </c>
      <c r="X764" s="117">
        <f>SUMIFS(F699:F758,C699:C758,"D",H699:H758,"cits segums")</f>
        <v>0</v>
      </c>
      <c r="Y764" s="117">
        <f t="shared" si="99"/>
        <v>15.989000000000003</v>
      </c>
      <c r="Z764" s="116" t="s">
        <v>26</v>
      </c>
      <c r="AA764" s="117">
        <f>SUMIFS(F699:F758,C699:C758,"D",H699:H758,"melnais", Q699:Q758,"Nepiederošs")</f>
        <v>0</v>
      </c>
      <c r="AB764" s="117">
        <f>SUMIFS(F699:F758,C699:C758,"D",H699:H758,"dubultā virsma", Q699:Q758,"Nepiederošs")</f>
        <v>0</v>
      </c>
      <c r="AC764" s="117">
        <f>SUMIFS(F699:F758,C699:C758,"D",H699:H758,"bruģis", Q699:Q758,"Nepiederošs")</f>
        <v>0</v>
      </c>
      <c r="AD764" s="117">
        <f>SUMIFS(F699:F758,C699:C758,"D",H699:H758,"grants", Q699:Q758,"Nepiederošs")</f>
        <v>0.79799999999999993</v>
      </c>
      <c r="AE764" s="117">
        <f>SUMIFS(F699:F758,C699:C758,"D",H699:H758,"cits segums", Q699:Q758,"Nepiederošs")</f>
        <v>0</v>
      </c>
      <c r="AF764" s="117">
        <f t="shared" si="100"/>
        <v>0.79799999999999993</v>
      </c>
    </row>
    <row r="765" spans="1:32" ht="15" x14ac:dyDescent="0.25">
      <c r="C765" s="1"/>
      <c r="S765" s="172"/>
      <c r="T765" s="126">
        <f>SUM(T761:T764)</f>
        <v>0</v>
      </c>
      <c r="U765" s="126">
        <f t="shared" ref="U765:Y765" si="101">SUM(U761:U764)</f>
        <v>0</v>
      </c>
      <c r="V765" s="126">
        <f t="shared" si="101"/>
        <v>0</v>
      </c>
      <c r="W765" s="126">
        <f t="shared" si="101"/>
        <v>15.989000000000003</v>
      </c>
      <c r="X765" s="126">
        <f t="shared" si="101"/>
        <v>0</v>
      </c>
      <c r="Y765" s="126">
        <f t="shared" si="101"/>
        <v>15.989000000000003</v>
      </c>
      <c r="Z765"/>
      <c r="AA765" s="126">
        <f>SUM(AA761:AA764)</f>
        <v>0</v>
      </c>
      <c r="AB765" s="126">
        <f t="shared" ref="AB765" si="102">SUM(AB761:AB764)</f>
        <v>0</v>
      </c>
      <c r="AC765" s="126">
        <f>SUM(AC761:AC764)</f>
        <v>0</v>
      </c>
      <c r="AD765" s="126">
        <f t="shared" ref="AD765:AF765" si="103">SUM(AD761:AD764)</f>
        <v>0.79799999999999993</v>
      </c>
      <c r="AE765" s="126">
        <f t="shared" si="103"/>
        <v>0</v>
      </c>
      <c r="AF765" s="126">
        <f t="shared" si="103"/>
        <v>0.79799999999999993</v>
      </c>
    </row>
    <row r="766" spans="1:32" s="2" customFormat="1" ht="15" customHeight="1" x14ac:dyDescent="0.25">
      <c r="A766" s="1"/>
      <c r="C766" s="1"/>
      <c r="D766" s="6" t="s">
        <v>445</v>
      </c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4"/>
      <c r="R766" s="7"/>
      <c r="AD766" s="166"/>
    </row>
    <row r="767" spans="1:32" ht="12.75" customHeight="1" x14ac:dyDescent="0.2">
      <c r="A767" s="8" t="s">
        <v>2</v>
      </c>
      <c r="B767" s="9" t="s">
        <v>3</v>
      </c>
      <c r="C767" s="10"/>
      <c r="D767" s="11" t="s">
        <v>4</v>
      </c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3"/>
      <c r="Q767" s="14" t="s">
        <v>5</v>
      </c>
      <c r="R767" s="15"/>
    </row>
    <row r="768" spans="1:32" ht="12.75" customHeight="1" x14ac:dyDescent="0.2">
      <c r="A768" s="8"/>
      <c r="B768" s="9"/>
      <c r="C768" s="17"/>
      <c r="D768" s="9" t="s">
        <v>6</v>
      </c>
      <c r="E768" s="9"/>
      <c r="F768" s="9"/>
      <c r="G768" s="9"/>
      <c r="H768" s="9"/>
      <c r="I768" s="18" t="s">
        <v>7</v>
      </c>
      <c r="J768" s="18"/>
      <c r="K768" s="18"/>
      <c r="L768" s="18"/>
      <c r="M768" s="18"/>
      <c r="N768" s="18"/>
      <c r="O768" s="18"/>
      <c r="P768" s="19" t="s">
        <v>8</v>
      </c>
      <c r="Q768" s="20"/>
      <c r="R768" s="21"/>
    </row>
    <row r="769" spans="1:32" ht="15.2" customHeight="1" x14ac:dyDescent="0.2">
      <c r="A769" s="8"/>
      <c r="B769" s="9"/>
      <c r="C769" s="17"/>
      <c r="D769" s="9" t="s">
        <v>9</v>
      </c>
      <c r="E769" s="9"/>
      <c r="F769" s="8" t="s">
        <v>10</v>
      </c>
      <c r="G769" s="8" t="s">
        <v>11</v>
      </c>
      <c r="H769" s="8" t="s">
        <v>12</v>
      </c>
      <c r="I769" s="18" t="s">
        <v>13</v>
      </c>
      <c r="J769" s="18" t="s">
        <v>14</v>
      </c>
      <c r="K769" s="18"/>
      <c r="L769" s="22" t="s">
        <v>15</v>
      </c>
      <c r="M769" s="22" t="s">
        <v>11</v>
      </c>
      <c r="N769" s="22" t="s">
        <v>16</v>
      </c>
      <c r="O769" s="22" t="s">
        <v>17</v>
      </c>
      <c r="P769" s="23"/>
      <c r="Q769" s="23" t="s">
        <v>18</v>
      </c>
      <c r="R769" s="24" t="s">
        <v>19</v>
      </c>
    </row>
    <row r="770" spans="1:32" ht="33.75" customHeight="1" x14ac:dyDescent="0.2">
      <c r="A770" s="8"/>
      <c r="B770" s="9"/>
      <c r="C770" s="25" t="s">
        <v>20</v>
      </c>
      <c r="D770" s="26" t="s">
        <v>21</v>
      </c>
      <c r="E770" s="26" t="s">
        <v>22</v>
      </c>
      <c r="F770" s="8"/>
      <c r="G770" s="8"/>
      <c r="H770" s="8"/>
      <c r="I770" s="18"/>
      <c r="J770" s="27" t="s">
        <v>23</v>
      </c>
      <c r="K770" s="27" t="s">
        <v>24</v>
      </c>
      <c r="L770" s="22"/>
      <c r="M770" s="22"/>
      <c r="N770" s="22"/>
      <c r="O770" s="22"/>
      <c r="P770" s="28"/>
      <c r="Q770" s="28"/>
      <c r="R770" s="29"/>
    </row>
    <row r="771" spans="1:32" s="32" customFormat="1" ht="12" customHeight="1" x14ac:dyDescent="0.25">
      <c r="A771" s="173">
        <v>1</v>
      </c>
      <c r="B771" s="173">
        <v>2</v>
      </c>
      <c r="C771" s="173"/>
      <c r="D771" s="173">
        <v>3</v>
      </c>
      <c r="E771" s="173">
        <v>4</v>
      </c>
      <c r="F771" s="173">
        <v>5</v>
      </c>
      <c r="G771" s="173">
        <v>6</v>
      </c>
      <c r="H771" s="173">
        <v>7</v>
      </c>
      <c r="I771" s="174">
        <v>8</v>
      </c>
      <c r="J771" s="174">
        <v>9</v>
      </c>
      <c r="K771" s="174">
        <v>10</v>
      </c>
      <c r="L771" s="174">
        <v>11</v>
      </c>
      <c r="M771" s="174">
        <v>12</v>
      </c>
      <c r="N771" s="174">
        <v>13</v>
      </c>
      <c r="O771" s="174">
        <v>14</v>
      </c>
      <c r="P771" s="174">
        <v>15</v>
      </c>
      <c r="Q771" s="174">
        <v>16</v>
      </c>
      <c r="R771" s="173">
        <v>17</v>
      </c>
    </row>
    <row r="772" spans="1:32" x14ac:dyDescent="0.2">
      <c r="A772" s="128">
        <v>1</v>
      </c>
      <c r="B772" s="230" t="s">
        <v>446</v>
      </c>
      <c r="C772" s="130" t="s">
        <v>26</v>
      </c>
      <c r="D772" s="131">
        <v>0</v>
      </c>
      <c r="E772" s="131">
        <v>0.23</v>
      </c>
      <c r="F772" s="145">
        <v>0.23</v>
      </c>
      <c r="G772" s="228">
        <v>1150</v>
      </c>
      <c r="H772" s="133" t="s">
        <v>29</v>
      </c>
      <c r="I772" s="245"/>
      <c r="J772" s="246"/>
      <c r="K772" s="246"/>
      <c r="L772" s="246"/>
      <c r="M772" s="246"/>
      <c r="N772" s="246"/>
      <c r="O772" s="246"/>
      <c r="P772" s="246"/>
      <c r="Q772" s="254">
        <v>80640020585</v>
      </c>
      <c r="R772" s="254">
        <v>80640020585</v>
      </c>
    </row>
    <row r="773" spans="1:32" x14ac:dyDescent="0.2">
      <c r="A773" s="134"/>
      <c r="B773" s="236"/>
      <c r="C773" s="130" t="s">
        <v>26</v>
      </c>
      <c r="D773" s="131">
        <v>0.23</v>
      </c>
      <c r="E773" s="131">
        <v>0.82899999999999996</v>
      </c>
      <c r="F773" s="145">
        <v>0.59899999999999998</v>
      </c>
      <c r="G773" s="228">
        <v>2995</v>
      </c>
      <c r="H773" s="133" t="s">
        <v>27</v>
      </c>
      <c r="I773" s="245"/>
      <c r="J773" s="246"/>
      <c r="K773" s="246"/>
      <c r="L773" s="246"/>
      <c r="M773" s="246"/>
      <c r="N773" s="246"/>
      <c r="O773" s="246"/>
      <c r="P773" s="246"/>
      <c r="Q773" s="254">
        <v>80640020585</v>
      </c>
      <c r="R773" s="254">
        <v>80640020585</v>
      </c>
    </row>
    <row r="774" spans="1:32" x14ac:dyDescent="0.2">
      <c r="A774" s="134"/>
      <c r="B774" s="236"/>
      <c r="C774" s="130" t="s">
        <v>26</v>
      </c>
      <c r="D774" s="131">
        <v>0.59899999999999998</v>
      </c>
      <c r="E774" s="131">
        <f>D774+F774</f>
        <v>0.70899999999999996</v>
      </c>
      <c r="F774" s="145">
        <v>0.11</v>
      </c>
      <c r="G774" s="228">
        <f>5*110</f>
        <v>550</v>
      </c>
      <c r="H774" s="133" t="s">
        <v>27</v>
      </c>
      <c r="I774" s="245"/>
      <c r="J774" s="246"/>
      <c r="K774" s="246"/>
      <c r="L774" s="246"/>
      <c r="M774" s="246"/>
      <c r="N774" s="246"/>
      <c r="O774" s="246"/>
      <c r="P774" s="246"/>
      <c r="Q774" s="255" t="s">
        <v>252</v>
      </c>
      <c r="R774" s="254">
        <v>80640020636</v>
      </c>
    </row>
    <row r="775" spans="1:32" x14ac:dyDescent="0.2">
      <c r="A775" s="134"/>
      <c r="B775" s="236"/>
      <c r="C775" s="130" t="s">
        <v>26</v>
      </c>
      <c r="D775" s="131">
        <f>E774</f>
        <v>0.70899999999999996</v>
      </c>
      <c r="E775" s="131">
        <f>D775+F775</f>
        <v>0.77899999999999991</v>
      </c>
      <c r="F775" s="145">
        <v>7.0000000000000007E-2</v>
      </c>
      <c r="G775" s="228">
        <f>5*70</f>
        <v>350</v>
      </c>
      <c r="H775" s="133" t="s">
        <v>27</v>
      </c>
      <c r="I775" s="245"/>
      <c r="J775" s="246"/>
      <c r="K775" s="246"/>
      <c r="L775" s="246"/>
      <c r="M775" s="246"/>
      <c r="N775" s="246"/>
      <c r="O775" s="246"/>
      <c r="P775" s="246"/>
      <c r="Q775" s="255" t="s">
        <v>252</v>
      </c>
      <c r="R775" s="254">
        <v>80640020150</v>
      </c>
    </row>
    <row r="776" spans="1:32" x14ac:dyDescent="0.2">
      <c r="A776" s="134"/>
      <c r="B776" s="236"/>
      <c r="C776" s="130" t="s">
        <v>26</v>
      </c>
      <c r="D776" s="131">
        <f t="shared" ref="D776:D778" si="104">E775</f>
        <v>0.77899999999999991</v>
      </c>
      <c r="E776" s="131">
        <f t="shared" ref="E776:E778" si="105">D776+F776</f>
        <v>0.84399999999999986</v>
      </c>
      <c r="F776" s="145">
        <v>6.5000000000000002E-2</v>
      </c>
      <c r="G776" s="228">
        <f>5*65</f>
        <v>325</v>
      </c>
      <c r="H776" s="133" t="s">
        <v>27</v>
      </c>
      <c r="I776" s="245"/>
      <c r="J776" s="246"/>
      <c r="K776" s="246"/>
      <c r="L776" s="246"/>
      <c r="M776" s="246"/>
      <c r="N776" s="246"/>
      <c r="O776" s="246"/>
      <c r="P776" s="246"/>
      <c r="Q776" s="255" t="s">
        <v>252</v>
      </c>
      <c r="R776" s="254">
        <v>80640020143</v>
      </c>
    </row>
    <row r="777" spans="1:32" x14ac:dyDescent="0.2">
      <c r="A777" s="134"/>
      <c r="B777" s="236"/>
      <c r="C777" s="130" t="s">
        <v>26</v>
      </c>
      <c r="D777" s="131">
        <f t="shared" si="104"/>
        <v>0.84399999999999986</v>
      </c>
      <c r="E777" s="131">
        <f t="shared" si="105"/>
        <v>0.99399999999999988</v>
      </c>
      <c r="F777" s="145">
        <v>0.15</v>
      </c>
      <c r="G777" s="228">
        <f>5*150</f>
        <v>750</v>
      </c>
      <c r="H777" s="133" t="s">
        <v>27</v>
      </c>
      <c r="I777" s="245"/>
      <c r="J777" s="246"/>
      <c r="K777" s="246"/>
      <c r="L777" s="246"/>
      <c r="M777" s="246"/>
      <c r="N777" s="246"/>
      <c r="O777" s="246"/>
      <c r="P777" s="246"/>
      <c r="Q777" s="255" t="s">
        <v>252</v>
      </c>
      <c r="R777" s="254">
        <v>80640020016</v>
      </c>
    </row>
    <row r="778" spans="1:32" x14ac:dyDescent="0.2">
      <c r="A778" s="134"/>
      <c r="B778" s="236"/>
      <c r="C778" s="130" t="s">
        <v>26</v>
      </c>
      <c r="D778" s="131">
        <f t="shared" si="104"/>
        <v>0.99399999999999988</v>
      </c>
      <c r="E778" s="131">
        <f t="shared" si="105"/>
        <v>1.1849999999999998</v>
      </c>
      <c r="F778" s="145">
        <v>0.191</v>
      </c>
      <c r="G778" s="228">
        <f>5*191</f>
        <v>955</v>
      </c>
      <c r="H778" s="133" t="s">
        <v>27</v>
      </c>
      <c r="I778" s="245"/>
      <c r="J778" s="246"/>
      <c r="K778" s="246"/>
      <c r="L778" s="246"/>
      <c r="M778" s="246"/>
      <c r="N778" s="246"/>
      <c r="O778" s="246"/>
      <c r="P778" s="246"/>
      <c r="Q778" s="255" t="s">
        <v>252</v>
      </c>
      <c r="R778" s="256">
        <v>80640020592</v>
      </c>
    </row>
    <row r="779" spans="1:32" ht="22.5" x14ac:dyDescent="0.2">
      <c r="A779" s="134"/>
      <c r="B779" s="236"/>
      <c r="C779" s="130" t="s">
        <v>26</v>
      </c>
      <c r="D779" s="145">
        <v>0</v>
      </c>
      <c r="E779" s="145">
        <v>0.4</v>
      </c>
      <c r="F779" s="145">
        <v>0.4</v>
      </c>
      <c r="G779" s="238">
        <v>1680</v>
      </c>
      <c r="H779" s="147" t="s">
        <v>29</v>
      </c>
      <c r="I779" s="257" t="s">
        <v>447</v>
      </c>
      <c r="J779" s="240">
        <v>0.4</v>
      </c>
      <c r="K779" s="240" t="s">
        <v>448</v>
      </c>
      <c r="L779" s="240">
        <v>6.25</v>
      </c>
      <c r="M779" s="240">
        <v>25</v>
      </c>
      <c r="N779" s="240"/>
      <c r="O779" s="240" t="s">
        <v>449</v>
      </c>
      <c r="P779" s="240"/>
      <c r="Q779" s="254">
        <v>80640020586</v>
      </c>
      <c r="R779" s="254">
        <v>80640020586</v>
      </c>
    </row>
    <row r="780" spans="1:32" x14ac:dyDescent="0.2">
      <c r="A780" s="134"/>
      <c r="B780" s="236"/>
      <c r="C780" s="130" t="s">
        <v>26</v>
      </c>
      <c r="D780" s="131">
        <v>0.4</v>
      </c>
      <c r="E780" s="131">
        <v>0.52900000000000003</v>
      </c>
      <c r="F780" s="145">
        <v>0.129</v>
      </c>
      <c r="G780" s="228">
        <v>645</v>
      </c>
      <c r="H780" s="133" t="s">
        <v>29</v>
      </c>
      <c r="I780" s="245"/>
      <c r="J780" s="246"/>
      <c r="K780" s="246"/>
      <c r="L780" s="246"/>
      <c r="M780" s="246"/>
      <c r="N780" s="246"/>
      <c r="O780" s="246"/>
      <c r="P780" s="246"/>
      <c r="Q780" s="254">
        <v>80640030270</v>
      </c>
      <c r="R780" s="254">
        <v>80640030270</v>
      </c>
    </row>
    <row r="781" spans="1:32" x14ac:dyDescent="0.2">
      <c r="A781" s="128">
        <v>2</v>
      </c>
      <c r="B781" s="230" t="s">
        <v>450</v>
      </c>
      <c r="C781" s="130" t="s">
        <v>26</v>
      </c>
      <c r="D781" s="247">
        <v>0</v>
      </c>
      <c r="E781" s="131">
        <v>0.45</v>
      </c>
      <c r="F781" s="145">
        <v>0.45</v>
      </c>
      <c r="G781" s="228">
        <v>1800</v>
      </c>
      <c r="H781" s="133" t="s">
        <v>29</v>
      </c>
      <c r="I781" s="245"/>
      <c r="J781" s="246"/>
      <c r="K781" s="246"/>
      <c r="L781" s="246"/>
      <c r="M781" s="246"/>
      <c r="N781" s="246"/>
      <c r="O781" s="246"/>
      <c r="P781" s="246"/>
      <c r="Q781" s="254">
        <v>80640020786</v>
      </c>
      <c r="R781" s="254">
        <v>80640020786</v>
      </c>
    </row>
    <row r="782" spans="1:32" ht="22.5" x14ac:dyDescent="0.2">
      <c r="A782" s="136"/>
      <c r="B782" s="234"/>
      <c r="C782" s="130" t="s">
        <v>26</v>
      </c>
      <c r="D782" s="145">
        <v>0</v>
      </c>
      <c r="E782" s="145">
        <v>9.7000000000000003E-2</v>
      </c>
      <c r="F782" s="145">
        <v>9.7000000000000003E-2</v>
      </c>
      <c r="G782" s="238">
        <v>243</v>
      </c>
      <c r="H782" s="207" t="s">
        <v>70</v>
      </c>
      <c r="I782" s="245"/>
      <c r="J782" s="246"/>
      <c r="K782" s="246"/>
      <c r="L782" s="246"/>
      <c r="M782" s="246"/>
      <c r="N782" s="246"/>
      <c r="O782" s="246"/>
      <c r="P782" s="246"/>
      <c r="Q782" s="256" t="s">
        <v>451</v>
      </c>
      <c r="R782" s="256" t="s">
        <v>451</v>
      </c>
    </row>
    <row r="783" spans="1:32" x14ac:dyDescent="0.2">
      <c r="A783" s="136">
        <v>3</v>
      </c>
      <c r="B783" s="236" t="s">
        <v>452</v>
      </c>
      <c r="C783" s="258" t="s">
        <v>26</v>
      </c>
      <c r="D783" s="247">
        <v>0</v>
      </c>
      <c r="E783" s="131">
        <v>0.33</v>
      </c>
      <c r="F783" s="145">
        <v>0.33</v>
      </c>
      <c r="G783" s="228">
        <v>990</v>
      </c>
      <c r="H783" s="207" t="s">
        <v>70</v>
      </c>
      <c r="I783" s="245"/>
      <c r="J783" s="246"/>
      <c r="K783" s="246"/>
      <c r="L783" s="246"/>
      <c r="M783" s="246"/>
      <c r="N783" s="246"/>
      <c r="O783" s="246"/>
      <c r="P783" s="246"/>
      <c r="Q783" s="254">
        <v>80640020790</v>
      </c>
      <c r="R783" s="254">
        <v>80640020785</v>
      </c>
    </row>
    <row r="784" spans="1:32" ht="15" x14ac:dyDescent="0.25">
      <c r="A784" s="130">
        <v>4</v>
      </c>
      <c r="B784" s="133" t="s">
        <v>316</v>
      </c>
      <c r="C784" s="130" t="s">
        <v>26</v>
      </c>
      <c r="D784" s="247">
        <v>0</v>
      </c>
      <c r="E784" s="131">
        <v>0.33</v>
      </c>
      <c r="F784" s="145">
        <v>0.33</v>
      </c>
      <c r="G784" s="228">
        <v>1320</v>
      </c>
      <c r="H784" s="133" t="s">
        <v>27</v>
      </c>
      <c r="I784" s="245"/>
      <c r="J784" s="246"/>
      <c r="K784" s="246"/>
      <c r="L784" s="246"/>
      <c r="M784" s="246"/>
      <c r="N784" s="246"/>
      <c r="O784" s="246"/>
      <c r="P784" s="246"/>
      <c r="Q784" s="254">
        <v>80640020789</v>
      </c>
      <c r="R784" s="254">
        <v>80640020784</v>
      </c>
      <c r="S784"/>
      <c r="T784"/>
      <c r="U784"/>
      <c r="V784"/>
      <c r="W784"/>
      <c r="X784"/>
      <c r="Y784"/>
      <c r="Z784"/>
      <c r="AA784" t="s">
        <v>211</v>
      </c>
      <c r="AB784"/>
      <c r="AC784"/>
      <c r="AD784"/>
      <c r="AE784"/>
      <c r="AF784"/>
    </row>
    <row r="785" spans="1:32" ht="22.5" x14ac:dyDescent="0.2">
      <c r="C785" s="1"/>
      <c r="K785" s="100" t="s">
        <v>213</v>
      </c>
      <c r="L785" s="243">
        <f>SUM(L772:L784)</f>
        <v>6.25</v>
      </c>
      <c r="M785" s="243">
        <f>SUM(M772:M784)</f>
        <v>25</v>
      </c>
      <c r="N785" s="92"/>
      <c r="O785" s="100" t="s">
        <v>214</v>
      </c>
      <c r="P785" s="243">
        <f>SUM(P772:P784)</f>
        <v>0</v>
      </c>
      <c r="T785" s="103" t="s">
        <v>215</v>
      </c>
      <c r="U785" s="103" t="s">
        <v>216</v>
      </c>
      <c r="V785" s="103" t="s">
        <v>217</v>
      </c>
      <c r="W785" s="103" t="s">
        <v>218</v>
      </c>
      <c r="X785" s="103" t="s">
        <v>219</v>
      </c>
      <c r="Y785" s="104" t="s">
        <v>214</v>
      </c>
      <c r="AA785" s="103" t="s">
        <v>215</v>
      </c>
      <c r="AB785" s="103" t="s">
        <v>216</v>
      </c>
      <c r="AC785" s="103" t="s">
        <v>217</v>
      </c>
      <c r="AD785" s="103" t="s">
        <v>218</v>
      </c>
      <c r="AE785" s="103" t="s">
        <v>219</v>
      </c>
      <c r="AF785" s="104" t="s">
        <v>214</v>
      </c>
    </row>
    <row r="786" spans="1:32" ht="12.75" customHeight="1" x14ac:dyDescent="0.2">
      <c r="A786" s="93" t="s">
        <v>453</v>
      </c>
      <c r="B786" s="94"/>
      <c r="C786" s="95"/>
      <c r="D786" s="94"/>
      <c r="E786" s="96"/>
      <c r="F786" s="97">
        <f>SUM(F772:F784)</f>
        <v>3.1510000000000002</v>
      </c>
      <c r="G786" s="243">
        <f>SUM(G772:G784)</f>
        <v>13753</v>
      </c>
      <c r="H786" s="160"/>
      <c r="I786" s="16"/>
      <c r="J786" s="99"/>
      <c r="Q786" s="92"/>
      <c r="S786" s="102" t="s">
        <v>20</v>
      </c>
      <c r="T786" s="103" t="s">
        <v>23</v>
      </c>
      <c r="U786" s="103" t="s">
        <v>23</v>
      </c>
      <c r="V786" s="103" t="s">
        <v>23</v>
      </c>
      <c r="W786" s="103" t="s">
        <v>23</v>
      </c>
      <c r="X786" s="103" t="s">
        <v>23</v>
      </c>
      <c r="Y786" s="104" t="s">
        <v>23</v>
      </c>
      <c r="Z786" s="102"/>
      <c r="AA786" s="103" t="s">
        <v>23</v>
      </c>
      <c r="AB786" s="103" t="s">
        <v>23</v>
      </c>
      <c r="AC786" s="103" t="s">
        <v>23</v>
      </c>
      <c r="AD786" s="103" t="s">
        <v>23</v>
      </c>
      <c r="AE786" s="103" t="s">
        <v>23</v>
      </c>
      <c r="AF786" s="104" t="s">
        <v>23</v>
      </c>
    </row>
    <row r="787" spans="1:32" ht="12.75" customHeight="1" x14ac:dyDescent="0.2">
      <c r="A787" s="105" t="s">
        <v>221</v>
      </c>
      <c r="B787" s="106"/>
      <c r="C787" s="111"/>
      <c r="D787" s="106"/>
      <c r="E787" s="112"/>
      <c r="F787" s="107">
        <f>SUMIFS(F772:F784,H772:H784,"melnais")</f>
        <v>1.2090000000000001</v>
      </c>
      <c r="G787" s="244">
        <f>SUMIFS(G772:G784,H772:H784,"melnais")</f>
        <v>5275</v>
      </c>
      <c r="H787" s="163"/>
      <c r="I787" s="89"/>
      <c r="J787" s="92"/>
      <c r="K787" s="92"/>
      <c r="L787" s="115"/>
      <c r="M787" s="115"/>
      <c r="N787" s="92"/>
      <c r="O787" s="92"/>
      <c r="P787" s="92"/>
      <c r="Q787" s="92"/>
      <c r="S787" s="116" t="s">
        <v>222</v>
      </c>
      <c r="T787" s="117">
        <f>SUMIFS(F765:F784,C765:C784,"A",H765:H784,"melnais")</f>
        <v>0</v>
      </c>
      <c r="U787" s="117">
        <f>SUMIFS(F765:F784,C765:C784,"A",H765:H784,"dubultā virsma")</f>
        <v>0</v>
      </c>
      <c r="V787" s="117">
        <f>SUMIFS(F765:F784,C765:C784,"A",H765:H784,"bruģis")</f>
        <v>0</v>
      </c>
      <c r="W787" s="117">
        <f>SUMIFS(F765:F784,C765:C784,"A",H765:H784,"grants")</f>
        <v>0</v>
      </c>
      <c r="X787" s="117">
        <f>SUMIFS(F765:F784,C765:C784,"A",H765:H784,"cits segums")</f>
        <v>0</v>
      </c>
      <c r="Y787" s="117">
        <f>SUM(T787:X787)</f>
        <v>0</v>
      </c>
      <c r="Z787" s="116" t="s">
        <v>222</v>
      </c>
      <c r="AA787" s="117">
        <f>SUMIFS(F765:F784,C765:C784,"A",H765:H784,"melnais", Q765:Q784,"Nepiederošs")</f>
        <v>0</v>
      </c>
      <c r="AB787" s="117">
        <f>SUMIFS(F765:F784,C765:C784,"A",H765:H784,"dubultā virsma", Q765:Q784,"Nepiederošs")</f>
        <v>0</v>
      </c>
      <c r="AC787" s="117">
        <f>SUMIFS(F765:F784,C765:C784,"A",H765:H784,"bruģis", Q765:Q784,"Nepiederošs")</f>
        <v>0</v>
      </c>
      <c r="AD787" s="117">
        <f>SUMIFS(F765:F784,C765:C784,"A",H765:H784,"grants", Q765:Q784,"Nepiederošs")</f>
        <v>0</v>
      </c>
      <c r="AE787" s="117">
        <f>SUMIFS(F765:F784,C765:C784,"A",H765:H784,"cits segums", Q765:Q784,"Nepiederošs")</f>
        <v>0</v>
      </c>
      <c r="AF787" s="117">
        <f>SUM(AA787:AE787)</f>
        <v>0</v>
      </c>
    </row>
    <row r="788" spans="1:32" ht="12.75" customHeight="1" x14ac:dyDescent="0.2">
      <c r="A788" s="105" t="s">
        <v>223</v>
      </c>
      <c r="B788" s="106"/>
      <c r="C788" s="111"/>
      <c r="D788" s="106"/>
      <c r="E788" s="112"/>
      <c r="F788" s="107">
        <f>SUMIFS(F781:F784,H781:H784,"bruģis")</f>
        <v>0</v>
      </c>
      <c r="G788" s="244">
        <f>SUMIFS(G781:G784,H781:H784,"bruģis")</f>
        <v>0</v>
      </c>
      <c r="I788" s="16"/>
      <c r="J788" s="92"/>
      <c r="N788" s="92"/>
      <c r="O788" s="92"/>
      <c r="P788" s="92"/>
      <c r="Q788" s="92"/>
      <c r="S788" s="120" t="s">
        <v>39</v>
      </c>
      <c r="T788" s="117">
        <f>SUMIFS(F765:F784,C765:C784,"B",H765:H784,"melnais")</f>
        <v>0</v>
      </c>
      <c r="U788" s="117">
        <f>SUMIFS(F765:F784,C765:C784,"B",H765:H784,"dubultā virsma")</f>
        <v>0</v>
      </c>
      <c r="V788" s="117">
        <f>SUMIFS(F765:F784,C765:C784,"B",H765:H784,"bruģis")</f>
        <v>0</v>
      </c>
      <c r="W788" s="117">
        <f>SUMIFS(F765:F784,C765:C784,"B",H765:H784,"grants")</f>
        <v>0</v>
      </c>
      <c r="X788" s="117">
        <f>SUMIFS(F765:F784,C765:C784,"B",H765:H784,"cits segums")</f>
        <v>0</v>
      </c>
      <c r="Y788" s="117">
        <f t="shared" ref="Y788:Y790" si="106">SUM(T788:X788)</f>
        <v>0</v>
      </c>
      <c r="Z788" s="120" t="s">
        <v>39</v>
      </c>
      <c r="AA788" s="117">
        <f>SUMIFS(F765:F784,C765:C784,"B",H765:H784,"melnais", Q765:Q784,"Nepiederošs")</f>
        <v>0</v>
      </c>
      <c r="AB788" s="117">
        <f>SUMIFS(F765:F784,C765:C784,"B",H765:H784,"dubultā virsma", Q765:Q784,"Nepiederošs")</f>
        <v>0</v>
      </c>
      <c r="AC788" s="117">
        <f>SUMIFS(F765:F784,C765:C784,"B",H765:H784,"bruģis", Q765:Q784,"Nepiederošs")</f>
        <v>0</v>
      </c>
      <c r="AD788" s="117">
        <f>SUMIFS(F765:F784,C765:C784,"B",H765:H784,"grants", Q765:Q784,"Nepiederošs")</f>
        <v>0</v>
      </c>
      <c r="AE788" s="117">
        <f>SUMIFS(F765:F784,C765:C784,"B",H765:H784,"cits segums", Q765:Q784,"Nepiederošs")</f>
        <v>0</v>
      </c>
      <c r="AF788" s="117">
        <f t="shared" ref="AF788:AF790" si="107">SUM(AA788:AE788)</f>
        <v>0</v>
      </c>
    </row>
    <row r="789" spans="1:32" ht="12.75" customHeight="1" x14ac:dyDescent="0.2">
      <c r="A789" s="105" t="s">
        <v>224</v>
      </c>
      <c r="B789" s="106"/>
      <c r="C789" s="111"/>
      <c r="D789" s="106"/>
      <c r="E789" s="112"/>
      <c r="F789" s="107">
        <f>SUMIFS(F772:F784,H772:H784,"grants")</f>
        <v>1.5149999999999999</v>
      </c>
      <c r="G789" s="244">
        <f>SUMIFS(G772:G784,H772:H784,"grants")</f>
        <v>7245</v>
      </c>
      <c r="I789" s="16"/>
      <c r="J789" s="92"/>
      <c r="N789" s="92"/>
      <c r="O789" s="92"/>
      <c r="P789" s="92"/>
      <c r="Q789" s="92"/>
      <c r="S789" s="121" t="s">
        <v>34</v>
      </c>
      <c r="T789" s="117">
        <f>SUMIFS(F765:F784,C765:C784,"C",H765:H784,"melnais")</f>
        <v>0</v>
      </c>
      <c r="U789" s="117">
        <f>SUMIFS(F765:F784,C765:C784,"C",H765:H784,"dubultā virsma")</f>
        <v>0</v>
      </c>
      <c r="V789" s="117">
        <f>SUMIFS(F765:F784,C765:C784,"C",H765:H784,"bruģis")</f>
        <v>0</v>
      </c>
      <c r="W789" s="117">
        <f>SUMIFS(F765:F784,C765:C784,"C",H765:H784,"grants")</f>
        <v>0</v>
      </c>
      <c r="X789" s="117">
        <f>SUMIFS(F765:F784,C765:C784,"C",H765:H784,"cits segums")</f>
        <v>0</v>
      </c>
      <c r="Y789" s="117">
        <f t="shared" si="106"/>
        <v>0</v>
      </c>
      <c r="Z789" s="121" t="s">
        <v>34</v>
      </c>
      <c r="AA789" s="117">
        <f>SUMIFS(F765:F784,C765:C784,"C",H765:H784,"melnais", Q765:Q784,"Nepiederošs")</f>
        <v>0</v>
      </c>
      <c r="AB789" s="117">
        <f>SUMIFS(F765:F784,C765:C784,"C",H765:H784,"dubultā virsma", Q765:Q784,"Nepiederošs")</f>
        <v>0</v>
      </c>
      <c r="AC789" s="117">
        <f>SUMIFS(F765:F784,C765:C784,"C",H765:H784,"bruģis", Q765:Q784,"Nepiederošs")</f>
        <v>0</v>
      </c>
      <c r="AD789" s="117">
        <f>SUMIFS(F765:F784,C765:C784,"C",H765:H784,"grants", Q765:Q784,"Nepiederošs")</f>
        <v>0</v>
      </c>
      <c r="AE789" s="117">
        <f>SUMIFS(F765:F784,C765:C784,"C",H765:H784,"cits segums", Q765:Q784,"Nepiederošs")</f>
        <v>0</v>
      </c>
      <c r="AF789" s="117">
        <f t="shared" si="107"/>
        <v>0</v>
      </c>
    </row>
    <row r="790" spans="1:32" ht="12.75" customHeight="1" x14ac:dyDescent="0.2">
      <c r="A790" s="105" t="s">
        <v>225</v>
      </c>
      <c r="B790" s="106"/>
      <c r="C790" s="111"/>
      <c r="D790" s="106"/>
      <c r="E790" s="112"/>
      <c r="F790" s="107">
        <f>SUMIFS(F772:F784,H772:H784,"cits segums")</f>
        <v>0.42700000000000005</v>
      </c>
      <c r="G790" s="244">
        <f>SUMIFS(G772:G784,H772:H784,"cits segums")</f>
        <v>1233</v>
      </c>
      <c r="H790" s="89"/>
      <c r="I790" s="16"/>
      <c r="J790" s="122"/>
      <c r="N790" s="92"/>
      <c r="O790" s="92"/>
      <c r="P790" s="92"/>
      <c r="Q790" s="92"/>
      <c r="S790" s="116" t="s">
        <v>26</v>
      </c>
      <c r="T790" s="117">
        <f>SUMIFS(F765:F784,C765:C784,"D",H765:H784,"melnais")</f>
        <v>1.2090000000000001</v>
      </c>
      <c r="U790" s="117">
        <f>SUMIFS(F765:F784,C765:C784,"D",H765:H784,"dubultā virsma")</f>
        <v>0</v>
      </c>
      <c r="V790" s="117">
        <f>SUMIFS(F765:F784,C765:C784,"D",H765:H784,"bruģis")</f>
        <v>0</v>
      </c>
      <c r="W790" s="117">
        <f>SUMIFS(F765:F784,C765:C784,"D",H765:H784,"grants")</f>
        <v>1.5149999999999999</v>
      </c>
      <c r="X790" s="117">
        <f>SUMIFS(F765:F784,C765:C784,"D",H765:H784,"cits segums")</f>
        <v>0.42700000000000005</v>
      </c>
      <c r="Y790" s="117">
        <f t="shared" si="106"/>
        <v>3.1510000000000002</v>
      </c>
      <c r="Z790" s="116" t="s">
        <v>26</v>
      </c>
      <c r="AA790" s="117">
        <f>SUMIFS(F765:F784,C765:C784,"D",H765:H784,"melnais", Q765:Q784,"Nepiederošs")</f>
        <v>0</v>
      </c>
      <c r="AB790" s="117">
        <f>SUMIFS(F765:F784,C765:C784,"D",H765:H784,"dubultā virsma", Q765:Q784,"Nepiederošs")</f>
        <v>0</v>
      </c>
      <c r="AC790" s="117">
        <f>SUMIFS(F765:F784,C765:C784,"D",H765:H784,"bruģis", Q765:Q784,"Nepiederošs")</f>
        <v>0</v>
      </c>
      <c r="AD790" s="117">
        <f>SUMIFS(F765:F784,C765:C784,"D",H765:H784,"grants", Q765:Q784,"Nepiederošs")</f>
        <v>0.58600000000000008</v>
      </c>
      <c r="AE790" s="117">
        <f>SUMIFS(F765:F784,C765:C784,"D",H765:H784,"cits segums", Q765:Q784,"Nepiederošs")</f>
        <v>0</v>
      </c>
      <c r="AF790" s="117">
        <f t="shared" si="107"/>
        <v>0.58600000000000008</v>
      </c>
    </row>
    <row r="791" spans="1:32" ht="15" x14ac:dyDescent="0.25">
      <c r="C791" s="1"/>
      <c r="S791" s="172"/>
      <c r="T791" s="126">
        <f>SUM(T787:T790)</f>
        <v>1.2090000000000001</v>
      </c>
      <c r="U791" s="126">
        <f t="shared" ref="U791:Y791" si="108">SUM(U787:U790)</f>
        <v>0</v>
      </c>
      <c r="V791" s="126">
        <f t="shared" si="108"/>
        <v>0</v>
      </c>
      <c r="W791" s="126">
        <f t="shared" si="108"/>
        <v>1.5149999999999999</v>
      </c>
      <c r="X791" s="126">
        <f t="shared" si="108"/>
        <v>0.42700000000000005</v>
      </c>
      <c r="Y791" s="126">
        <f t="shared" si="108"/>
        <v>3.1510000000000002</v>
      </c>
      <c r="Z791"/>
      <c r="AA791" s="126">
        <f>SUM(AA787:AA790)</f>
        <v>0</v>
      </c>
      <c r="AB791" s="126">
        <f t="shared" ref="AB791" si="109">SUM(AB787:AB790)</f>
        <v>0</v>
      </c>
      <c r="AC791" s="126">
        <f>SUM(AC787:AC790)</f>
        <v>0</v>
      </c>
      <c r="AD791" s="126">
        <f t="shared" ref="AD791:AF791" si="110">SUM(AD787:AD790)</f>
        <v>0.58600000000000008</v>
      </c>
      <c r="AE791" s="126">
        <f t="shared" si="110"/>
        <v>0</v>
      </c>
      <c r="AF791" s="126">
        <f t="shared" si="110"/>
        <v>0.58600000000000008</v>
      </c>
    </row>
    <row r="792" spans="1:32" s="2" customFormat="1" ht="15" customHeight="1" x14ac:dyDescent="0.25">
      <c r="A792" s="1"/>
      <c r="C792" s="1"/>
      <c r="D792" s="6" t="s">
        <v>454</v>
      </c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4"/>
      <c r="R792" s="7"/>
    </row>
    <row r="793" spans="1:32" ht="12.75" customHeight="1" x14ac:dyDescent="0.2">
      <c r="A793" s="8" t="s">
        <v>2</v>
      </c>
      <c r="B793" s="9" t="s">
        <v>3</v>
      </c>
      <c r="C793" s="10"/>
      <c r="D793" s="11" t="s">
        <v>4</v>
      </c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3"/>
      <c r="Q793" s="14" t="s">
        <v>5</v>
      </c>
      <c r="R793" s="15"/>
    </row>
    <row r="794" spans="1:32" ht="12.75" customHeight="1" x14ac:dyDescent="0.2">
      <c r="A794" s="8"/>
      <c r="B794" s="9"/>
      <c r="C794" s="17"/>
      <c r="D794" s="9" t="s">
        <v>6</v>
      </c>
      <c r="E794" s="9"/>
      <c r="F794" s="9"/>
      <c r="G794" s="9"/>
      <c r="H794" s="9"/>
      <c r="I794" s="18" t="s">
        <v>7</v>
      </c>
      <c r="J794" s="18"/>
      <c r="K794" s="18"/>
      <c r="L794" s="18"/>
      <c r="M794" s="18"/>
      <c r="N794" s="18"/>
      <c r="O794" s="18"/>
      <c r="P794" s="19" t="s">
        <v>8</v>
      </c>
      <c r="Q794" s="20"/>
      <c r="R794" s="21"/>
    </row>
    <row r="795" spans="1:32" ht="15.2" customHeight="1" x14ac:dyDescent="0.2">
      <c r="A795" s="8"/>
      <c r="B795" s="9"/>
      <c r="C795" s="17"/>
      <c r="D795" s="9" t="s">
        <v>9</v>
      </c>
      <c r="E795" s="9"/>
      <c r="F795" s="8" t="s">
        <v>10</v>
      </c>
      <c r="G795" s="8" t="s">
        <v>11</v>
      </c>
      <c r="H795" s="8" t="s">
        <v>12</v>
      </c>
      <c r="I795" s="18" t="s">
        <v>13</v>
      </c>
      <c r="J795" s="18" t="s">
        <v>14</v>
      </c>
      <c r="K795" s="18"/>
      <c r="L795" s="22" t="s">
        <v>15</v>
      </c>
      <c r="M795" s="22" t="s">
        <v>11</v>
      </c>
      <c r="N795" s="22" t="s">
        <v>16</v>
      </c>
      <c r="O795" s="22" t="s">
        <v>17</v>
      </c>
      <c r="P795" s="23"/>
      <c r="Q795" s="23" t="s">
        <v>18</v>
      </c>
      <c r="R795" s="24" t="s">
        <v>19</v>
      </c>
    </row>
    <row r="796" spans="1:32" ht="33.75" customHeight="1" x14ac:dyDescent="0.2">
      <c r="A796" s="8"/>
      <c r="B796" s="9"/>
      <c r="C796" s="25" t="s">
        <v>20</v>
      </c>
      <c r="D796" s="26" t="s">
        <v>21</v>
      </c>
      <c r="E796" s="26" t="s">
        <v>22</v>
      </c>
      <c r="F796" s="8"/>
      <c r="G796" s="8"/>
      <c r="H796" s="8"/>
      <c r="I796" s="18"/>
      <c r="J796" s="27" t="s">
        <v>23</v>
      </c>
      <c r="K796" s="27" t="s">
        <v>24</v>
      </c>
      <c r="L796" s="22"/>
      <c r="M796" s="22"/>
      <c r="N796" s="22"/>
      <c r="O796" s="22"/>
      <c r="P796" s="28"/>
      <c r="Q796" s="28"/>
      <c r="R796" s="29"/>
    </row>
    <row r="797" spans="1:32" s="32" customFormat="1" ht="12" customHeight="1" x14ac:dyDescent="0.25">
      <c r="A797" s="173">
        <v>1</v>
      </c>
      <c r="B797" s="173">
        <v>2</v>
      </c>
      <c r="C797" s="173"/>
      <c r="D797" s="173">
        <v>3</v>
      </c>
      <c r="E797" s="173">
        <v>4</v>
      </c>
      <c r="F797" s="173">
        <v>5</v>
      </c>
      <c r="G797" s="173">
        <v>6</v>
      </c>
      <c r="H797" s="173">
        <v>7</v>
      </c>
      <c r="I797" s="174">
        <v>8</v>
      </c>
      <c r="J797" s="174">
        <v>9</v>
      </c>
      <c r="K797" s="174">
        <v>10</v>
      </c>
      <c r="L797" s="174">
        <v>11</v>
      </c>
      <c r="M797" s="174">
        <v>12</v>
      </c>
      <c r="N797" s="174">
        <v>13</v>
      </c>
      <c r="O797" s="174">
        <v>14</v>
      </c>
      <c r="P797" s="174">
        <v>15</v>
      </c>
      <c r="Q797" s="174">
        <v>16</v>
      </c>
      <c r="R797" s="173">
        <v>17</v>
      </c>
    </row>
    <row r="798" spans="1:32" x14ac:dyDescent="0.2">
      <c r="A798" s="130">
        <v>1</v>
      </c>
      <c r="B798" s="133" t="s">
        <v>229</v>
      </c>
      <c r="C798" s="130" t="s">
        <v>26</v>
      </c>
      <c r="D798" s="131">
        <v>0</v>
      </c>
      <c r="E798" s="131">
        <v>0.15</v>
      </c>
      <c r="F798" s="145">
        <v>0.15</v>
      </c>
      <c r="G798" s="228">
        <v>450</v>
      </c>
      <c r="H798" s="133" t="s">
        <v>27</v>
      </c>
      <c r="I798" s="245"/>
      <c r="J798" s="246"/>
      <c r="K798" s="246"/>
      <c r="L798" s="246"/>
      <c r="M798" s="246"/>
      <c r="N798" s="246"/>
      <c r="O798" s="246"/>
      <c r="P798" s="246"/>
      <c r="Q798" s="70">
        <v>80640020842</v>
      </c>
      <c r="R798" s="70">
        <v>80640020832</v>
      </c>
    </row>
    <row r="799" spans="1:32" x14ac:dyDescent="0.2">
      <c r="A799" s="130">
        <v>2</v>
      </c>
      <c r="B799" s="133" t="s">
        <v>455</v>
      </c>
      <c r="C799" s="130" t="s">
        <v>26</v>
      </c>
      <c r="D799" s="131">
        <v>0</v>
      </c>
      <c r="E799" s="131">
        <v>0.28999999999999998</v>
      </c>
      <c r="F799" s="145">
        <v>0.28999999999999998</v>
      </c>
      <c r="G799" s="228">
        <v>870</v>
      </c>
      <c r="H799" s="133" t="s">
        <v>27</v>
      </c>
      <c r="I799" s="245"/>
      <c r="J799" s="246"/>
      <c r="K799" s="246"/>
      <c r="L799" s="246"/>
      <c r="M799" s="246"/>
      <c r="N799" s="246"/>
      <c r="O799" s="246"/>
      <c r="P799" s="246"/>
      <c r="Q799" s="70">
        <v>80640020854</v>
      </c>
      <c r="R799" s="70">
        <v>80640020831</v>
      </c>
    </row>
    <row r="800" spans="1:32" x14ac:dyDescent="0.2">
      <c r="A800" s="128">
        <v>3</v>
      </c>
      <c r="B800" s="225" t="s">
        <v>456</v>
      </c>
      <c r="C800" s="128" t="s">
        <v>26</v>
      </c>
      <c r="D800" s="131">
        <v>0</v>
      </c>
      <c r="E800" s="131">
        <v>0.22</v>
      </c>
      <c r="F800" s="145">
        <v>0.22</v>
      </c>
      <c r="G800" s="228">
        <v>660</v>
      </c>
      <c r="H800" s="133" t="s">
        <v>27</v>
      </c>
      <c r="I800" s="245"/>
      <c r="J800" s="246"/>
      <c r="K800" s="246"/>
      <c r="L800" s="246"/>
      <c r="M800" s="246"/>
      <c r="N800" s="246"/>
      <c r="O800" s="246"/>
      <c r="P800" s="246"/>
      <c r="Q800" s="70">
        <v>80640020851</v>
      </c>
      <c r="R800" s="70">
        <v>80640020826</v>
      </c>
    </row>
    <row r="801" spans="1:18" x14ac:dyDescent="0.2">
      <c r="A801" s="128">
        <v>4</v>
      </c>
      <c r="B801" s="230" t="s">
        <v>457</v>
      </c>
      <c r="C801" s="128" t="s">
        <v>26</v>
      </c>
      <c r="D801" s="247">
        <v>0</v>
      </c>
      <c r="E801" s="131">
        <v>0.18</v>
      </c>
      <c r="F801" s="145">
        <v>0.18</v>
      </c>
      <c r="G801" s="228">
        <v>540</v>
      </c>
      <c r="H801" s="133" t="s">
        <v>27</v>
      </c>
      <c r="I801" s="245"/>
      <c r="J801" s="246"/>
      <c r="K801" s="246"/>
      <c r="L801" s="246"/>
      <c r="M801" s="246"/>
      <c r="N801" s="246"/>
      <c r="O801" s="246"/>
      <c r="P801" s="246"/>
      <c r="Q801" s="70">
        <v>80640020849</v>
      </c>
      <c r="R801" s="70">
        <v>80640020823</v>
      </c>
    </row>
    <row r="802" spans="1:18" x14ac:dyDescent="0.2">
      <c r="A802" s="134"/>
      <c r="B802" s="236"/>
      <c r="C802" s="128" t="s">
        <v>26</v>
      </c>
      <c r="D802" s="247">
        <v>0.192</v>
      </c>
      <c r="E802" s="131">
        <v>0.442</v>
      </c>
      <c r="F802" s="145">
        <v>0.25</v>
      </c>
      <c r="G802" s="228">
        <v>750</v>
      </c>
      <c r="H802" s="133" t="s">
        <v>27</v>
      </c>
      <c r="I802" s="245"/>
      <c r="J802" s="246"/>
      <c r="K802" s="246"/>
      <c r="L802" s="246"/>
      <c r="M802" s="246"/>
      <c r="N802" s="246"/>
      <c r="O802" s="246"/>
      <c r="P802" s="246"/>
      <c r="Q802" s="70">
        <v>80640020849</v>
      </c>
      <c r="R802" s="70">
        <v>80640020825</v>
      </c>
    </row>
    <row r="803" spans="1:18" x14ac:dyDescent="0.2">
      <c r="A803" s="128">
        <v>5</v>
      </c>
      <c r="B803" s="230" t="s">
        <v>283</v>
      </c>
      <c r="C803" s="128" t="s">
        <v>26</v>
      </c>
      <c r="D803" s="247">
        <v>0</v>
      </c>
      <c r="E803" s="131">
        <v>0.24</v>
      </c>
      <c r="F803" s="145">
        <v>0.24</v>
      </c>
      <c r="G803" s="228">
        <v>720</v>
      </c>
      <c r="H803" s="133" t="s">
        <v>27</v>
      </c>
      <c r="I803" s="245"/>
      <c r="J803" s="246"/>
      <c r="K803" s="246"/>
      <c r="L803" s="246"/>
      <c r="M803" s="246"/>
      <c r="N803" s="246"/>
      <c r="O803" s="246"/>
      <c r="P803" s="246"/>
      <c r="Q803" s="70">
        <v>80640020843</v>
      </c>
      <c r="R803" s="70">
        <v>80640020819</v>
      </c>
    </row>
    <row r="804" spans="1:18" x14ac:dyDescent="0.2">
      <c r="A804" s="136"/>
      <c r="B804" s="234"/>
      <c r="C804" s="128" t="s">
        <v>26</v>
      </c>
      <c r="D804" s="247">
        <v>0.249</v>
      </c>
      <c r="E804" s="131">
        <v>0.52900000000000003</v>
      </c>
      <c r="F804" s="145">
        <v>0.28000000000000003</v>
      </c>
      <c r="G804" s="228">
        <v>840</v>
      </c>
      <c r="H804" s="133" t="s">
        <v>27</v>
      </c>
      <c r="I804" s="245"/>
      <c r="J804" s="246"/>
      <c r="K804" s="246"/>
      <c r="L804" s="246"/>
      <c r="M804" s="246"/>
      <c r="N804" s="246"/>
      <c r="O804" s="246"/>
      <c r="P804" s="246"/>
      <c r="Q804" s="70">
        <v>80640020843</v>
      </c>
      <c r="R804" s="70">
        <v>80640020818</v>
      </c>
    </row>
    <row r="805" spans="1:18" x14ac:dyDescent="0.2">
      <c r="A805" s="134"/>
      <c r="B805" s="233" t="s">
        <v>290</v>
      </c>
      <c r="C805" s="128" t="s">
        <v>26</v>
      </c>
      <c r="D805" s="131">
        <v>0</v>
      </c>
      <c r="E805" s="131">
        <v>9.7000000000000003E-2</v>
      </c>
      <c r="F805" s="145">
        <v>9.7000000000000003E-2</v>
      </c>
      <c r="G805" s="228">
        <v>243</v>
      </c>
      <c r="H805" s="207" t="s">
        <v>70</v>
      </c>
      <c r="I805" s="245"/>
      <c r="J805" s="246"/>
      <c r="K805" s="246"/>
      <c r="L805" s="246"/>
      <c r="M805" s="246"/>
      <c r="N805" s="246"/>
      <c r="O805" s="246"/>
      <c r="P805" s="246"/>
      <c r="Q805" s="70">
        <v>80640020833</v>
      </c>
      <c r="R805" s="70">
        <v>80640020833</v>
      </c>
    </row>
    <row r="806" spans="1:18" x14ac:dyDescent="0.2">
      <c r="A806" s="128">
        <v>6</v>
      </c>
      <c r="B806" s="230" t="s">
        <v>239</v>
      </c>
      <c r="C806" s="128" t="s">
        <v>26</v>
      </c>
      <c r="D806" s="247">
        <v>0</v>
      </c>
      <c r="E806" s="131">
        <v>0.28000000000000003</v>
      </c>
      <c r="F806" s="145">
        <v>0.28000000000000003</v>
      </c>
      <c r="G806" s="228">
        <v>840</v>
      </c>
      <c r="H806" s="133" t="s">
        <v>27</v>
      </c>
      <c r="I806" s="245"/>
      <c r="J806" s="246"/>
      <c r="K806" s="246"/>
      <c r="L806" s="246"/>
      <c r="M806" s="246"/>
      <c r="N806" s="246"/>
      <c r="O806" s="246"/>
      <c r="P806" s="246"/>
      <c r="Q806" s="70">
        <v>80640020847</v>
      </c>
      <c r="R806" s="70">
        <v>80640020822</v>
      </c>
    </row>
    <row r="807" spans="1:18" x14ac:dyDescent="0.2">
      <c r="A807" s="136"/>
      <c r="B807" s="234"/>
      <c r="C807" s="128" t="s">
        <v>26</v>
      </c>
      <c r="D807" s="247">
        <v>0.28999999999999998</v>
      </c>
      <c r="E807" s="131">
        <v>0.56999999999999995</v>
      </c>
      <c r="F807" s="145">
        <v>0.28000000000000003</v>
      </c>
      <c r="G807" s="228">
        <v>840</v>
      </c>
      <c r="H807" s="133" t="s">
        <v>27</v>
      </c>
      <c r="I807" s="245"/>
      <c r="J807" s="246"/>
      <c r="K807" s="246"/>
      <c r="L807" s="246"/>
      <c r="M807" s="246"/>
      <c r="N807" s="246"/>
      <c r="O807" s="246"/>
      <c r="P807" s="246"/>
      <c r="Q807" s="70">
        <v>80640020847</v>
      </c>
      <c r="R807" s="70">
        <v>80640020824</v>
      </c>
    </row>
    <row r="808" spans="1:18" x14ac:dyDescent="0.2">
      <c r="A808" s="134">
        <v>7</v>
      </c>
      <c r="B808" s="233" t="s">
        <v>458</v>
      </c>
      <c r="C808" s="128" t="s">
        <v>26</v>
      </c>
      <c r="D808" s="131">
        <v>0</v>
      </c>
      <c r="E808" s="131">
        <v>0.87</v>
      </c>
      <c r="F808" s="145">
        <v>0.87</v>
      </c>
      <c r="G808" s="228">
        <v>4350</v>
      </c>
      <c r="H808" s="133" t="s">
        <v>27</v>
      </c>
      <c r="I808" s="245"/>
      <c r="J808" s="246"/>
      <c r="K808" s="246"/>
      <c r="L808" s="246"/>
      <c r="M808" s="246"/>
      <c r="N808" s="246"/>
      <c r="O808" s="246"/>
      <c r="P808" s="246"/>
      <c r="Q808" s="70">
        <v>80640020855</v>
      </c>
      <c r="R808" s="70">
        <v>80640020835</v>
      </c>
    </row>
    <row r="809" spans="1:18" x14ac:dyDescent="0.2">
      <c r="A809" s="128">
        <v>8</v>
      </c>
      <c r="B809" s="230" t="s">
        <v>459</v>
      </c>
      <c r="C809" s="128" t="s">
        <v>26</v>
      </c>
      <c r="D809" s="247">
        <v>0</v>
      </c>
      <c r="E809" s="131">
        <v>0.25</v>
      </c>
      <c r="F809" s="145">
        <v>0.25</v>
      </c>
      <c r="G809" s="228">
        <v>750</v>
      </c>
      <c r="H809" s="133" t="s">
        <v>27</v>
      </c>
      <c r="I809" s="245"/>
      <c r="J809" s="246"/>
      <c r="K809" s="246"/>
      <c r="L809" s="246"/>
      <c r="M809" s="246"/>
      <c r="N809" s="246"/>
      <c r="O809" s="246"/>
      <c r="P809" s="246"/>
      <c r="Q809" s="70">
        <v>80640020839</v>
      </c>
      <c r="R809" s="70">
        <v>80640020814</v>
      </c>
    </row>
    <row r="810" spans="1:18" x14ac:dyDescent="0.2">
      <c r="A810" s="134"/>
      <c r="B810" s="236"/>
      <c r="C810" s="128" t="s">
        <v>26</v>
      </c>
      <c r="D810" s="247">
        <v>0.25900000000000001</v>
      </c>
      <c r="E810" s="131">
        <v>0.40899999999999997</v>
      </c>
      <c r="F810" s="145">
        <v>0.15</v>
      </c>
      <c r="G810" s="228">
        <v>450</v>
      </c>
      <c r="H810" s="133" t="s">
        <v>27</v>
      </c>
      <c r="I810" s="245"/>
      <c r="J810" s="246"/>
      <c r="K810" s="246"/>
      <c r="L810" s="246"/>
      <c r="M810" s="246"/>
      <c r="N810" s="246"/>
      <c r="O810" s="246"/>
      <c r="P810" s="246"/>
      <c r="Q810" s="70">
        <v>80640020839</v>
      </c>
      <c r="R810" s="70">
        <v>80640020815</v>
      </c>
    </row>
    <row r="811" spans="1:18" x14ac:dyDescent="0.2">
      <c r="A811" s="128">
        <v>9</v>
      </c>
      <c r="B811" s="230" t="s">
        <v>285</v>
      </c>
      <c r="C811" s="128" t="s">
        <v>26</v>
      </c>
      <c r="D811" s="247">
        <v>0</v>
      </c>
      <c r="E811" s="131">
        <v>0.26</v>
      </c>
      <c r="F811" s="145">
        <v>0.26</v>
      </c>
      <c r="G811" s="228">
        <v>780</v>
      </c>
      <c r="H811" s="133" t="s">
        <v>27</v>
      </c>
      <c r="I811" s="245"/>
      <c r="J811" s="246"/>
      <c r="K811" s="246"/>
      <c r="L811" s="246"/>
      <c r="M811" s="246"/>
      <c r="N811" s="246"/>
      <c r="O811" s="246"/>
      <c r="P811" s="246"/>
      <c r="Q811" s="70">
        <v>80640020841</v>
      </c>
      <c r="R811" s="70">
        <v>80640020816</v>
      </c>
    </row>
    <row r="812" spans="1:18" x14ac:dyDescent="0.2">
      <c r="A812" s="134"/>
      <c r="B812" s="236"/>
      <c r="C812" s="128" t="s">
        <v>26</v>
      </c>
      <c r="D812" s="247">
        <v>0.26900000000000002</v>
      </c>
      <c r="E812" s="131">
        <v>0.45900000000000002</v>
      </c>
      <c r="F812" s="145">
        <v>0.19</v>
      </c>
      <c r="G812" s="228">
        <v>570</v>
      </c>
      <c r="H812" s="133" t="s">
        <v>27</v>
      </c>
      <c r="I812" s="245"/>
      <c r="J812" s="246"/>
      <c r="K812" s="246"/>
      <c r="L812" s="246"/>
      <c r="M812" s="246"/>
      <c r="N812" s="246"/>
      <c r="O812" s="246"/>
      <c r="P812" s="246"/>
      <c r="Q812" s="70">
        <v>80640020841</v>
      </c>
      <c r="R812" s="70">
        <v>80640020817</v>
      </c>
    </row>
    <row r="813" spans="1:18" x14ac:dyDescent="0.2">
      <c r="A813" s="128">
        <v>10</v>
      </c>
      <c r="B813" s="230" t="s">
        <v>460</v>
      </c>
      <c r="C813" s="128" t="s">
        <v>26</v>
      </c>
      <c r="D813" s="247">
        <v>0</v>
      </c>
      <c r="E813" s="131">
        <v>0.28000000000000003</v>
      </c>
      <c r="F813" s="145">
        <v>0.28000000000000003</v>
      </c>
      <c r="G813" s="228">
        <v>840</v>
      </c>
      <c r="H813" s="133" t="s">
        <v>27</v>
      </c>
      <c r="I813" s="245"/>
      <c r="J813" s="246"/>
      <c r="K813" s="246"/>
      <c r="L813" s="246"/>
      <c r="M813" s="246"/>
      <c r="N813" s="246"/>
      <c r="O813" s="246"/>
      <c r="P813" s="246"/>
      <c r="Q813" s="70">
        <v>80640020845</v>
      </c>
      <c r="R813" s="70">
        <v>80640020820</v>
      </c>
    </row>
    <row r="814" spans="1:18" x14ac:dyDescent="0.2">
      <c r="A814" s="136"/>
      <c r="B814" s="234"/>
      <c r="C814" s="128" t="s">
        <v>26</v>
      </c>
      <c r="D814" s="247">
        <v>0.28999999999999998</v>
      </c>
      <c r="E814" s="131">
        <v>0.56999999999999995</v>
      </c>
      <c r="F814" s="145">
        <v>0.28000000000000003</v>
      </c>
      <c r="G814" s="228">
        <v>840</v>
      </c>
      <c r="H814" s="133" t="s">
        <v>27</v>
      </c>
      <c r="I814" s="245"/>
      <c r="J814" s="246"/>
      <c r="K814" s="246"/>
      <c r="L814" s="246"/>
      <c r="M814" s="246"/>
      <c r="N814" s="246"/>
      <c r="O814" s="246"/>
      <c r="P814" s="246"/>
      <c r="Q814" s="70">
        <v>80640020845</v>
      </c>
      <c r="R814" s="70">
        <v>80640020821</v>
      </c>
    </row>
    <row r="815" spans="1:18" x14ac:dyDescent="0.2">
      <c r="A815" s="136">
        <v>11</v>
      </c>
      <c r="B815" s="235" t="s">
        <v>245</v>
      </c>
      <c r="C815" s="130" t="s">
        <v>26</v>
      </c>
      <c r="D815" s="131">
        <v>0</v>
      </c>
      <c r="E815" s="131">
        <v>0.83</v>
      </c>
      <c r="F815" s="145">
        <v>0.83</v>
      </c>
      <c r="G815" s="228">
        <v>2490</v>
      </c>
      <c r="H815" s="133" t="s">
        <v>27</v>
      </c>
      <c r="I815" s="245"/>
      <c r="J815" s="246"/>
      <c r="K815" s="246"/>
      <c r="L815" s="246"/>
      <c r="M815" s="246"/>
      <c r="N815" s="246"/>
      <c r="O815" s="246"/>
      <c r="P815" s="246"/>
      <c r="Q815" s="70">
        <v>80640020836</v>
      </c>
      <c r="R815" s="70">
        <v>80640020811</v>
      </c>
    </row>
    <row r="816" spans="1:18" x14ac:dyDescent="0.2">
      <c r="A816" s="130">
        <v>12</v>
      </c>
      <c r="B816" s="133" t="s">
        <v>461</v>
      </c>
      <c r="C816" s="136" t="s">
        <v>26</v>
      </c>
      <c r="D816" s="131">
        <v>0</v>
      </c>
      <c r="E816" s="131">
        <v>0.53</v>
      </c>
      <c r="F816" s="145">
        <v>0.53</v>
      </c>
      <c r="G816" s="228">
        <v>1590</v>
      </c>
      <c r="H816" s="133" t="s">
        <v>27</v>
      </c>
      <c r="I816" s="245"/>
      <c r="J816" s="246"/>
      <c r="K816" s="246"/>
      <c r="L816" s="246"/>
      <c r="M816" s="246"/>
      <c r="N816" s="246"/>
      <c r="O816" s="246"/>
      <c r="P816" s="246"/>
      <c r="Q816" s="70">
        <v>80640020837</v>
      </c>
      <c r="R816" s="70">
        <v>80640020812</v>
      </c>
    </row>
    <row r="817" spans="1:32" x14ac:dyDescent="0.2">
      <c r="A817" s="130">
        <v>13</v>
      </c>
      <c r="B817" s="133" t="s">
        <v>286</v>
      </c>
      <c r="C817" s="136" t="s">
        <v>26</v>
      </c>
      <c r="D817" s="131">
        <v>0</v>
      </c>
      <c r="E817" s="131">
        <v>0.2</v>
      </c>
      <c r="F817" s="145">
        <v>0.2</v>
      </c>
      <c r="G817" s="228">
        <v>600</v>
      </c>
      <c r="H817" s="133" t="s">
        <v>27</v>
      </c>
      <c r="I817" s="245"/>
      <c r="J817" s="246"/>
      <c r="K817" s="246"/>
      <c r="L817" s="246"/>
      <c r="M817" s="246"/>
      <c r="N817" s="246"/>
      <c r="O817" s="246"/>
      <c r="P817" s="246"/>
      <c r="Q817" s="70">
        <v>80640020853</v>
      </c>
      <c r="R817" s="70">
        <v>80640020828</v>
      </c>
    </row>
    <row r="818" spans="1:32" x14ac:dyDescent="0.2">
      <c r="A818" s="130">
        <v>14</v>
      </c>
      <c r="B818" s="133" t="s">
        <v>462</v>
      </c>
      <c r="C818" s="136" t="s">
        <v>26</v>
      </c>
      <c r="D818" s="131">
        <v>0</v>
      </c>
      <c r="E818" s="131">
        <v>0.24</v>
      </c>
      <c r="F818" s="145">
        <v>0.24</v>
      </c>
      <c r="G818" s="228">
        <v>720</v>
      </c>
      <c r="H818" s="133" t="s">
        <v>27</v>
      </c>
      <c r="I818" s="245"/>
      <c r="J818" s="246"/>
      <c r="K818" s="246"/>
      <c r="L818" s="246"/>
      <c r="M818" s="246"/>
      <c r="N818" s="246"/>
      <c r="O818" s="246"/>
      <c r="P818" s="246"/>
      <c r="Q818" s="70">
        <v>80640020838</v>
      </c>
      <c r="R818" s="70">
        <v>80640020813</v>
      </c>
    </row>
    <row r="819" spans="1:32" ht="15" x14ac:dyDescent="0.25">
      <c r="A819" s="130">
        <v>15</v>
      </c>
      <c r="B819" s="133" t="s">
        <v>204</v>
      </c>
      <c r="C819" s="136" t="s">
        <v>26</v>
      </c>
      <c r="D819" s="131">
        <v>0</v>
      </c>
      <c r="E819" s="131">
        <v>0.18</v>
      </c>
      <c r="F819" s="145">
        <v>0.18</v>
      </c>
      <c r="G819" s="228">
        <v>540</v>
      </c>
      <c r="H819" s="133" t="s">
        <v>27</v>
      </c>
      <c r="I819" s="245"/>
      <c r="J819" s="246"/>
      <c r="K819" s="246"/>
      <c r="L819" s="246"/>
      <c r="M819" s="246"/>
      <c r="N819" s="246"/>
      <c r="O819" s="246"/>
      <c r="P819" s="246"/>
      <c r="Q819" s="70">
        <v>80640020852</v>
      </c>
      <c r="R819" s="70">
        <v>80640020827</v>
      </c>
      <c r="S819"/>
      <c r="T819"/>
      <c r="U819"/>
      <c r="V819"/>
      <c r="W819"/>
      <c r="X819"/>
      <c r="Y819"/>
      <c r="Z819"/>
      <c r="AA819" t="s">
        <v>211</v>
      </c>
      <c r="AB819"/>
      <c r="AC819"/>
      <c r="AD819"/>
      <c r="AE819"/>
      <c r="AF819"/>
    </row>
    <row r="820" spans="1:32" ht="22.5" x14ac:dyDescent="0.2">
      <c r="C820" s="1"/>
      <c r="K820" s="100" t="s">
        <v>213</v>
      </c>
      <c r="L820" s="243">
        <f>SUM(L798:L819)</f>
        <v>0</v>
      </c>
      <c r="M820" s="243">
        <f>SUM(M798:M819)</f>
        <v>0</v>
      </c>
      <c r="N820" s="92"/>
      <c r="O820" s="100" t="s">
        <v>214</v>
      </c>
      <c r="P820" s="243">
        <f>SUM(P798:P819)</f>
        <v>0</v>
      </c>
      <c r="T820" s="103" t="s">
        <v>215</v>
      </c>
      <c r="U820" s="103" t="s">
        <v>216</v>
      </c>
      <c r="V820" s="103" t="s">
        <v>217</v>
      </c>
      <c r="W820" s="103" t="s">
        <v>218</v>
      </c>
      <c r="X820" s="103" t="s">
        <v>219</v>
      </c>
      <c r="Y820" s="104" t="s">
        <v>214</v>
      </c>
      <c r="AA820" s="103" t="s">
        <v>215</v>
      </c>
      <c r="AB820" s="103" t="s">
        <v>216</v>
      </c>
      <c r="AC820" s="103" t="s">
        <v>217</v>
      </c>
      <c r="AD820" s="103" t="s">
        <v>218</v>
      </c>
      <c r="AE820" s="103" t="s">
        <v>219</v>
      </c>
      <c r="AF820" s="104" t="s">
        <v>214</v>
      </c>
    </row>
    <row r="821" spans="1:32" ht="12.75" customHeight="1" x14ac:dyDescent="0.2">
      <c r="A821" s="93" t="s">
        <v>463</v>
      </c>
      <c r="B821" s="94"/>
      <c r="C821" s="95"/>
      <c r="D821" s="94"/>
      <c r="E821" s="96"/>
      <c r="F821" s="97">
        <f>SUM(F798:F819)</f>
        <v>6.5270000000000001</v>
      </c>
      <c r="G821" s="243">
        <f>SUM(G798:G819)</f>
        <v>21273</v>
      </c>
      <c r="H821" s="160"/>
      <c r="I821" s="16"/>
      <c r="J821" s="99"/>
      <c r="Q821" s="92"/>
      <c r="S821" s="102" t="s">
        <v>20</v>
      </c>
      <c r="T821" s="103" t="s">
        <v>23</v>
      </c>
      <c r="U821" s="103" t="s">
        <v>23</v>
      </c>
      <c r="V821" s="103" t="s">
        <v>23</v>
      </c>
      <c r="W821" s="103" t="s">
        <v>23</v>
      </c>
      <c r="X821" s="103" t="s">
        <v>23</v>
      </c>
      <c r="Y821" s="104" t="s">
        <v>23</v>
      </c>
      <c r="Z821" s="102"/>
      <c r="AA821" s="103" t="s">
        <v>23</v>
      </c>
      <c r="AB821" s="103" t="s">
        <v>23</v>
      </c>
      <c r="AC821" s="103" t="s">
        <v>23</v>
      </c>
      <c r="AD821" s="103" t="s">
        <v>23</v>
      </c>
      <c r="AE821" s="103" t="s">
        <v>23</v>
      </c>
      <c r="AF821" s="104" t="s">
        <v>23</v>
      </c>
    </row>
    <row r="822" spans="1:32" ht="12.75" customHeight="1" x14ac:dyDescent="0.2">
      <c r="A822" s="105" t="s">
        <v>221</v>
      </c>
      <c r="B822" s="106"/>
      <c r="C822" s="111"/>
      <c r="D822" s="106"/>
      <c r="E822" s="112"/>
      <c r="F822" s="107">
        <f>SUMIFS(F798:F819,H798:H819,"melnais")</f>
        <v>0</v>
      </c>
      <c r="G822" s="244">
        <f>SUMIFS(G798:G819,H798:H819,"melnais")</f>
        <v>0</v>
      </c>
      <c r="H822" s="163"/>
      <c r="I822" s="89"/>
      <c r="J822" s="92"/>
      <c r="K822" s="92"/>
      <c r="L822" s="115"/>
      <c r="M822" s="115"/>
      <c r="N822" s="92"/>
      <c r="O822" s="92"/>
      <c r="P822" s="92"/>
      <c r="Q822" s="92"/>
      <c r="S822" s="116" t="s">
        <v>222</v>
      </c>
      <c r="T822" s="117">
        <f>SUMIFS(F785:F819,C785:C819,"A",H785:H819,"melnais")</f>
        <v>0</v>
      </c>
      <c r="U822" s="117">
        <f>SUMIFS(F785:F819,C785:C819,"A",H785:H819,"dubultā virsma")</f>
        <v>0</v>
      </c>
      <c r="V822" s="117">
        <f>SUMIFS(F785:F819,C785:C819,"A",H785:H819,"bruģis")</f>
        <v>0</v>
      </c>
      <c r="W822" s="117">
        <f>SUMIFS(F785:F819,C785:C819,"A",H785:H819,"grants")</f>
        <v>0</v>
      </c>
      <c r="X822" s="117">
        <f>SUMIFS(F785:F819,C785:C819,"A",H785:H819,"cits segums")</f>
        <v>0</v>
      </c>
      <c r="Y822" s="117">
        <f>SUM(T822:X822)</f>
        <v>0</v>
      </c>
      <c r="Z822" s="116" t="s">
        <v>222</v>
      </c>
      <c r="AA822" s="117">
        <f>SUMIFS(F785:F819,C785:C819,"A",H785:H819,"melnais", Q785:Q819,"Nepiederošs")</f>
        <v>0</v>
      </c>
      <c r="AB822" s="117">
        <f>SUMIFS(F785:F819,C785:C819,"A",H785:H819,"dubultā virsma", Q785:Q819,"Nepiederošs")</f>
        <v>0</v>
      </c>
      <c r="AC822" s="117">
        <f>SUMIFS(F785:F819,C785:C819,"A",H785:H819,"bruģis", Q785:Q819,"Nepiederošs")</f>
        <v>0</v>
      </c>
      <c r="AD822" s="117">
        <f>SUMIFS(F785:F819,C785:C819,"A",H785:H819,"grants", Q785:Q819,"Nepiederošs")</f>
        <v>0</v>
      </c>
      <c r="AE822" s="117">
        <f>SUMIFS(F785:F819,C785:C819,"A",H785:H819,"cits segums", Q785:Q819,"Nepiederošs")</f>
        <v>0</v>
      </c>
      <c r="AF822" s="117">
        <f>SUM(AA822:AE822)</f>
        <v>0</v>
      </c>
    </row>
    <row r="823" spans="1:32" ht="12.75" customHeight="1" x14ac:dyDescent="0.2">
      <c r="A823" s="105" t="s">
        <v>223</v>
      </c>
      <c r="B823" s="106"/>
      <c r="C823" s="111"/>
      <c r="D823" s="106"/>
      <c r="E823" s="112"/>
      <c r="F823" s="107">
        <f>SUMIFS(F798:F819,H798:H819,"bruģis")</f>
        <v>0</v>
      </c>
      <c r="G823" s="244">
        <f>SUMIFS(G798:G819,H798:H819,"bruģis")</f>
        <v>0</v>
      </c>
      <c r="I823" s="16"/>
      <c r="J823" s="92"/>
      <c r="N823" s="92"/>
      <c r="O823" s="92"/>
      <c r="P823" s="92"/>
      <c r="Q823" s="92"/>
      <c r="S823" s="120" t="s">
        <v>39</v>
      </c>
      <c r="T823" s="117">
        <f>SUMIFS(F785:F819,C785:C819,"B",H785:H819,"melnais")</f>
        <v>0</v>
      </c>
      <c r="U823" s="117">
        <f>SUMIFS(F785:F819,C785:C819,"B",H785:H819,"dubultā virsma")</f>
        <v>0</v>
      </c>
      <c r="V823" s="117">
        <f>SUMIFS(F785:F819,C785:C819,"B",H785:H819,"bruģis")</f>
        <v>0</v>
      </c>
      <c r="W823" s="117">
        <f>SUMIFS(F785:F819,C785:C819,"B",H785:H819,"grants")</f>
        <v>0</v>
      </c>
      <c r="X823" s="117">
        <f>SUMIFS(F785:F819,C785:C819,"B",H785:H819,"cits segums")</f>
        <v>0</v>
      </c>
      <c r="Y823" s="117">
        <f t="shared" ref="Y823:Y825" si="111">SUM(T823:X823)</f>
        <v>0</v>
      </c>
      <c r="Z823" s="120" t="s">
        <v>39</v>
      </c>
      <c r="AA823" s="117">
        <f>SUMIFS(F785:F819,C785:C819,"B",H785:H819,"melnais", Q785:Q819,"Nepiederošs")</f>
        <v>0</v>
      </c>
      <c r="AB823" s="117">
        <f>SUMIFS(F785:F819,C785:C819,"B",H785:H819,"dubultā virsma", Q785:Q819,"Nepiederošs")</f>
        <v>0</v>
      </c>
      <c r="AC823" s="117">
        <f>SUMIFS(F785:F819,C785:C819,"B",H785:H819,"bruģis", Q785:Q819,"Nepiederošs")</f>
        <v>0</v>
      </c>
      <c r="AD823" s="117">
        <f>SUMIFS(F785:F819,C785:C819,"B",H785:H819,"grants", Q785:Q819,"Nepiederošs")</f>
        <v>0</v>
      </c>
      <c r="AE823" s="117">
        <f>SUMIFS(F785:F819,C785:C819,"B",H785:H819,"cits segums", Q785:Q819,"Nepiederošs")</f>
        <v>0</v>
      </c>
      <c r="AF823" s="117">
        <f t="shared" ref="AF823:AF825" si="112">SUM(AA823:AE823)</f>
        <v>0</v>
      </c>
    </row>
    <row r="824" spans="1:32" ht="12.75" customHeight="1" x14ac:dyDescent="0.2">
      <c r="A824" s="105" t="s">
        <v>224</v>
      </c>
      <c r="B824" s="106"/>
      <c r="C824" s="111"/>
      <c r="D824" s="106"/>
      <c r="E824" s="112"/>
      <c r="F824" s="107">
        <f>SUMIFS(F798:F819,H798:H819,"grants")</f>
        <v>6.4300000000000006</v>
      </c>
      <c r="G824" s="244">
        <f>SUMIFS(G798:G819,H798:H819,"grants")</f>
        <v>21030</v>
      </c>
      <c r="I824" s="16"/>
      <c r="J824" s="92"/>
      <c r="N824" s="92"/>
      <c r="O824" s="92"/>
      <c r="P824" s="92"/>
      <c r="Q824" s="92"/>
      <c r="S824" s="121" t="s">
        <v>34</v>
      </c>
      <c r="T824" s="117">
        <f>SUMIFS(F785:F819,C785:C819,"C",H785:H819,"melnais")</f>
        <v>0</v>
      </c>
      <c r="U824" s="117">
        <f>SUMIFS(F785:F819,C785:C819,"C",H785:H819,"dubultā virsma")</f>
        <v>0</v>
      </c>
      <c r="V824" s="117">
        <f>SUMIFS(F785:F819,C785:C819,"C",H785:H819,"bruģis")</f>
        <v>0</v>
      </c>
      <c r="W824" s="117">
        <f>SUMIFS(F785:F819,C785:C819,"C",H785:H819,"grants")</f>
        <v>0</v>
      </c>
      <c r="X824" s="117">
        <f>SUMIFS(F785:F819,C785:C819,"C",H785:H819,"cits segums")</f>
        <v>0</v>
      </c>
      <c r="Y824" s="117">
        <f t="shared" si="111"/>
        <v>0</v>
      </c>
      <c r="Z824" s="121" t="s">
        <v>34</v>
      </c>
      <c r="AA824" s="117">
        <f>SUMIFS(F785:F819,C785:C819,"C",H785:H819,"melnais", Q785:Q819,"Nepiederošs")</f>
        <v>0</v>
      </c>
      <c r="AB824" s="117">
        <f>SUMIFS(F785:F819,C785:C819,"C",H785:H819,"dubultā virsma", Q785:Q819,"Nepiederošs")</f>
        <v>0</v>
      </c>
      <c r="AC824" s="117">
        <f>SUMIFS(F785:F819,C785:C819,"C",H785:H819,"bruģis", Q785:Q819,"Nepiederošs")</f>
        <v>0</v>
      </c>
      <c r="AD824" s="117">
        <f>SUMIFS(F785:F819,C785:C819,"C",H785:H819,"grants", Q785:Q819,"Nepiederošs")</f>
        <v>0</v>
      </c>
      <c r="AE824" s="117">
        <f>SUMIFS(F785:F819,C785:C819,"C",H785:H819,"cits segums", Q785:Q819,"Nepiederošs")</f>
        <v>0</v>
      </c>
      <c r="AF824" s="117">
        <f t="shared" si="112"/>
        <v>0</v>
      </c>
    </row>
    <row r="825" spans="1:32" ht="12.75" customHeight="1" x14ac:dyDescent="0.2">
      <c r="A825" s="105" t="s">
        <v>225</v>
      </c>
      <c r="B825" s="106"/>
      <c r="C825" s="111"/>
      <c r="D825" s="106"/>
      <c r="E825" s="112"/>
      <c r="F825" s="107">
        <f>SUMIFS(F798:F819,H798:H819,"cits segums")</f>
        <v>9.7000000000000003E-2</v>
      </c>
      <c r="G825" s="244">
        <f>SUMIFS(G798:G819,H798:H819,"cits segums")</f>
        <v>243</v>
      </c>
      <c r="H825" s="89"/>
      <c r="I825" s="16"/>
      <c r="J825" s="122"/>
      <c r="N825" s="92"/>
      <c r="O825" s="92"/>
      <c r="P825" s="92"/>
      <c r="Q825" s="92"/>
      <c r="S825" s="116" t="s">
        <v>26</v>
      </c>
      <c r="T825" s="117">
        <f>SUMIFS(F785:F819,C785:C819,"D",H785:H819,"melnais")</f>
        <v>0</v>
      </c>
      <c r="U825" s="117">
        <f>SUMIFS(F785:F819,C785:C819,"D",H785:H819,"dubultā virsma")</f>
        <v>0</v>
      </c>
      <c r="V825" s="117">
        <f>SUMIFS(F785:F819,C785:C819,"D",H785:H819,"bruģis")</f>
        <v>0</v>
      </c>
      <c r="W825" s="117">
        <f>SUMIFS(F785:F819,C785:C819,"D",H785:H819,"grants")</f>
        <v>6.4300000000000006</v>
      </c>
      <c r="X825" s="117">
        <f>SUMIFS(F785:F819,C785:C819,"D",H785:H819,"cits segums")</f>
        <v>9.7000000000000003E-2</v>
      </c>
      <c r="Y825" s="117">
        <f t="shared" si="111"/>
        <v>6.527000000000001</v>
      </c>
      <c r="Z825" s="116" t="s">
        <v>26</v>
      </c>
      <c r="AA825" s="117">
        <f>SUMIFS(F785:F819,C785:C819,"D",H785:H819,"melnais", Q785:Q819,"Nepiederošs")</f>
        <v>0</v>
      </c>
      <c r="AB825" s="117">
        <f>SUMIFS(F785:F819,C785:C819,"D",H785:H819,"dubultā virsma", Q785:Q819,"Nepiederošs")</f>
        <v>0</v>
      </c>
      <c r="AC825" s="117">
        <f>SUMIFS(F785:F819,C785:C819,"D",H785:H819,"bruģis", Q785:Q819,"Nepiederošs")</f>
        <v>0</v>
      </c>
      <c r="AD825" s="117">
        <f>SUMIFS(F785:F819,C785:C819,"D",H785:H819,"grants", Q785:Q819,"Nepiederošs")</f>
        <v>0</v>
      </c>
      <c r="AE825" s="117">
        <f>SUMIFS(F785:F819,C785:C819,"D",H785:H819,"cits segums", Q785:Q819,"Nepiederošs")</f>
        <v>0</v>
      </c>
      <c r="AF825" s="117">
        <f t="shared" si="112"/>
        <v>0</v>
      </c>
    </row>
    <row r="826" spans="1:32" ht="15" x14ac:dyDescent="0.25">
      <c r="C826" s="1"/>
      <c r="S826" s="172"/>
      <c r="T826" s="126">
        <f>SUM(T822:T825)</f>
        <v>0</v>
      </c>
      <c r="U826" s="126">
        <f t="shared" ref="U826:Y826" si="113">SUM(U822:U825)</f>
        <v>0</v>
      </c>
      <c r="V826" s="126">
        <f t="shared" si="113"/>
        <v>0</v>
      </c>
      <c r="W826" s="126">
        <f t="shared" si="113"/>
        <v>6.4300000000000006</v>
      </c>
      <c r="X826" s="126">
        <f t="shared" si="113"/>
        <v>9.7000000000000003E-2</v>
      </c>
      <c r="Y826" s="126">
        <f t="shared" si="113"/>
        <v>6.527000000000001</v>
      </c>
      <c r="Z826"/>
      <c r="AA826" s="126">
        <f>SUM(AA822:AA825)</f>
        <v>0</v>
      </c>
      <c r="AB826" s="126">
        <f t="shared" ref="AB826" si="114">SUM(AB822:AB825)</f>
        <v>0</v>
      </c>
      <c r="AC826" s="126">
        <f>SUM(AC822:AC825)</f>
        <v>0</v>
      </c>
      <c r="AD826" s="126">
        <f t="shared" ref="AD826:AF826" si="115">SUM(AD822:AD825)</f>
        <v>0</v>
      </c>
      <c r="AE826" s="126">
        <f t="shared" si="115"/>
        <v>0</v>
      </c>
      <c r="AF826" s="126">
        <f t="shared" si="115"/>
        <v>0</v>
      </c>
    </row>
    <row r="827" spans="1:32" s="2" customFormat="1" ht="15" customHeight="1" x14ac:dyDescent="0.25">
      <c r="A827" s="1"/>
      <c r="C827" s="1"/>
      <c r="D827" s="6" t="s">
        <v>464</v>
      </c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4"/>
      <c r="R827" s="7"/>
    </row>
    <row r="828" spans="1:32" ht="12.75" customHeight="1" x14ac:dyDescent="0.2">
      <c r="A828" s="8" t="s">
        <v>2</v>
      </c>
      <c r="B828" s="9" t="s">
        <v>3</v>
      </c>
      <c r="C828" s="10"/>
      <c r="D828" s="11" t="s">
        <v>4</v>
      </c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3"/>
      <c r="Q828" s="14" t="s">
        <v>5</v>
      </c>
      <c r="R828" s="15"/>
    </row>
    <row r="829" spans="1:32" ht="12.75" customHeight="1" x14ac:dyDescent="0.2">
      <c r="A829" s="8"/>
      <c r="B829" s="9"/>
      <c r="C829" s="17"/>
      <c r="D829" s="9" t="s">
        <v>6</v>
      </c>
      <c r="E829" s="9"/>
      <c r="F829" s="9"/>
      <c r="G829" s="9"/>
      <c r="H829" s="9"/>
      <c r="I829" s="18" t="s">
        <v>7</v>
      </c>
      <c r="J829" s="18"/>
      <c r="K829" s="18"/>
      <c r="L829" s="18"/>
      <c r="M829" s="18"/>
      <c r="N829" s="18"/>
      <c r="O829" s="18"/>
      <c r="P829" s="19" t="s">
        <v>8</v>
      </c>
      <c r="Q829" s="20"/>
      <c r="R829" s="21"/>
    </row>
    <row r="830" spans="1:32" ht="15.2" customHeight="1" x14ac:dyDescent="0.2">
      <c r="A830" s="8"/>
      <c r="B830" s="9"/>
      <c r="C830" s="17"/>
      <c r="D830" s="9" t="s">
        <v>9</v>
      </c>
      <c r="E830" s="9"/>
      <c r="F830" s="8" t="s">
        <v>10</v>
      </c>
      <c r="G830" s="8" t="s">
        <v>11</v>
      </c>
      <c r="H830" s="8" t="s">
        <v>12</v>
      </c>
      <c r="I830" s="18" t="s">
        <v>13</v>
      </c>
      <c r="J830" s="18" t="s">
        <v>14</v>
      </c>
      <c r="K830" s="18"/>
      <c r="L830" s="22" t="s">
        <v>15</v>
      </c>
      <c r="M830" s="22" t="s">
        <v>11</v>
      </c>
      <c r="N830" s="22" t="s">
        <v>16</v>
      </c>
      <c r="O830" s="22" t="s">
        <v>17</v>
      </c>
      <c r="P830" s="23"/>
      <c r="Q830" s="23" t="s">
        <v>18</v>
      </c>
      <c r="R830" s="24" t="s">
        <v>19</v>
      </c>
    </row>
    <row r="831" spans="1:32" ht="33.75" customHeight="1" x14ac:dyDescent="0.2">
      <c r="A831" s="8"/>
      <c r="B831" s="9"/>
      <c r="C831" s="25" t="s">
        <v>20</v>
      </c>
      <c r="D831" s="26" t="s">
        <v>21</v>
      </c>
      <c r="E831" s="26" t="s">
        <v>22</v>
      </c>
      <c r="F831" s="8"/>
      <c r="G831" s="8"/>
      <c r="H831" s="8"/>
      <c r="I831" s="18"/>
      <c r="J831" s="27" t="s">
        <v>23</v>
      </c>
      <c r="K831" s="27" t="s">
        <v>24</v>
      </c>
      <c r="L831" s="22"/>
      <c r="M831" s="22"/>
      <c r="N831" s="22"/>
      <c r="O831" s="22"/>
      <c r="P831" s="28"/>
      <c r="Q831" s="28"/>
      <c r="R831" s="29"/>
    </row>
    <row r="832" spans="1:32" s="32" customFormat="1" ht="12" customHeight="1" x14ac:dyDescent="0.25">
      <c r="A832" s="173">
        <v>1</v>
      </c>
      <c r="B832" s="173">
        <v>2</v>
      </c>
      <c r="C832" s="173"/>
      <c r="D832" s="173">
        <v>3</v>
      </c>
      <c r="E832" s="173">
        <v>4</v>
      </c>
      <c r="F832" s="173">
        <v>5</v>
      </c>
      <c r="G832" s="173">
        <v>6</v>
      </c>
      <c r="H832" s="173">
        <v>7</v>
      </c>
      <c r="I832" s="174">
        <v>8</v>
      </c>
      <c r="J832" s="174">
        <v>9</v>
      </c>
      <c r="K832" s="174">
        <v>10</v>
      </c>
      <c r="L832" s="174">
        <v>11</v>
      </c>
      <c r="M832" s="174">
        <v>12</v>
      </c>
      <c r="N832" s="174">
        <v>13</v>
      </c>
      <c r="O832" s="174">
        <v>14</v>
      </c>
      <c r="P832" s="174">
        <v>15</v>
      </c>
      <c r="Q832" s="174">
        <v>16</v>
      </c>
      <c r="R832" s="173">
        <v>17</v>
      </c>
    </row>
    <row r="833" spans="1:18" x14ac:dyDescent="0.2">
      <c r="A833" s="259">
        <v>1</v>
      </c>
      <c r="B833" s="260" t="s">
        <v>465</v>
      </c>
      <c r="C833" s="261" t="s">
        <v>26</v>
      </c>
      <c r="D833" s="262">
        <v>0</v>
      </c>
      <c r="E833" s="262">
        <v>0.26</v>
      </c>
      <c r="F833" s="262">
        <v>0.26</v>
      </c>
      <c r="G833" s="263">
        <v>780</v>
      </c>
      <c r="H833" s="264" t="s">
        <v>27</v>
      </c>
      <c r="I833" s="264"/>
      <c r="J833" s="264"/>
      <c r="K833" s="264"/>
      <c r="L833" s="264"/>
      <c r="M833" s="264"/>
      <c r="N833" s="264"/>
      <c r="O833" s="264"/>
      <c r="P833" s="265"/>
      <c r="Q833" s="265">
        <v>80680070417</v>
      </c>
      <c r="R833" s="265">
        <v>80680070417</v>
      </c>
    </row>
    <row r="834" spans="1:18" x14ac:dyDescent="0.2">
      <c r="A834" s="266">
        <v>2</v>
      </c>
      <c r="B834" s="267" t="s">
        <v>229</v>
      </c>
      <c r="C834" s="261" t="s">
        <v>26</v>
      </c>
      <c r="D834" s="262">
        <v>0</v>
      </c>
      <c r="E834" s="262">
        <v>2.7E-2</v>
      </c>
      <c r="F834" s="262">
        <v>2.7E-2</v>
      </c>
      <c r="G834" s="263">
        <v>162</v>
      </c>
      <c r="H834" s="264" t="s">
        <v>29</v>
      </c>
      <c r="I834" s="264"/>
      <c r="J834" s="264"/>
      <c r="K834" s="264"/>
      <c r="L834" s="264"/>
      <c r="M834" s="264"/>
      <c r="N834" s="264"/>
      <c r="O834" s="264"/>
      <c r="P834" s="265"/>
      <c r="Q834" s="265"/>
      <c r="R834" s="268" t="s">
        <v>466</v>
      </c>
    </row>
    <row r="835" spans="1:18" x14ac:dyDescent="0.2">
      <c r="A835" s="269"/>
      <c r="B835" s="270"/>
      <c r="C835" s="261" t="s">
        <v>26</v>
      </c>
      <c r="D835" s="262">
        <v>2.7E-2</v>
      </c>
      <c r="E835" s="262">
        <v>0.14200000000000002</v>
      </c>
      <c r="F835" s="262">
        <v>0.115</v>
      </c>
      <c r="G835" s="263">
        <v>690</v>
      </c>
      <c r="H835" s="264" t="s">
        <v>29</v>
      </c>
      <c r="I835" s="264"/>
      <c r="J835" s="264"/>
      <c r="K835" s="264"/>
      <c r="L835" s="264"/>
      <c r="M835" s="264"/>
      <c r="N835" s="264"/>
      <c r="O835" s="264"/>
      <c r="P835" s="265"/>
      <c r="Q835" s="265">
        <v>80680070837</v>
      </c>
      <c r="R835" s="265">
        <v>80680070753</v>
      </c>
    </row>
    <row r="836" spans="1:18" x14ac:dyDescent="0.2">
      <c r="A836" s="265">
        <v>3</v>
      </c>
      <c r="B836" s="271" t="s">
        <v>53</v>
      </c>
      <c r="C836" s="261" t="s">
        <v>26</v>
      </c>
      <c r="D836" s="262">
        <v>0</v>
      </c>
      <c r="E836" s="262">
        <v>0.27</v>
      </c>
      <c r="F836" s="262">
        <v>0.27</v>
      </c>
      <c r="G836" s="263">
        <v>1350</v>
      </c>
      <c r="H836" s="264" t="s">
        <v>29</v>
      </c>
      <c r="I836" s="264"/>
      <c r="J836" s="264"/>
      <c r="K836" s="264"/>
      <c r="L836" s="264"/>
      <c r="M836" s="264"/>
      <c r="N836" s="264"/>
      <c r="O836" s="264"/>
      <c r="P836" s="265"/>
      <c r="Q836" s="265">
        <v>80680070838</v>
      </c>
      <c r="R836" s="265">
        <v>80680070759</v>
      </c>
    </row>
    <row r="837" spans="1:18" x14ac:dyDescent="0.2">
      <c r="A837" s="259">
        <v>4</v>
      </c>
      <c r="B837" s="260" t="s">
        <v>57</v>
      </c>
      <c r="C837" s="261" t="s">
        <v>26</v>
      </c>
      <c r="D837" s="262">
        <v>0</v>
      </c>
      <c r="E837" s="262">
        <v>0.51</v>
      </c>
      <c r="F837" s="262">
        <v>0.51</v>
      </c>
      <c r="G837" s="263">
        <v>1785</v>
      </c>
      <c r="H837" s="264" t="s">
        <v>29</v>
      </c>
      <c r="I837" s="264"/>
      <c r="J837" s="264"/>
      <c r="K837" s="264"/>
      <c r="L837" s="264"/>
      <c r="M837" s="264"/>
      <c r="N837" s="264"/>
      <c r="O837" s="264"/>
      <c r="P837" s="265"/>
      <c r="Q837" s="265">
        <v>80680070505</v>
      </c>
      <c r="R837" s="265">
        <v>80680070505</v>
      </c>
    </row>
    <row r="838" spans="1:18" x14ac:dyDescent="0.2">
      <c r="A838" s="266">
        <v>5</v>
      </c>
      <c r="B838" s="267" t="s">
        <v>65</v>
      </c>
      <c r="C838" s="272" t="s">
        <v>34</v>
      </c>
      <c r="D838" s="262">
        <v>0</v>
      </c>
      <c r="E838" s="262">
        <v>0.68500000000000005</v>
      </c>
      <c r="F838" s="262">
        <v>0.68500000000000005</v>
      </c>
      <c r="G838" s="263">
        <v>3768</v>
      </c>
      <c r="H838" s="264" t="s">
        <v>29</v>
      </c>
      <c r="I838" s="264"/>
      <c r="J838" s="264"/>
      <c r="K838" s="264"/>
      <c r="L838" s="264"/>
      <c r="M838" s="264"/>
      <c r="N838" s="264"/>
      <c r="O838" s="264"/>
      <c r="P838" s="265">
        <v>1013</v>
      </c>
      <c r="Q838" s="265">
        <v>80680070500</v>
      </c>
      <c r="R838" s="265">
        <v>80680070500</v>
      </c>
    </row>
    <row r="839" spans="1:18" x14ac:dyDescent="0.2">
      <c r="A839" s="273"/>
      <c r="B839" s="274"/>
      <c r="C839" s="272" t="s">
        <v>34</v>
      </c>
      <c r="D839" s="262">
        <v>0.71000000000000008</v>
      </c>
      <c r="E839" s="262">
        <v>1.022</v>
      </c>
      <c r="F839" s="262">
        <v>0.312</v>
      </c>
      <c r="G839" s="263">
        <v>1778</v>
      </c>
      <c r="H839" s="264" t="s">
        <v>29</v>
      </c>
      <c r="I839" s="264"/>
      <c r="J839" s="264"/>
      <c r="K839" s="264"/>
      <c r="L839" s="264"/>
      <c r="M839" s="264"/>
      <c r="N839" s="264"/>
      <c r="O839" s="264"/>
      <c r="P839" s="265"/>
      <c r="Q839" s="265">
        <v>80680070500</v>
      </c>
      <c r="R839" s="265">
        <v>80680070542</v>
      </c>
    </row>
    <row r="840" spans="1:18" x14ac:dyDescent="0.2">
      <c r="A840" s="269"/>
      <c r="B840" s="270"/>
      <c r="C840" s="272" t="s">
        <v>34</v>
      </c>
      <c r="D840" s="262">
        <v>1.022</v>
      </c>
      <c r="E840" s="262">
        <v>1.4220000000000002</v>
      </c>
      <c r="F840" s="262">
        <v>0.4</v>
      </c>
      <c r="G840" s="263">
        <v>2000</v>
      </c>
      <c r="H840" s="264" t="s">
        <v>27</v>
      </c>
      <c r="I840" s="264"/>
      <c r="J840" s="264"/>
      <c r="K840" s="264"/>
      <c r="L840" s="264"/>
      <c r="M840" s="264"/>
      <c r="N840" s="264"/>
      <c r="O840" s="264"/>
      <c r="P840" s="265"/>
      <c r="Q840" s="265">
        <v>80680070500</v>
      </c>
      <c r="R840" s="265">
        <v>80680070542</v>
      </c>
    </row>
    <row r="841" spans="1:18" x14ac:dyDescent="0.2">
      <c r="A841" s="266">
        <v>6</v>
      </c>
      <c r="B841" s="267" t="s">
        <v>467</v>
      </c>
      <c r="C841" s="272" t="s">
        <v>26</v>
      </c>
      <c r="D841" s="262">
        <v>0</v>
      </c>
      <c r="E841" s="262">
        <v>0.45500000000000002</v>
      </c>
      <c r="F841" s="262">
        <v>0.45500000000000002</v>
      </c>
      <c r="G841" s="263">
        <v>2366</v>
      </c>
      <c r="H841" s="264" t="s">
        <v>29</v>
      </c>
      <c r="I841" s="264"/>
      <c r="J841" s="264"/>
      <c r="K841" s="264"/>
      <c r="L841" s="264"/>
      <c r="M841" s="264"/>
      <c r="N841" s="264"/>
      <c r="O841" s="264"/>
      <c r="P841" s="265"/>
      <c r="Q841" s="265">
        <v>80680070498</v>
      </c>
      <c r="R841" s="265">
        <v>80680070498</v>
      </c>
    </row>
    <row r="842" spans="1:18" x14ac:dyDescent="0.2">
      <c r="A842" s="269"/>
      <c r="B842" s="270"/>
      <c r="C842" s="272" t="s">
        <v>26</v>
      </c>
      <c r="D842" s="262">
        <v>0.45500000000000002</v>
      </c>
      <c r="E842" s="262">
        <v>0.60699999999999998</v>
      </c>
      <c r="F842" s="262">
        <v>0.152</v>
      </c>
      <c r="G842" s="263">
        <v>714</v>
      </c>
      <c r="H842" s="264" t="s">
        <v>29</v>
      </c>
      <c r="I842" s="264"/>
      <c r="J842" s="264"/>
      <c r="K842" s="264"/>
      <c r="L842" s="264"/>
      <c r="M842" s="264"/>
      <c r="N842" s="264"/>
      <c r="O842" s="264"/>
      <c r="P842" s="265"/>
      <c r="Q842" s="265">
        <v>80680070498</v>
      </c>
      <c r="R842" s="265">
        <v>80680070646</v>
      </c>
    </row>
    <row r="843" spans="1:18" x14ac:dyDescent="0.2">
      <c r="A843" s="265">
        <v>7</v>
      </c>
      <c r="B843" s="275" t="s">
        <v>468</v>
      </c>
      <c r="C843" s="276" t="s">
        <v>26</v>
      </c>
      <c r="D843" s="262">
        <v>0</v>
      </c>
      <c r="E843" s="262">
        <v>0.15</v>
      </c>
      <c r="F843" s="262">
        <v>0.15</v>
      </c>
      <c r="G843" s="263">
        <v>540</v>
      </c>
      <c r="H843" s="264" t="s">
        <v>29</v>
      </c>
      <c r="I843" s="264"/>
      <c r="J843" s="264"/>
      <c r="K843" s="264"/>
      <c r="L843" s="264"/>
      <c r="M843" s="264"/>
      <c r="N843" s="264"/>
      <c r="O843" s="264"/>
      <c r="P843" s="265"/>
      <c r="Q843" s="265">
        <v>80680070497</v>
      </c>
      <c r="R843" s="265">
        <v>80680070497</v>
      </c>
    </row>
    <row r="844" spans="1:18" x14ac:dyDescent="0.2">
      <c r="A844" s="266">
        <v>8</v>
      </c>
      <c r="B844" s="267" t="s">
        <v>83</v>
      </c>
      <c r="C844" s="272" t="s">
        <v>26</v>
      </c>
      <c r="D844" s="262">
        <v>0</v>
      </c>
      <c r="E844" s="262">
        <v>0.245</v>
      </c>
      <c r="F844" s="262">
        <v>0.245</v>
      </c>
      <c r="G844" s="263">
        <v>735</v>
      </c>
      <c r="H844" s="264" t="s">
        <v>27</v>
      </c>
      <c r="I844" s="264"/>
      <c r="J844" s="264"/>
      <c r="K844" s="264"/>
      <c r="L844" s="264"/>
      <c r="M844" s="264"/>
      <c r="N844" s="264"/>
      <c r="O844" s="264"/>
      <c r="P844" s="265"/>
      <c r="Q844" s="265"/>
      <c r="R844" s="268" t="s">
        <v>469</v>
      </c>
    </row>
    <row r="845" spans="1:18" x14ac:dyDescent="0.2">
      <c r="A845" s="269"/>
      <c r="B845" s="270"/>
      <c r="C845" s="272" t="s">
        <v>26</v>
      </c>
      <c r="D845" s="262">
        <v>0.245</v>
      </c>
      <c r="E845" s="262">
        <v>0.34499999999999997</v>
      </c>
      <c r="F845" s="262">
        <v>0.1</v>
      </c>
      <c r="G845" s="263">
        <v>300</v>
      </c>
      <c r="H845" s="264" t="s">
        <v>70</v>
      </c>
      <c r="I845" s="264"/>
      <c r="J845" s="264"/>
      <c r="K845" s="264"/>
      <c r="L845" s="264"/>
      <c r="M845" s="264"/>
      <c r="N845" s="264"/>
      <c r="O845" s="264"/>
      <c r="P845" s="265"/>
      <c r="Q845" s="265"/>
      <c r="R845" s="268" t="s">
        <v>469</v>
      </c>
    </row>
    <row r="846" spans="1:18" x14ac:dyDescent="0.2">
      <c r="A846" s="259">
        <v>9</v>
      </c>
      <c r="B846" s="260" t="s">
        <v>123</v>
      </c>
      <c r="C846" s="261" t="s">
        <v>34</v>
      </c>
      <c r="D846" s="262">
        <v>0</v>
      </c>
      <c r="E846" s="262">
        <v>0.21</v>
      </c>
      <c r="F846" s="262">
        <v>0.21</v>
      </c>
      <c r="G846" s="263">
        <v>1440</v>
      </c>
      <c r="H846" s="264" t="s">
        <v>29</v>
      </c>
      <c r="I846" s="264"/>
      <c r="J846" s="264"/>
      <c r="K846" s="264"/>
      <c r="L846" s="264"/>
      <c r="M846" s="264"/>
      <c r="N846" s="264"/>
      <c r="O846" s="264"/>
      <c r="P846" s="265"/>
      <c r="Q846" s="265">
        <v>80680070551</v>
      </c>
      <c r="R846" s="265">
        <v>80680070551</v>
      </c>
    </row>
    <row r="847" spans="1:18" x14ac:dyDescent="0.2">
      <c r="A847" s="265">
        <v>10</v>
      </c>
      <c r="B847" s="277" t="s">
        <v>470</v>
      </c>
      <c r="C847" s="278" t="s">
        <v>26</v>
      </c>
      <c r="D847" s="262">
        <v>0</v>
      </c>
      <c r="E847" s="262">
        <v>0.309</v>
      </c>
      <c r="F847" s="262">
        <v>0.309</v>
      </c>
      <c r="G847" s="263">
        <v>1236</v>
      </c>
      <c r="H847" s="264" t="s">
        <v>29</v>
      </c>
      <c r="I847" s="264"/>
      <c r="J847" s="264"/>
      <c r="K847" s="264"/>
      <c r="L847" s="264"/>
      <c r="M847" s="264"/>
      <c r="N847" s="264"/>
      <c r="O847" s="264"/>
      <c r="P847" s="265"/>
      <c r="Q847" s="265">
        <v>80680070502</v>
      </c>
      <c r="R847" s="265">
        <v>80680070502</v>
      </c>
    </row>
    <row r="848" spans="1:18" x14ac:dyDescent="0.2">
      <c r="A848" s="266">
        <v>11</v>
      </c>
      <c r="B848" s="267" t="s">
        <v>133</v>
      </c>
      <c r="C848" s="272" t="s">
        <v>26</v>
      </c>
      <c r="D848" s="262">
        <v>0</v>
      </c>
      <c r="E848" s="262">
        <v>0.29000000000000004</v>
      </c>
      <c r="F848" s="262">
        <v>0.29000000000000004</v>
      </c>
      <c r="G848" s="263">
        <v>955</v>
      </c>
      <c r="H848" s="264" t="s">
        <v>27</v>
      </c>
      <c r="I848" s="264"/>
      <c r="J848" s="264"/>
      <c r="K848" s="264"/>
      <c r="L848" s="264"/>
      <c r="M848" s="264"/>
      <c r="N848" s="264"/>
      <c r="O848" s="264"/>
      <c r="P848" s="265"/>
      <c r="Q848" s="265">
        <v>80680070684</v>
      </c>
      <c r="R848" s="265">
        <v>80680070684</v>
      </c>
    </row>
    <row r="849" spans="1:32" x14ac:dyDescent="0.2">
      <c r="A849" s="269"/>
      <c r="B849" s="270"/>
      <c r="C849" s="272" t="s">
        <v>26</v>
      </c>
      <c r="D849" s="262">
        <v>0.29000000000000004</v>
      </c>
      <c r="E849" s="262">
        <v>0.32000000000000006</v>
      </c>
      <c r="F849" s="262">
        <v>0.03</v>
      </c>
      <c r="G849" s="263">
        <v>90</v>
      </c>
      <c r="H849" s="264" t="s">
        <v>70</v>
      </c>
      <c r="I849" s="264"/>
      <c r="J849" s="264"/>
      <c r="K849" s="264"/>
      <c r="L849" s="264"/>
      <c r="M849" s="264"/>
      <c r="N849" s="264"/>
      <c r="O849" s="264"/>
      <c r="P849" s="265"/>
      <c r="Q849" s="265">
        <v>80680070684</v>
      </c>
      <c r="R849" s="265">
        <v>80680070684</v>
      </c>
    </row>
    <row r="850" spans="1:32" x14ac:dyDescent="0.2">
      <c r="A850" s="259">
        <v>12</v>
      </c>
      <c r="B850" s="260" t="s">
        <v>143</v>
      </c>
      <c r="C850" s="261" t="s">
        <v>34</v>
      </c>
      <c r="D850" s="262">
        <v>0</v>
      </c>
      <c r="E850" s="262">
        <v>0.115</v>
      </c>
      <c r="F850" s="262">
        <v>0.115</v>
      </c>
      <c r="G850" s="263">
        <v>690</v>
      </c>
      <c r="H850" s="264" t="s">
        <v>29</v>
      </c>
      <c r="I850" s="264"/>
      <c r="J850" s="264"/>
      <c r="K850" s="264"/>
      <c r="L850" s="264"/>
      <c r="M850" s="264"/>
      <c r="N850" s="264"/>
      <c r="O850" s="264"/>
      <c r="P850" s="265"/>
      <c r="Q850" s="265"/>
      <c r="R850" s="268" t="s">
        <v>471</v>
      </c>
    </row>
    <row r="851" spans="1:32" x14ac:dyDescent="0.2">
      <c r="A851" s="266">
        <v>13</v>
      </c>
      <c r="B851" s="267" t="s">
        <v>170</v>
      </c>
      <c r="C851" s="272" t="s">
        <v>34</v>
      </c>
      <c r="D851" s="262">
        <v>0</v>
      </c>
      <c r="E851" s="262">
        <v>1.4850000000000001</v>
      </c>
      <c r="F851" s="262">
        <v>1.4850000000000001</v>
      </c>
      <c r="G851" s="263">
        <v>8168</v>
      </c>
      <c r="H851" s="264" t="s">
        <v>29</v>
      </c>
      <c r="I851" s="264"/>
      <c r="J851" s="264"/>
      <c r="K851" s="264"/>
      <c r="L851" s="264"/>
      <c r="M851" s="264"/>
      <c r="N851" s="264"/>
      <c r="O851" s="264"/>
      <c r="P851" s="265">
        <v>951</v>
      </c>
      <c r="Q851" s="265">
        <v>80680070497</v>
      </c>
      <c r="R851" s="265">
        <v>80680070497</v>
      </c>
    </row>
    <row r="852" spans="1:32" x14ac:dyDescent="0.2">
      <c r="A852" s="269"/>
      <c r="B852" s="270"/>
      <c r="C852" s="272" t="s">
        <v>34</v>
      </c>
      <c r="D852" s="262">
        <v>1.4850000000000001</v>
      </c>
      <c r="E852" s="262">
        <v>1.7350000000000001</v>
      </c>
      <c r="F852" s="262">
        <v>0.25</v>
      </c>
      <c r="G852" s="263">
        <v>1000</v>
      </c>
      <c r="H852" s="264" t="s">
        <v>27</v>
      </c>
      <c r="I852" s="264"/>
      <c r="J852" s="264"/>
      <c r="K852" s="264"/>
      <c r="L852" s="264"/>
      <c r="M852" s="264"/>
      <c r="N852" s="264"/>
      <c r="O852" s="264"/>
      <c r="P852" s="265"/>
      <c r="Q852" s="265">
        <v>80680070497</v>
      </c>
      <c r="R852" s="265">
        <v>80680070497</v>
      </c>
    </row>
    <row r="853" spans="1:32" x14ac:dyDescent="0.2">
      <c r="A853" s="266">
        <v>14</v>
      </c>
      <c r="B853" s="267" t="s">
        <v>472</v>
      </c>
      <c r="C853" s="272" t="s">
        <v>26</v>
      </c>
      <c r="D853" s="262">
        <v>0</v>
      </c>
      <c r="E853" s="262">
        <v>0.53500000000000003</v>
      </c>
      <c r="F853" s="262">
        <v>0.53500000000000003</v>
      </c>
      <c r="G853" s="263">
        <v>1873</v>
      </c>
      <c r="H853" s="264" t="s">
        <v>27</v>
      </c>
      <c r="I853" s="264"/>
      <c r="J853" s="264"/>
      <c r="K853" s="264"/>
      <c r="L853" s="264"/>
      <c r="M853" s="264"/>
      <c r="N853" s="264"/>
      <c r="O853" s="264"/>
      <c r="P853" s="265"/>
      <c r="Q853" s="265">
        <v>80680070550</v>
      </c>
      <c r="R853" s="265">
        <v>80680070688</v>
      </c>
    </row>
    <row r="854" spans="1:32" x14ac:dyDescent="0.2">
      <c r="A854" s="269"/>
      <c r="B854" s="270"/>
      <c r="C854" s="272" t="s">
        <v>26</v>
      </c>
      <c r="D854" s="262">
        <v>0.53500000000000003</v>
      </c>
      <c r="E854" s="262">
        <v>1.0350000000000001</v>
      </c>
      <c r="F854" s="262">
        <v>0.5</v>
      </c>
      <c r="G854" s="263">
        <v>1750</v>
      </c>
      <c r="H854" s="264" t="s">
        <v>27</v>
      </c>
      <c r="I854" s="264"/>
      <c r="J854" s="264"/>
      <c r="K854" s="264"/>
      <c r="L854" s="264"/>
      <c r="M854" s="264"/>
      <c r="N854" s="264"/>
      <c r="O854" s="264"/>
      <c r="P854" s="265"/>
      <c r="Q854" s="265"/>
      <c r="R854" s="268" t="s">
        <v>473</v>
      </c>
    </row>
    <row r="855" spans="1:32" x14ac:dyDescent="0.2">
      <c r="A855" s="265">
        <v>15</v>
      </c>
      <c r="B855" s="271" t="s">
        <v>174</v>
      </c>
      <c r="C855" s="272" t="s">
        <v>34</v>
      </c>
      <c r="D855" s="262">
        <v>0</v>
      </c>
      <c r="E855" s="262">
        <v>0.83299999999999996</v>
      </c>
      <c r="F855" s="262">
        <v>0.83299999999999996</v>
      </c>
      <c r="G855" s="263">
        <v>5545</v>
      </c>
      <c r="H855" s="264" t="s">
        <v>29</v>
      </c>
      <c r="I855" s="264"/>
      <c r="J855" s="264"/>
      <c r="K855" s="264"/>
      <c r="L855" s="264"/>
      <c r="M855" s="264"/>
      <c r="N855" s="264"/>
      <c r="O855" s="264"/>
      <c r="P855" s="265">
        <v>700</v>
      </c>
      <c r="Q855" s="265">
        <v>80680070503</v>
      </c>
      <c r="R855" s="265">
        <v>80680070503</v>
      </c>
    </row>
    <row r="856" spans="1:32" x14ac:dyDescent="0.2">
      <c r="A856" s="279">
        <v>16</v>
      </c>
      <c r="B856" s="280" t="s">
        <v>474</v>
      </c>
      <c r="C856" s="272" t="s">
        <v>34</v>
      </c>
      <c r="D856" s="262">
        <v>0</v>
      </c>
      <c r="E856" s="262">
        <v>0.13500000000000001</v>
      </c>
      <c r="F856" s="262">
        <v>0.13500000000000001</v>
      </c>
      <c r="G856" s="263">
        <v>540</v>
      </c>
      <c r="H856" s="264" t="s">
        <v>29</v>
      </c>
      <c r="I856" s="264"/>
      <c r="J856" s="264"/>
      <c r="K856" s="264"/>
      <c r="L856" s="264"/>
      <c r="M856" s="264"/>
      <c r="N856" s="264"/>
      <c r="O856" s="264"/>
      <c r="P856" s="265"/>
      <c r="Q856" s="265">
        <v>80680070600</v>
      </c>
      <c r="R856" s="263">
        <v>80680070600001</v>
      </c>
    </row>
    <row r="857" spans="1:32" x14ac:dyDescent="0.2">
      <c r="A857" s="281"/>
      <c r="B857" s="282"/>
      <c r="C857" s="272" t="s">
        <v>34</v>
      </c>
      <c r="D857" s="262">
        <v>0.13500000000000001</v>
      </c>
      <c r="E857" s="262">
        <v>0.28500000000000003</v>
      </c>
      <c r="F857" s="262">
        <v>0.15</v>
      </c>
      <c r="G857" s="263">
        <v>1050</v>
      </c>
      <c r="H857" s="264" t="s">
        <v>29</v>
      </c>
      <c r="I857" s="264"/>
      <c r="J857" s="264"/>
      <c r="K857" s="264"/>
      <c r="L857" s="264"/>
      <c r="M857" s="264"/>
      <c r="N857" s="264"/>
      <c r="O857" s="264"/>
      <c r="P857" s="265"/>
      <c r="Q857" s="265">
        <v>80680070501</v>
      </c>
      <c r="R857" s="265">
        <v>80680070501</v>
      </c>
    </row>
    <row r="858" spans="1:32" x14ac:dyDescent="0.2">
      <c r="A858" s="283"/>
      <c r="B858" s="284"/>
      <c r="C858" s="272" t="s">
        <v>34</v>
      </c>
      <c r="D858" s="262">
        <v>0.31000000000000005</v>
      </c>
      <c r="E858" s="262">
        <v>0.97000000000000008</v>
      </c>
      <c r="F858" s="262">
        <v>0.66</v>
      </c>
      <c r="G858" s="263">
        <v>3300</v>
      </c>
      <c r="H858" s="264" t="s">
        <v>29</v>
      </c>
      <c r="I858" s="264"/>
      <c r="J858" s="264"/>
      <c r="K858" s="264"/>
      <c r="L858" s="264"/>
      <c r="M858" s="264"/>
      <c r="N858" s="264"/>
      <c r="O858" s="264"/>
      <c r="P858" s="265"/>
      <c r="Q858" s="265">
        <v>80680070501</v>
      </c>
      <c r="R858" s="265">
        <v>80680070513</v>
      </c>
    </row>
    <row r="859" spans="1:32" x14ac:dyDescent="0.2">
      <c r="A859" s="265">
        <v>17</v>
      </c>
      <c r="B859" s="271" t="s">
        <v>475</v>
      </c>
      <c r="C859" s="272" t="s">
        <v>26</v>
      </c>
      <c r="D859" s="262">
        <v>0</v>
      </c>
      <c r="E859" s="262">
        <v>0.19500000000000001</v>
      </c>
      <c r="F859" s="262">
        <v>0.19500000000000001</v>
      </c>
      <c r="G859" s="263">
        <v>780</v>
      </c>
      <c r="H859" s="264" t="s">
        <v>29</v>
      </c>
      <c r="I859" s="264"/>
      <c r="J859" s="264"/>
      <c r="K859" s="264"/>
      <c r="L859" s="264"/>
      <c r="M859" s="264"/>
      <c r="N859" s="264"/>
      <c r="O859" s="264"/>
      <c r="P859" s="265"/>
      <c r="Q859" s="265">
        <v>80680070504</v>
      </c>
      <c r="R859" s="265">
        <v>80680070504</v>
      </c>
    </row>
    <row r="860" spans="1:32" x14ac:dyDescent="0.2">
      <c r="A860" s="266">
        <v>18</v>
      </c>
      <c r="B860" s="267" t="s">
        <v>193</v>
      </c>
      <c r="C860" s="272" t="s">
        <v>26</v>
      </c>
      <c r="D860" s="262">
        <v>0</v>
      </c>
      <c r="E860" s="262">
        <v>0.11</v>
      </c>
      <c r="F860" s="262">
        <v>0.11</v>
      </c>
      <c r="G860" s="263">
        <v>550</v>
      </c>
      <c r="H860" s="264" t="s">
        <v>29</v>
      </c>
      <c r="I860" s="264"/>
      <c r="J860" s="264"/>
      <c r="K860" s="264"/>
      <c r="L860" s="264"/>
      <c r="M860" s="264"/>
      <c r="N860" s="264"/>
      <c r="O860" s="264"/>
      <c r="P860" s="265"/>
      <c r="Q860" s="265">
        <v>80680070836</v>
      </c>
      <c r="R860" s="265">
        <v>80680070742</v>
      </c>
    </row>
    <row r="861" spans="1:32" x14ac:dyDescent="0.2">
      <c r="A861" s="269"/>
      <c r="B861" s="270"/>
      <c r="C861" s="272" t="s">
        <v>26</v>
      </c>
      <c r="D861" s="262">
        <v>0.11</v>
      </c>
      <c r="E861" s="262">
        <v>0.53</v>
      </c>
      <c r="F861" s="262">
        <v>0.42000000000000004</v>
      </c>
      <c r="G861" s="263">
        <v>1970</v>
      </c>
      <c r="H861" s="264" t="s">
        <v>29</v>
      </c>
      <c r="I861" s="264"/>
      <c r="J861" s="264"/>
      <c r="K861" s="264"/>
      <c r="L861" s="264"/>
      <c r="M861" s="264"/>
      <c r="N861" s="264"/>
      <c r="O861" s="264"/>
      <c r="P861" s="265"/>
      <c r="Q861" s="265">
        <v>80680070778</v>
      </c>
      <c r="R861" s="265">
        <v>80680070550</v>
      </c>
    </row>
    <row r="862" spans="1:32" ht="15" x14ac:dyDescent="0.25">
      <c r="A862" s="265">
        <v>19</v>
      </c>
      <c r="B862" s="271" t="s">
        <v>476</v>
      </c>
      <c r="C862" s="272" t="s">
        <v>26</v>
      </c>
      <c r="D862" s="262">
        <v>0</v>
      </c>
      <c r="E862" s="262">
        <v>0.38500000000000001</v>
      </c>
      <c r="F862" s="262">
        <v>0.38500000000000001</v>
      </c>
      <c r="G862" s="263">
        <v>2118</v>
      </c>
      <c r="H862" s="264" t="s">
        <v>29</v>
      </c>
      <c r="I862" s="264"/>
      <c r="J862" s="264"/>
      <c r="K862" s="264"/>
      <c r="L862" s="264"/>
      <c r="M862" s="264"/>
      <c r="N862" s="264"/>
      <c r="O862" s="264"/>
      <c r="P862" s="265"/>
      <c r="Q862" s="265">
        <v>80680070506</v>
      </c>
      <c r="R862" s="265">
        <v>80680070506</v>
      </c>
      <c r="S862"/>
      <c r="T862"/>
      <c r="U862"/>
      <c r="V862"/>
      <c r="W862"/>
      <c r="X862"/>
      <c r="Y862"/>
      <c r="Z862"/>
      <c r="AA862" t="s">
        <v>211</v>
      </c>
      <c r="AB862"/>
      <c r="AC862"/>
      <c r="AD862"/>
      <c r="AE862"/>
      <c r="AF862"/>
    </row>
    <row r="863" spans="1:32" ht="22.5" x14ac:dyDescent="0.2">
      <c r="C863" s="1"/>
      <c r="K863" s="100" t="s">
        <v>213</v>
      </c>
      <c r="L863" s="243">
        <f>SUM(L833:L862)</f>
        <v>0</v>
      </c>
      <c r="M863" s="243">
        <f>SUM(M833:M862)</f>
        <v>0</v>
      </c>
      <c r="N863" s="92"/>
      <c r="O863" s="100" t="s">
        <v>214</v>
      </c>
      <c r="P863" s="243">
        <f>SUM(P833:P862)</f>
        <v>2664</v>
      </c>
      <c r="T863" s="103" t="s">
        <v>215</v>
      </c>
      <c r="U863" s="103" t="s">
        <v>216</v>
      </c>
      <c r="V863" s="103" t="s">
        <v>217</v>
      </c>
      <c r="W863" s="103" t="s">
        <v>218</v>
      </c>
      <c r="X863" s="103" t="s">
        <v>219</v>
      </c>
      <c r="Y863" s="104" t="s">
        <v>214</v>
      </c>
      <c r="AA863" s="103" t="s">
        <v>215</v>
      </c>
      <c r="AB863" s="103" t="s">
        <v>216</v>
      </c>
      <c r="AC863" s="103" t="s">
        <v>217</v>
      </c>
      <c r="AD863" s="103" t="s">
        <v>218</v>
      </c>
      <c r="AE863" s="103" t="s">
        <v>219</v>
      </c>
      <c r="AF863" s="104" t="s">
        <v>214</v>
      </c>
    </row>
    <row r="864" spans="1:32" ht="12.75" customHeight="1" x14ac:dyDescent="0.2">
      <c r="A864" s="93" t="s">
        <v>477</v>
      </c>
      <c r="B864" s="94"/>
      <c r="C864" s="95"/>
      <c r="D864" s="94"/>
      <c r="E864" s="96"/>
      <c r="F864" s="97">
        <f>SUM(F833:F862)</f>
        <v>10.293000000000001</v>
      </c>
      <c r="G864" s="243">
        <f>SUM(G833:G862)</f>
        <v>50023</v>
      </c>
      <c r="H864" s="160"/>
      <c r="I864" s="16"/>
      <c r="J864" s="99"/>
      <c r="Q864" s="92"/>
      <c r="S864" s="102" t="s">
        <v>20</v>
      </c>
      <c r="T864" s="103" t="s">
        <v>23</v>
      </c>
      <c r="U864" s="103" t="s">
        <v>23</v>
      </c>
      <c r="V864" s="103" t="s">
        <v>23</v>
      </c>
      <c r="W864" s="103" t="s">
        <v>23</v>
      </c>
      <c r="X864" s="103" t="s">
        <v>23</v>
      </c>
      <c r="Y864" s="104" t="s">
        <v>23</v>
      </c>
      <c r="Z864" s="102"/>
      <c r="AA864" s="103" t="s">
        <v>23</v>
      </c>
      <c r="AB864" s="103" t="s">
        <v>23</v>
      </c>
      <c r="AC864" s="103" t="s">
        <v>23</v>
      </c>
      <c r="AD864" s="103" t="s">
        <v>23</v>
      </c>
      <c r="AE864" s="103" t="s">
        <v>23</v>
      </c>
      <c r="AF864" s="104" t="s">
        <v>23</v>
      </c>
    </row>
    <row r="865" spans="1:32" ht="12.75" customHeight="1" x14ac:dyDescent="0.2">
      <c r="A865" s="105" t="s">
        <v>221</v>
      </c>
      <c r="B865" s="106"/>
      <c r="C865" s="111"/>
      <c r="D865" s="106"/>
      <c r="E865" s="112"/>
      <c r="F865" s="107">
        <f>SUMIFS(F833:F862,H833:H862,"melnais")</f>
        <v>7.6830000000000016</v>
      </c>
      <c r="G865" s="244">
        <f>SUMIFS(G833:G862,H833:H862,"melnais")</f>
        <v>40540</v>
      </c>
      <c r="H865" s="163"/>
      <c r="I865" s="89"/>
      <c r="J865" s="92"/>
      <c r="K865" s="92"/>
      <c r="L865" s="115"/>
      <c r="M865" s="115"/>
      <c r="N865" s="92"/>
      <c r="O865" s="92"/>
      <c r="P865" s="92"/>
      <c r="Q865" s="92"/>
      <c r="S865" s="116" t="s">
        <v>222</v>
      </c>
      <c r="T865" s="117">
        <f>SUMIFS(F828:F862,C828:C862,"A",H828:H862,"melnais")</f>
        <v>0</v>
      </c>
      <c r="U865" s="117">
        <f>SUMIFS(F828:F862,C828:C862,"A",H828:H862,"dubultā virsma")</f>
        <v>0</v>
      </c>
      <c r="V865" s="117">
        <f>SUMIFS(F828:F862,C828:C862,"A",H828:H862,"bruģis")</f>
        <v>0</v>
      </c>
      <c r="W865" s="117">
        <f>SUMIFS(F828:F862,C828:C862,"A",H828:H862,"grants")</f>
        <v>0</v>
      </c>
      <c r="X865" s="117">
        <f>SUMIFS(F828:F862,C828:C862,"A",H828:H862,"cits segums")</f>
        <v>0</v>
      </c>
      <c r="Y865" s="117">
        <f>SUM(T865:X865)</f>
        <v>0</v>
      </c>
      <c r="Z865" s="116" t="s">
        <v>222</v>
      </c>
      <c r="AA865" s="117">
        <f>SUMIFS(F828:F862,C828:C862,"A",H828:H862,"melnais", Q828:Q862,"Nepiederošs")</f>
        <v>0</v>
      </c>
      <c r="AB865" s="117">
        <f>SUMIFS(F828:F862,C828:C862,"A",H828:H862,"dubultā virsma", Q828:Q862,"Nepiederošs")</f>
        <v>0</v>
      </c>
      <c r="AC865" s="117">
        <f>SUMIFS(F828:F862,C828:C862,"A",H828:H862,"bruģis", Q828:Q862,"Nepiederošs")</f>
        <v>0</v>
      </c>
      <c r="AD865" s="117">
        <f>SUMIFS(F828:F862,C828:C862,"A",H828:H862,"grants", Q828:Q862,"Nepiederošs")</f>
        <v>0</v>
      </c>
      <c r="AE865" s="117">
        <f>SUMIFS(F828:F862,C828:C862,"A",H828:H862,"cits segums", Q828:Q862,"Nepiederošs")</f>
        <v>0</v>
      </c>
      <c r="AF865" s="117">
        <f>SUM(AA865:AE865)</f>
        <v>0</v>
      </c>
    </row>
    <row r="866" spans="1:32" ht="12.75" customHeight="1" x14ac:dyDescent="0.2">
      <c r="A866" s="105" t="s">
        <v>223</v>
      </c>
      <c r="B866" s="106"/>
      <c r="C866" s="111"/>
      <c r="D866" s="106"/>
      <c r="E866" s="112"/>
      <c r="F866" s="107">
        <f>SUMIFS(F833:F862,H833:H862,"bruģis")</f>
        <v>0</v>
      </c>
      <c r="G866" s="244">
        <f>SUMIFS(G833:G862,H833:H862,"bruģis")</f>
        <v>0</v>
      </c>
      <c r="I866" s="16"/>
      <c r="J866" s="92"/>
      <c r="N866" s="92"/>
      <c r="O866" s="92"/>
      <c r="P866" s="92"/>
      <c r="Q866" s="92"/>
      <c r="S866" s="120" t="s">
        <v>39</v>
      </c>
      <c r="T866" s="117">
        <f>SUMIFS(F828:F862,C828:C862,"B",H828:H862,"melnais")</f>
        <v>0</v>
      </c>
      <c r="U866" s="117">
        <f>SUMIFS(F828:F862,C828:C862,"B",H828:H862,"dubultā virsma")</f>
        <v>0</v>
      </c>
      <c r="V866" s="117">
        <f>SUMIFS(F828:F862,C828:C862,"B",H828:H862,"bruģis")</f>
        <v>0</v>
      </c>
      <c r="W866" s="117">
        <f>SUMIFS(F828:F862,C828:C862,"B",H828:H862,"grants")</f>
        <v>0</v>
      </c>
      <c r="X866" s="117">
        <f>SUMIFS(F828:F862,C828:C862,"B",H828:H862,"cits segums")</f>
        <v>0</v>
      </c>
      <c r="Y866" s="117">
        <f t="shared" ref="Y866:Y868" si="116">SUM(T866:X866)</f>
        <v>0</v>
      </c>
      <c r="Z866" s="120" t="s">
        <v>39</v>
      </c>
      <c r="AA866" s="117">
        <f>SUMIFS(F828:F862,C828:C862,"B",H828:H862,"melnais", Q828:Q862,"Nepiederošs")</f>
        <v>0</v>
      </c>
      <c r="AB866" s="117">
        <f>SUMIFS(F828:F862,C828:C862,"B",H828:H862,"dubultā virsma", Q828:Q862,"Nepiederošs")</f>
        <v>0</v>
      </c>
      <c r="AC866" s="117">
        <f>SUMIFS(F828:F862,C828:C862,"B",H828:H862,"bruģis", Q828:Q862,"Nepiederošs")</f>
        <v>0</v>
      </c>
      <c r="AD866" s="117">
        <f>SUMIFS(F828:F862,C828:C862,"B",H828:H862,"grants", Q828:Q862,"Nepiederošs")</f>
        <v>0</v>
      </c>
      <c r="AE866" s="117">
        <f>SUMIFS(F828:F862,C828:C862,"B",H828:H862,"cits segums", Q828:Q862,"Nepiederošs")</f>
        <v>0</v>
      </c>
      <c r="AF866" s="117">
        <f t="shared" ref="AF866:AF868" si="117">SUM(AA866:AE866)</f>
        <v>0</v>
      </c>
    </row>
    <row r="867" spans="1:32" ht="12.75" customHeight="1" x14ac:dyDescent="0.2">
      <c r="A867" s="105" t="s">
        <v>224</v>
      </c>
      <c r="B867" s="106"/>
      <c r="C867" s="111"/>
      <c r="D867" s="106"/>
      <c r="E867" s="112"/>
      <c r="F867" s="107">
        <f>SUMIFS(F833:F862,H833:H862,"grants")</f>
        <v>2.48</v>
      </c>
      <c r="G867" s="244">
        <f>SUMIFS(G833:G862,H833:H862,"grants")</f>
        <v>9093</v>
      </c>
      <c r="I867" s="16"/>
      <c r="J867" s="92"/>
      <c r="N867" s="92"/>
      <c r="O867" s="92"/>
      <c r="P867" s="92"/>
      <c r="Q867" s="92"/>
      <c r="S867" s="121" t="s">
        <v>34</v>
      </c>
      <c r="T867" s="117">
        <f>SUMIFS(F828:F862,C828:C862,"C",H828:H862,"melnais")</f>
        <v>4.585</v>
      </c>
      <c r="U867" s="117">
        <f>SUMIFS(F828:F862,C828:C862,"C",H828:H862,"dubultā virsma")</f>
        <v>0</v>
      </c>
      <c r="V867" s="117">
        <f>SUMIFS(F828:F862,C828:C862,"C",H828:H862,"bruģis")</f>
        <v>0</v>
      </c>
      <c r="W867" s="117">
        <f>SUMIFS(F828:F862,C828:C862,"C",H828:H862,"grants")</f>
        <v>0.65</v>
      </c>
      <c r="X867" s="117">
        <f>SUMIFS(F828:F862,C828:C862,"C",H828:H862,"cits segums")</f>
        <v>0</v>
      </c>
      <c r="Y867" s="117">
        <f t="shared" si="116"/>
        <v>5.2350000000000003</v>
      </c>
      <c r="Z867" s="121" t="s">
        <v>34</v>
      </c>
      <c r="AA867" s="117">
        <f>SUMIFS(F828:F862,C828:C862,"C",H828:H862,"melnais", Q828:Q862,"Nepiederošs")</f>
        <v>0</v>
      </c>
      <c r="AB867" s="117">
        <f>SUMIFS(F828:F862,C828:C862,"C",H828:H862,"dubultā virsma", Q828:Q862,"Nepiederošs")</f>
        <v>0</v>
      </c>
      <c r="AC867" s="117">
        <f>SUMIFS(F828:F862,C828:C862,"C",H828:H862,"bruģis", Q828:Q862,"Nepiederošs")</f>
        <v>0</v>
      </c>
      <c r="AD867" s="117">
        <f>SUMIFS(F828:F862,C828:C862,"C",H828:H862,"grants", Q828:Q862,"Nepiederošs")</f>
        <v>0</v>
      </c>
      <c r="AE867" s="117">
        <f>SUMIFS(F828:F862,C828:C862,"C",H828:H862,"cits segums", Q828:Q862,"Nepiederošs")</f>
        <v>0</v>
      </c>
      <c r="AF867" s="117">
        <f t="shared" si="117"/>
        <v>0</v>
      </c>
    </row>
    <row r="868" spans="1:32" ht="12.75" customHeight="1" x14ac:dyDescent="0.2">
      <c r="A868" s="105" t="s">
        <v>225</v>
      </c>
      <c r="B868" s="106"/>
      <c r="C868" s="111"/>
      <c r="D868" s="106"/>
      <c r="E868" s="112"/>
      <c r="F868" s="107">
        <f>SUMIFS(F833:F862,H833:H862,"cits segums")</f>
        <v>0.13</v>
      </c>
      <c r="G868" s="244">
        <f>SUMIFS(G833:G862,H833:H862,"cits segums")</f>
        <v>390</v>
      </c>
      <c r="H868" s="89"/>
      <c r="I868" s="16"/>
      <c r="J868" s="122"/>
      <c r="N868" s="92"/>
      <c r="O868" s="92"/>
      <c r="P868" s="92"/>
      <c r="Q868" s="92"/>
      <c r="S868" s="116" t="s">
        <v>26</v>
      </c>
      <c r="T868" s="117">
        <f>SUMIFS(F828:F862,C828:C862,"D",H828:H862,"melnais")</f>
        <v>3.0979999999999999</v>
      </c>
      <c r="U868" s="117">
        <f>SUMIFS(F828:F862,C828:C862,"D",H828:H862,"dubultā virsma")</f>
        <v>0</v>
      </c>
      <c r="V868" s="117">
        <f>SUMIFS(F828:F862,C828:C862,"D",H828:H862,"bruģis")</f>
        <v>0</v>
      </c>
      <c r="W868" s="117">
        <f>SUMIFS(F828:F862,C828:C862,"D",H828:H862,"grants")</f>
        <v>1.83</v>
      </c>
      <c r="X868" s="117">
        <f>SUMIFS(F828:F862,C828:C862,"D",H828:H862,"cits segums")</f>
        <v>0.13</v>
      </c>
      <c r="Y868" s="117">
        <f t="shared" si="116"/>
        <v>5.0579999999999998</v>
      </c>
      <c r="Z868" s="116" t="s">
        <v>26</v>
      </c>
      <c r="AA868" s="117">
        <f>SUMIFS(F828:F862,C828:C862,"D",H828:H862,"melnais", Q828:Q862,"Nepiederošs")</f>
        <v>0</v>
      </c>
      <c r="AB868" s="117">
        <f>SUMIFS(F828:F862,C828:C862,"D",H828:H862,"dubultā virsma", Q828:Q862,"Nepiederošs")</f>
        <v>0</v>
      </c>
      <c r="AC868" s="117">
        <f>SUMIFS(F828:F862,C828:C862,"D",H828:H862,"bruģis", Q828:Q862,"Nepiederošs")</f>
        <v>0</v>
      </c>
      <c r="AD868" s="117">
        <f>SUMIFS(F828:F862,C828:C862,"D",H828:H862,"grants", Q828:Q862,"Nepiederošs")</f>
        <v>0</v>
      </c>
      <c r="AE868" s="117">
        <f>SUMIFS(F828:F862,C828:C862,"D",H828:H862,"cits segums", Q828:Q862,"Nepiederošs")</f>
        <v>0</v>
      </c>
      <c r="AF868" s="117">
        <f t="shared" si="117"/>
        <v>0</v>
      </c>
    </row>
    <row r="869" spans="1:32" ht="15" x14ac:dyDescent="0.25">
      <c r="C869" s="1"/>
      <c r="S869" s="172"/>
      <c r="T869" s="126">
        <f>SUM(T865:T868)</f>
        <v>7.6829999999999998</v>
      </c>
      <c r="U869" s="126">
        <f t="shared" ref="U869:Y869" si="118">SUM(U865:U868)</f>
        <v>0</v>
      </c>
      <c r="V869" s="126">
        <f t="shared" si="118"/>
        <v>0</v>
      </c>
      <c r="W869" s="126">
        <f t="shared" si="118"/>
        <v>2.48</v>
      </c>
      <c r="X869" s="126">
        <f t="shared" si="118"/>
        <v>0.13</v>
      </c>
      <c r="Y869" s="126">
        <f t="shared" si="118"/>
        <v>10.292999999999999</v>
      </c>
      <c r="Z869"/>
      <c r="AA869" s="126">
        <f>SUM(AA865:AA868)</f>
        <v>0</v>
      </c>
      <c r="AB869" s="126">
        <f t="shared" ref="AB869" si="119">SUM(AB865:AB868)</f>
        <v>0</v>
      </c>
      <c r="AC869" s="126">
        <f>SUM(AC865:AC868)</f>
        <v>0</v>
      </c>
      <c r="AD869" s="126">
        <f t="shared" ref="AD869:AF869" si="120">SUM(AD865:AD868)</f>
        <v>0</v>
      </c>
      <c r="AE869" s="126">
        <f t="shared" si="120"/>
        <v>0</v>
      </c>
      <c r="AF869" s="126">
        <f t="shared" si="120"/>
        <v>0</v>
      </c>
    </row>
    <row r="870" spans="1:32" s="2" customFormat="1" ht="15" customHeight="1" x14ac:dyDescent="0.25">
      <c r="A870" s="1"/>
      <c r="C870" s="1"/>
      <c r="D870" s="6" t="s">
        <v>478</v>
      </c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4"/>
      <c r="R870" s="7"/>
    </row>
    <row r="871" spans="1:32" ht="12.75" customHeight="1" x14ac:dyDescent="0.2">
      <c r="A871" s="8" t="s">
        <v>2</v>
      </c>
      <c r="B871" s="9" t="s">
        <v>3</v>
      </c>
      <c r="C871" s="10"/>
      <c r="D871" s="11" t="s">
        <v>4</v>
      </c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3"/>
      <c r="Q871" s="14" t="s">
        <v>5</v>
      </c>
      <c r="R871" s="15"/>
    </row>
    <row r="872" spans="1:32" ht="12.75" customHeight="1" x14ac:dyDescent="0.2">
      <c r="A872" s="8"/>
      <c r="B872" s="9"/>
      <c r="C872" s="17"/>
      <c r="D872" s="9" t="s">
        <v>6</v>
      </c>
      <c r="E872" s="9"/>
      <c r="F872" s="9"/>
      <c r="G872" s="9"/>
      <c r="H872" s="9"/>
      <c r="I872" s="18" t="s">
        <v>7</v>
      </c>
      <c r="J872" s="18"/>
      <c r="K872" s="18"/>
      <c r="L872" s="18"/>
      <c r="M872" s="18"/>
      <c r="N872" s="18"/>
      <c r="O872" s="18"/>
      <c r="P872" s="19" t="s">
        <v>8</v>
      </c>
      <c r="Q872" s="20"/>
      <c r="R872" s="21"/>
    </row>
    <row r="873" spans="1:32" ht="15.2" customHeight="1" x14ac:dyDescent="0.2">
      <c r="A873" s="8"/>
      <c r="B873" s="9"/>
      <c r="C873" s="17"/>
      <c r="D873" s="9" t="s">
        <v>9</v>
      </c>
      <c r="E873" s="9"/>
      <c r="F873" s="8" t="s">
        <v>10</v>
      </c>
      <c r="G873" s="8" t="s">
        <v>11</v>
      </c>
      <c r="H873" s="8" t="s">
        <v>12</v>
      </c>
      <c r="I873" s="18" t="s">
        <v>13</v>
      </c>
      <c r="J873" s="18" t="s">
        <v>14</v>
      </c>
      <c r="K873" s="18"/>
      <c r="L873" s="22" t="s">
        <v>15</v>
      </c>
      <c r="M873" s="22" t="s">
        <v>11</v>
      </c>
      <c r="N873" s="22" t="s">
        <v>16</v>
      </c>
      <c r="O873" s="22" t="s">
        <v>17</v>
      </c>
      <c r="P873" s="23"/>
      <c r="Q873" s="23" t="s">
        <v>18</v>
      </c>
      <c r="R873" s="24" t="s">
        <v>19</v>
      </c>
    </row>
    <row r="874" spans="1:32" ht="33.75" customHeight="1" x14ac:dyDescent="0.2">
      <c r="A874" s="8"/>
      <c r="B874" s="9"/>
      <c r="C874" s="25" t="s">
        <v>20</v>
      </c>
      <c r="D874" s="26" t="s">
        <v>21</v>
      </c>
      <c r="E874" s="26" t="s">
        <v>22</v>
      </c>
      <c r="F874" s="8"/>
      <c r="G874" s="8"/>
      <c r="H874" s="8"/>
      <c r="I874" s="18"/>
      <c r="J874" s="27" t="s">
        <v>23</v>
      </c>
      <c r="K874" s="27" t="s">
        <v>24</v>
      </c>
      <c r="L874" s="22"/>
      <c r="M874" s="22"/>
      <c r="N874" s="22"/>
      <c r="O874" s="22"/>
      <c r="P874" s="28"/>
      <c r="Q874" s="28"/>
      <c r="R874" s="29"/>
    </row>
    <row r="875" spans="1:32" s="32" customFormat="1" ht="12" customHeight="1" x14ac:dyDescent="0.25">
      <c r="A875" s="173">
        <v>1</v>
      </c>
      <c r="B875" s="173">
        <v>2</v>
      </c>
      <c r="C875" s="173"/>
      <c r="D875" s="173">
        <v>3</v>
      </c>
      <c r="E875" s="173">
        <v>4</v>
      </c>
      <c r="F875" s="173">
        <v>5</v>
      </c>
      <c r="G875" s="173">
        <v>6</v>
      </c>
      <c r="H875" s="173">
        <v>7</v>
      </c>
      <c r="I875" s="174">
        <v>8</v>
      </c>
      <c r="J875" s="174">
        <v>9</v>
      </c>
      <c r="K875" s="174">
        <v>10</v>
      </c>
      <c r="L875" s="174">
        <v>11</v>
      </c>
      <c r="M875" s="174">
        <v>12</v>
      </c>
      <c r="N875" s="174">
        <v>13</v>
      </c>
      <c r="O875" s="174">
        <v>14</v>
      </c>
      <c r="P875" s="174">
        <v>15</v>
      </c>
      <c r="Q875" s="174">
        <v>16</v>
      </c>
      <c r="R875" s="173">
        <v>17</v>
      </c>
    </row>
    <row r="876" spans="1:32" x14ac:dyDescent="0.2">
      <c r="A876" s="259">
        <v>1</v>
      </c>
      <c r="B876" s="285" t="s">
        <v>479</v>
      </c>
      <c r="C876" s="286" t="s">
        <v>26</v>
      </c>
      <c r="D876" s="262">
        <v>0</v>
      </c>
      <c r="E876" s="262">
        <v>0.31</v>
      </c>
      <c r="F876" s="262">
        <v>0.31</v>
      </c>
      <c r="G876" s="263">
        <v>1870</v>
      </c>
      <c r="H876" s="264" t="s">
        <v>29</v>
      </c>
      <c r="I876" s="264"/>
      <c r="J876" s="264"/>
      <c r="K876" s="264"/>
      <c r="L876" s="264"/>
      <c r="M876" s="264"/>
      <c r="N876" s="264"/>
      <c r="O876" s="264"/>
      <c r="P876" s="265"/>
      <c r="Q876" s="265"/>
      <c r="R876" s="268" t="s">
        <v>480</v>
      </c>
    </row>
    <row r="877" spans="1:32" x14ac:dyDescent="0.2">
      <c r="A877" s="259">
        <v>2</v>
      </c>
      <c r="B877" s="260" t="s">
        <v>65</v>
      </c>
      <c r="C877" s="261" t="s">
        <v>26</v>
      </c>
      <c r="D877" s="262">
        <v>0</v>
      </c>
      <c r="E877" s="262">
        <v>0.29500000000000004</v>
      </c>
      <c r="F877" s="262">
        <v>0.29500000000000004</v>
      </c>
      <c r="G877" s="263">
        <v>1040</v>
      </c>
      <c r="H877" s="264" t="s">
        <v>27</v>
      </c>
      <c r="I877" s="264"/>
      <c r="J877" s="264"/>
      <c r="K877" s="264"/>
      <c r="L877" s="264"/>
      <c r="M877" s="264"/>
      <c r="N877" s="264"/>
      <c r="O877" s="264"/>
      <c r="P877" s="265"/>
      <c r="Q877" s="265">
        <v>80680050280</v>
      </c>
      <c r="R877" s="265">
        <v>80680050280</v>
      </c>
    </row>
    <row r="878" spans="1:32" x14ac:dyDescent="0.2">
      <c r="A878" s="266">
        <v>3</v>
      </c>
      <c r="B878" s="267" t="s">
        <v>481</v>
      </c>
      <c r="C878" s="261" t="s">
        <v>26</v>
      </c>
      <c r="D878" s="262">
        <v>0</v>
      </c>
      <c r="E878" s="262">
        <v>0.16</v>
      </c>
      <c r="F878" s="262">
        <v>0.16</v>
      </c>
      <c r="G878" s="263">
        <v>800</v>
      </c>
      <c r="H878" s="264" t="s">
        <v>29</v>
      </c>
      <c r="I878" s="264"/>
      <c r="J878" s="264"/>
      <c r="K878" s="264"/>
      <c r="L878" s="264"/>
      <c r="M878" s="264"/>
      <c r="N878" s="264"/>
      <c r="O878" s="264"/>
      <c r="P878" s="265">
        <v>84</v>
      </c>
      <c r="Q878" s="265">
        <v>80680050278</v>
      </c>
      <c r="R878" s="265">
        <v>80680050278</v>
      </c>
    </row>
    <row r="879" spans="1:32" x14ac:dyDescent="0.2">
      <c r="A879" s="266">
        <v>4</v>
      </c>
      <c r="B879" s="287" t="s">
        <v>112</v>
      </c>
      <c r="C879" s="261" t="s">
        <v>26</v>
      </c>
      <c r="D879" s="262">
        <v>0</v>
      </c>
      <c r="E879" s="262">
        <v>0.155</v>
      </c>
      <c r="F879" s="262">
        <v>0.155</v>
      </c>
      <c r="G879" s="263">
        <v>930</v>
      </c>
      <c r="H879" s="264" t="s">
        <v>29</v>
      </c>
      <c r="I879" s="264"/>
      <c r="J879" s="264"/>
      <c r="K879" s="264"/>
      <c r="L879" s="264"/>
      <c r="M879" s="264"/>
      <c r="N879" s="264"/>
      <c r="O879" s="264"/>
      <c r="P879" s="265"/>
      <c r="Q879" s="265">
        <v>80680050277</v>
      </c>
      <c r="R879" s="265">
        <v>80680050277</v>
      </c>
    </row>
    <row r="880" spans="1:32" x14ac:dyDescent="0.2">
      <c r="A880" s="269"/>
      <c r="B880" s="288"/>
      <c r="C880" s="261" t="s">
        <v>26</v>
      </c>
      <c r="D880" s="262">
        <v>0.155</v>
      </c>
      <c r="E880" s="262">
        <v>0.19</v>
      </c>
      <c r="F880" s="262">
        <v>3.5000000000000003E-2</v>
      </c>
      <c r="G880" s="263">
        <v>175</v>
      </c>
      <c r="H880" s="264" t="s">
        <v>29</v>
      </c>
      <c r="I880" s="264"/>
      <c r="J880" s="264"/>
      <c r="K880" s="264"/>
      <c r="L880" s="264"/>
      <c r="M880" s="264"/>
      <c r="N880" s="264"/>
      <c r="O880" s="264"/>
      <c r="P880" s="265"/>
      <c r="Q880" s="265"/>
      <c r="R880" s="263">
        <v>80680050074004</v>
      </c>
    </row>
    <row r="881" spans="1:32" x14ac:dyDescent="0.2">
      <c r="A881" s="269">
        <v>5</v>
      </c>
      <c r="B881" s="270" t="s">
        <v>242</v>
      </c>
      <c r="C881" s="261" t="s">
        <v>26</v>
      </c>
      <c r="D881" s="262">
        <v>0</v>
      </c>
      <c r="E881" s="262">
        <v>0.22499999999999998</v>
      </c>
      <c r="F881" s="262">
        <v>0.22499999999999998</v>
      </c>
      <c r="G881" s="263">
        <v>835</v>
      </c>
      <c r="H881" s="264" t="s">
        <v>27</v>
      </c>
      <c r="I881" s="264"/>
      <c r="J881" s="264"/>
      <c r="K881" s="264"/>
      <c r="L881" s="264"/>
      <c r="M881" s="264"/>
      <c r="N881" s="264"/>
      <c r="O881" s="264"/>
      <c r="P881" s="265"/>
      <c r="Q881" s="265">
        <v>80680050286</v>
      </c>
      <c r="R881" s="265">
        <v>80680050286</v>
      </c>
    </row>
    <row r="882" spans="1:32" x14ac:dyDescent="0.2">
      <c r="A882" s="269">
        <v>6</v>
      </c>
      <c r="B882" s="270" t="s">
        <v>482</v>
      </c>
      <c r="C882" s="261" t="s">
        <v>26</v>
      </c>
      <c r="D882" s="262">
        <v>0</v>
      </c>
      <c r="E882" s="262">
        <v>0.25</v>
      </c>
      <c r="F882" s="262">
        <v>0.25</v>
      </c>
      <c r="G882" s="263">
        <v>1560</v>
      </c>
      <c r="H882" s="264" t="s">
        <v>29</v>
      </c>
      <c r="I882" s="264"/>
      <c r="J882" s="264"/>
      <c r="K882" s="264"/>
      <c r="L882" s="264"/>
      <c r="M882" s="264"/>
      <c r="N882" s="264"/>
      <c r="O882" s="264"/>
      <c r="P882" s="265"/>
      <c r="Q882" s="265">
        <v>80680050066</v>
      </c>
      <c r="R882" s="265">
        <v>80680050332</v>
      </c>
    </row>
    <row r="883" spans="1:32" x14ac:dyDescent="0.2">
      <c r="A883" s="273">
        <v>7</v>
      </c>
      <c r="B883" s="289" t="s">
        <v>483</v>
      </c>
      <c r="C883" s="261" t="s">
        <v>26</v>
      </c>
      <c r="D883" s="262">
        <v>0</v>
      </c>
      <c r="E883" s="262">
        <v>0.185</v>
      </c>
      <c r="F883" s="262">
        <v>0.185</v>
      </c>
      <c r="G883" s="263">
        <f>185*3</f>
        <v>555</v>
      </c>
      <c r="H883" s="264" t="s">
        <v>29</v>
      </c>
      <c r="I883" s="264"/>
      <c r="J883" s="264"/>
      <c r="K883" s="264"/>
      <c r="L883" s="264"/>
      <c r="M883" s="264"/>
      <c r="N883" s="264"/>
      <c r="O883" s="264"/>
      <c r="P883" s="265"/>
      <c r="Q883" s="290">
        <v>80680050371</v>
      </c>
      <c r="R883" s="290">
        <v>80680050371</v>
      </c>
    </row>
    <row r="884" spans="1:32" x14ac:dyDescent="0.2">
      <c r="A884" s="279">
        <v>8</v>
      </c>
      <c r="B884" s="291" t="s">
        <v>263</v>
      </c>
      <c r="C884" s="261" t="s">
        <v>26</v>
      </c>
      <c r="D884" s="262">
        <v>0</v>
      </c>
      <c r="E884" s="262">
        <v>0.05</v>
      </c>
      <c r="F884" s="262">
        <v>0.05</v>
      </c>
      <c r="G884" s="263">
        <v>215</v>
      </c>
      <c r="H884" s="264" t="s">
        <v>29</v>
      </c>
      <c r="I884" s="264"/>
      <c r="J884" s="264"/>
      <c r="K884" s="264"/>
      <c r="L884" s="264"/>
      <c r="M884" s="264"/>
      <c r="N884" s="264"/>
      <c r="O884" s="264"/>
      <c r="P884" s="265"/>
      <c r="Q884" s="265">
        <v>80680050074</v>
      </c>
      <c r="R884" s="263">
        <v>80680050074005</v>
      </c>
    </row>
    <row r="885" spans="1:32" x14ac:dyDescent="0.2">
      <c r="A885" s="283"/>
      <c r="B885" s="292"/>
      <c r="C885" s="261" t="s">
        <v>26</v>
      </c>
      <c r="D885" s="262">
        <v>0.05</v>
      </c>
      <c r="E885" s="262">
        <v>0.32500000000000001</v>
      </c>
      <c r="F885" s="262">
        <v>0.27500000000000002</v>
      </c>
      <c r="G885" s="263">
        <v>1183</v>
      </c>
      <c r="H885" s="264" t="s">
        <v>29</v>
      </c>
      <c r="I885" s="264"/>
      <c r="J885" s="264"/>
      <c r="K885" s="264"/>
      <c r="L885" s="264"/>
      <c r="M885" s="264"/>
      <c r="N885" s="264"/>
      <c r="O885" s="264"/>
      <c r="P885" s="265"/>
      <c r="Q885" s="265">
        <v>80680050282</v>
      </c>
      <c r="R885" s="265">
        <v>80680050282</v>
      </c>
    </row>
    <row r="886" spans="1:32" x14ac:dyDescent="0.2">
      <c r="A886" s="266">
        <v>9</v>
      </c>
      <c r="B886" s="293" t="s">
        <v>304</v>
      </c>
      <c r="C886" s="261" t="s">
        <v>26</v>
      </c>
      <c r="D886" s="262">
        <v>0</v>
      </c>
      <c r="E886" s="262">
        <v>0.495</v>
      </c>
      <c r="F886" s="262">
        <v>0.495</v>
      </c>
      <c r="G886" s="263">
        <v>2121</v>
      </c>
      <c r="H886" s="264" t="s">
        <v>29</v>
      </c>
      <c r="I886" s="264"/>
      <c r="J886" s="264"/>
      <c r="K886" s="264"/>
      <c r="L886" s="264"/>
      <c r="M886" s="264"/>
      <c r="N886" s="264"/>
      <c r="O886" s="264"/>
      <c r="P886" s="265"/>
      <c r="Q886" s="265">
        <v>80680050314</v>
      </c>
      <c r="R886" s="265">
        <v>80680050324</v>
      </c>
    </row>
    <row r="887" spans="1:32" x14ac:dyDescent="0.2">
      <c r="A887" s="294"/>
      <c r="B887" s="295"/>
      <c r="C887" s="261" t="s">
        <v>26</v>
      </c>
      <c r="D887" s="262">
        <v>0.495</v>
      </c>
      <c r="E887" s="262">
        <v>0.625</v>
      </c>
      <c r="F887" s="262">
        <v>0.13</v>
      </c>
      <c r="G887" s="263">
        <v>494</v>
      </c>
      <c r="H887" s="264" t="s">
        <v>29</v>
      </c>
      <c r="I887" s="264"/>
      <c r="J887" s="264"/>
      <c r="K887" s="264"/>
      <c r="L887" s="264"/>
      <c r="M887" s="264"/>
      <c r="N887" s="264"/>
      <c r="O887" s="264"/>
      <c r="P887" s="265"/>
      <c r="Q887" s="265">
        <v>80680050314</v>
      </c>
      <c r="R887" s="265">
        <v>80680050281</v>
      </c>
    </row>
    <row r="888" spans="1:32" x14ac:dyDescent="0.2">
      <c r="A888" s="296">
        <v>10</v>
      </c>
      <c r="B888" s="285" t="s">
        <v>400</v>
      </c>
      <c r="C888" s="261" t="s">
        <v>26</v>
      </c>
      <c r="D888" s="262">
        <v>0</v>
      </c>
      <c r="E888" s="262">
        <v>0.25</v>
      </c>
      <c r="F888" s="262">
        <v>0.25</v>
      </c>
      <c r="G888" s="263">
        <v>1000</v>
      </c>
      <c r="H888" s="264" t="s">
        <v>27</v>
      </c>
      <c r="I888" s="264"/>
      <c r="J888" s="264"/>
      <c r="K888" s="264"/>
      <c r="L888" s="264"/>
      <c r="M888" s="264"/>
      <c r="N888" s="264"/>
      <c r="O888" s="264"/>
      <c r="P888" s="265"/>
      <c r="Q888" s="265">
        <v>80680050283</v>
      </c>
      <c r="R888" s="265">
        <v>80680050283</v>
      </c>
    </row>
    <row r="889" spans="1:32" x14ac:dyDescent="0.2">
      <c r="A889" s="273">
        <v>11</v>
      </c>
      <c r="B889" s="267" t="s">
        <v>245</v>
      </c>
      <c r="C889" s="261" t="s">
        <v>26</v>
      </c>
      <c r="D889" s="262">
        <v>0</v>
      </c>
      <c r="E889" s="262">
        <v>0.55500000000000005</v>
      </c>
      <c r="F889" s="262">
        <v>0.55500000000000005</v>
      </c>
      <c r="G889" s="263">
        <v>1998</v>
      </c>
      <c r="H889" s="264" t="s">
        <v>27</v>
      </c>
      <c r="I889" s="264"/>
      <c r="J889" s="264"/>
      <c r="K889" s="264"/>
      <c r="L889" s="264"/>
      <c r="M889" s="264"/>
      <c r="N889" s="264"/>
      <c r="O889" s="264"/>
      <c r="P889" s="265">
        <v>43</v>
      </c>
      <c r="Q889" s="265">
        <v>80680050285</v>
      </c>
      <c r="R889" s="265">
        <v>80680050285</v>
      </c>
    </row>
    <row r="890" spans="1:32" x14ac:dyDescent="0.2">
      <c r="A890" s="279">
        <v>12</v>
      </c>
      <c r="B890" s="267" t="s">
        <v>484</v>
      </c>
      <c r="C890" s="261" t="s">
        <v>26</v>
      </c>
      <c r="D890" s="262">
        <v>0</v>
      </c>
      <c r="E890" s="262">
        <v>0.60499999999999998</v>
      </c>
      <c r="F890" s="262">
        <v>0.60499999999999998</v>
      </c>
      <c r="G890" s="263">
        <f>3025+200</f>
        <v>3225</v>
      </c>
      <c r="H890" s="264" t="s">
        <v>29</v>
      </c>
      <c r="I890" s="264"/>
      <c r="J890" s="264"/>
      <c r="K890" s="264"/>
      <c r="L890" s="264"/>
      <c r="M890" s="264"/>
      <c r="N890" s="264"/>
      <c r="O890" s="264"/>
      <c r="P890" s="265"/>
      <c r="Q890" s="265">
        <v>80680050279</v>
      </c>
      <c r="R890" s="265">
        <v>80680050279</v>
      </c>
    </row>
    <row r="891" spans="1:32" x14ac:dyDescent="0.2">
      <c r="A891" s="283"/>
      <c r="B891" s="270"/>
      <c r="C891" s="261" t="s">
        <v>26</v>
      </c>
      <c r="D891" s="262">
        <v>0.60499999999999998</v>
      </c>
      <c r="E891" s="262">
        <v>0.82</v>
      </c>
      <c r="F891" s="262">
        <v>0.215</v>
      </c>
      <c r="G891" s="263">
        <v>1290</v>
      </c>
      <c r="H891" s="264" t="s">
        <v>27</v>
      </c>
      <c r="I891" s="264"/>
      <c r="J891" s="264"/>
      <c r="K891" s="264"/>
      <c r="L891" s="264"/>
      <c r="M891" s="264"/>
      <c r="N891" s="264"/>
      <c r="O891" s="264"/>
      <c r="P891" s="265"/>
      <c r="Q891" s="265">
        <v>80680050279</v>
      </c>
      <c r="R891" s="265">
        <v>80680050279</v>
      </c>
    </row>
    <row r="892" spans="1:32" x14ac:dyDescent="0.2">
      <c r="A892" s="259">
        <v>13</v>
      </c>
      <c r="B892" s="285" t="s">
        <v>204</v>
      </c>
      <c r="C892" s="261" t="s">
        <v>26</v>
      </c>
      <c r="D892" s="262">
        <v>0</v>
      </c>
      <c r="E892" s="262">
        <v>0.02</v>
      </c>
      <c r="F892" s="262">
        <v>0.02</v>
      </c>
      <c r="G892" s="263">
        <v>60</v>
      </c>
      <c r="H892" s="264" t="s">
        <v>27</v>
      </c>
      <c r="I892" s="264"/>
      <c r="J892" s="264"/>
      <c r="K892" s="264"/>
      <c r="L892" s="264"/>
      <c r="M892" s="264"/>
      <c r="N892" s="264"/>
      <c r="O892" s="264"/>
      <c r="P892" s="265"/>
      <c r="Q892" s="265">
        <v>80680050398</v>
      </c>
      <c r="R892" s="265">
        <v>80680050398</v>
      </c>
    </row>
    <row r="893" spans="1:32" x14ac:dyDescent="0.2">
      <c r="A893" s="266">
        <v>14</v>
      </c>
      <c r="B893" s="267" t="s">
        <v>206</v>
      </c>
      <c r="C893" s="261" t="s">
        <v>26</v>
      </c>
      <c r="D893" s="262">
        <v>0</v>
      </c>
      <c r="E893" s="262">
        <v>0.28999999999999998</v>
      </c>
      <c r="F893" s="262">
        <v>0.28999999999999998</v>
      </c>
      <c r="G893" s="263">
        <v>1740</v>
      </c>
      <c r="H893" s="264" t="s">
        <v>29</v>
      </c>
      <c r="I893" s="264"/>
      <c r="J893" s="264"/>
      <c r="K893" s="264"/>
      <c r="L893" s="264"/>
      <c r="M893" s="264"/>
      <c r="N893" s="264"/>
      <c r="O893" s="264"/>
      <c r="P893" s="265"/>
      <c r="Q893" s="265">
        <v>80680050271</v>
      </c>
      <c r="R893" s="265">
        <v>80680050271</v>
      </c>
    </row>
    <row r="894" spans="1:32" ht="15" x14ac:dyDescent="0.25">
      <c r="A894" s="269"/>
      <c r="B894" s="270"/>
      <c r="C894" s="272" t="s">
        <v>26</v>
      </c>
      <c r="D894" s="262">
        <v>0.28999999999999998</v>
      </c>
      <c r="E894" s="262">
        <v>1.05</v>
      </c>
      <c r="F894" s="262">
        <v>0.76</v>
      </c>
      <c r="G894" s="263">
        <v>3648</v>
      </c>
      <c r="H894" s="264" t="s">
        <v>27</v>
      </c>
      <c r="I894" s="264"/>
      <c r="J894" s="264"/>
      <c r="K894" s="264"/>
      <c r="L894" s="264"/>
      <c r="M894" s="264"/>
      <c r="N894" s="264"/>
      <c r="O894" s="264"/>
      <c r="P894" s="265"/>
      <c r="Q894" s="265">
        <v>80680050271</v>
      </c>
      <c r="R894" s="265">
        <v>80680050271</v>
      </c>
      <c r="S894"/>
      <c r="T894"/>
      <c r="U894"/>
      <c r="V894"/>
      <c r="W894"/>
      <c r="X894"/>
      <c r="Y894"/>
      <c r="Z894"/>
      <c r="AA894" t="s">
        <v>211</v>
      </c>
      <c r="AB894"/>
      <c r="AC894"/>
      <c r="AD894"/>
      <c r="AE894"/>
      <c r="AF894"/>
    </row>
    <row r="895" spans="1:32" ht="22.5" x14ac:dyDescent="0.2">
      <c r="C895" s="1"/>
      <c r="K895" s="100" t="s">
        <v>213</v>
      </c>
      <c r="L895" s="243">
        <f>SUM(L876:L894)</f>
        <v>0</v>
      </c>
      <c r="M895" s="243">
        <f>SUM(M876:M894)</f>
        <v>0</v>
      </c>
      <c r="N895" s="92"/>
      <c r="O895" s="100" t="s">
        <v>214</v>
      </c>
      <c r="P895" s="243">
        <f>SUM(P876:P894)</f>
        <v>127</v>
      </c>
      <c r="T895" s="103" t="s">
        <v>215</v>
      </c>
      <c r="U895" s="103" t="s">
        <v>216</v>
      </c>
      <c r="V895" s="103" t="s">
        <v>217</v>
      </c>
      <c r="W895" s="103" t="s">
        <v>218</v>
      </c>
      <c r="X895" s="103" t="s">
        <v>219</v>
      </c>
      <c r="Y895" s="104" t="s">
        <v>214</v>
      </c>
      <c r="AA895" s="103" t="s">
        <v>215</v>
      </c>
      <c r="AB895" s="103" t="s">
        <v>216</v>
      </c>
      <c r="AC895" s="103" t="s">
        <v>217</v>
      </c>
      <c r="AD895" s="103" t="s">
        <v>218</v>
      </c>
      <c r="AE895" s="103" t="s">
        <v>219</v>
      </c>
      <c r="AF895" s="104" t="s">
        <v>214</v>
      </c>
    </row>
    <row r="896" spans="1:32" ht="12.75" customHeight="1" x14ac:dyDescent="0.2">
      <c r="A896" s="93" t="s">
        <v>485</v>
      </c>
      <c r="B896" s="94"/>
      <c r="C896" s="95"/>
      <c r="D896" s="94"/>
      <c r="E896" s="96"/>
      <c r="F896" s="97">
        <f>SUM(F876:F894)</f>
        <v>5.26</v>
      </c>
      <c r="G896" s="243">
        <f>SUM(G876:G894)</f>
        <v>24739</v>
      </c>
      <c r="H896" s="160"/>
      <c r="I896" s="16"/>
      <c r="J896" s="99"/>
      <c r="Q896" s="92"/>
      <c r="S896" s="102" t="s">
        <v>20</v>
      </c>
      <c r="T896" s="103" t="s">
        <v>23</v>
      </c>
      <c r="U896" s="103" t="s">
        <v>23</v>
      </c>
      <c r="V896" s="103" t="s">
        <v>23</v>
      </c>
      <c r="W896" s="103" t="s">
        <v>23</v>
      </c>
      <c r="X896" s="103" t="s">
        <v>23</v>
      </c>
      <c r="Y896" s="104" t="s">
        <v>23</v>
      </c>
      <c r="Z896" s="102"/>
      <c r="AA896" s="103" t="s">
        <v>23</v>
      </c>
      <c r="AB896" s="103" t="s">
        <v>23</v>
      </c>
      <c r="AC896" s="103" t="s">
        <v>23</v>
      </c>
      <c r="AD896" s="103" t="s">
        <v>23</v>
      </c>
      <c r="AE896" s="103" t="s">
        <v>23</v>
      </c>
      <c r="AF896" s="104" t="s">
        <v>23</v>
      </c>
    </row>
    <row r="897" spans="1:32" ht="12.75" customHeight="1" x14ac:dyDescent="0.2">
      <c r="A897" s="105" t="s">
        <v>221</v>
      </c>
      <c r="B897" s="106"/>
      <c r="C897" s="111"/>
      <c r="D897" s="106"/>
      <c r="E897" s="112"/>
      <c r="F897" s="107">
        <f>SUMIFS(F876:F894,H876:H894,"melnais")</f>
        <v>2.94</v>
      </c>
      <c r="G897" s="244">
        <f>SUMIFS(G876:G894,H876:H894,"melnais")</f>
        <v>14868</v>
      </c>
      <c r="H897" s="163"/>
      <c r="I897" s="89"/>
      <c r="J897" s="92"/>
      <c r="K897" s="92"/>
      <c r="L897" s="115"/>
      <c r="M897" s="115"/>
      <c r="N897" s="92"/>
      <c r="O897" s="92"/>
      <c r="P897" s="92"/>
      <c r="Q897" s="92"/>
      <c r="S897" s="116" t="s">
        <v>222</v>
      </c>
      <c r="T897" s="117">
        <f>SUMIFS(F875:F894,C875:C894,"A",H875:H894,"melnais")</f>
        <v>0</v>
      </c>
      <c r="U897" s="117">
        <f>SUMIFS(F875:F894,C875:C894,"A",H875:H894,"dubultā virsma")</f>
        <v>0</v>
      </c>
      <c r="V897" s="117">
        <f>SUMIFS(F875:F894,C875:C894,"A",H875:H894,"bruģis")</f>
        <v>0</v>
      </c>
      <c r="W897" s="117">
        <f>SUMIFS(F875:F894,C875:C894,"A",H875:H894,"grants")</f>
        <v>0</v>
      </c>
      <c r="X897" s="117">
        <f>SUMIFS(F875:F894,C875:C894,"A",H875:H894,"cits segums")</f>
        <v>0</v>
      </c>
      <c r="Y897" s="117">
        <f>SUM(T897:X897)</f>
        <v>0</v>
      </c>
      <c r="Z897" s="116" t="s">
        <v>222</v>
      </c>
      <c r="AA897" s="117">
        <f>SUMIFS(F875:F894,C875:C894,"A",H875:H894,"melnais", Q875:Q894,"Nepiederošs")</f>
        <v>0</v>
      </c>
      <c r="AB897" s="117">
        <f>SUMIFS(F875:F894,C875:C894,"A",H875:H894,"dubultā virsma", Q875:Q894,"Nepiederošs")</f>
        <v>0</v>
      </c>
      <c r="AC897" s="117">
        <f>SUMIFS(F875:F894,C875:C894,"A",H875:H894,"bruģis", Q875:Q894,"Nepiederošs")</f>
        <v>0</v>
      </c>
      <c r="AD897" s="117">
        <f>SUMIFS(F875:F894,C875:C894,"A",H875:H894,"grants", Q875:Q894,"Nepiederošs")</f>
        <v>0</v>
      </c>
      <c r="AE897" s="117">
        <f>SUMIFS(F875:F894,C875:C894,"A",H875:H894,"cits segums", Q875:Q894,"Nepiederošs")</f>
        <v>0</v>
      </c>
      <c r="AF897" s="117">
        <f>SUM(AA897:AE897)</f>
        <v>0</v>
      </c>
    </row>
    <row r="898" spans="1:32" ht="12.75" customHeight="1" x14ac:dyDescent="0.2">
      <c r="A898" s="105" t="s">
        <v>223</v>
      </c>
      <c r="B898" s="106"/>
      <c r="C898" s="111"/>
      <c r="D898" s="106"/>
      <c r="E898" s="112"/>
      <c r="F898" s="107">
        <f>SUMIFS(F876:F894,H876:H894,"bruģis")</f>
        <v>0</v>
      </c>
      <c r="G898" s="244">
        <f>SUMIFS(G876:G894,H876:H894,"bruģis")</f>
        <v>0</v>
      </c>
      <c r="I898" s="16"/>
      <c r="J898" s="92"/>
      <c r="N898" s="92"/>
      <c r="O898" s="92"/>
      <c r="P898" s="92"/>
      <c r="Q898" s="92"/>
      <c r="S898" s="120" t="s">
        <v>39</v>
      </c>
      <c r="T898" s="117">
        <f>SUMIFS(F875:F894,C875:C894,"B",H875:H894,"melnais")</f>
        <v>0</v>
      </c>
      <c r="U898" s="117">
        <f>SUMIFS(F875:F894,C875:C894,"B",H875:H894,"dubultā virsma")</f>
        <v>0</v>
      </c>
      <c r="V898" s="117">
        <f>SUMIFS(F875:F894,C875:C894,"B",H875:H894,"bruģis")</f>
        <v>0</v>
      </c>
      <c r="W898" s="117">
        <f>SUMIFS(F875:F894,C875:C894,"B",H875:H894,"grants")</f>
        <v>0</v>
      </c>
      <c r="X898" s="117">
        <f>SUMIFS(F875:F894,C875:C894,"B",H875:H894,"cits segums")</f>
        <v>0</v>
      </c>
      <c r="Y898" s="117">
        <f t="shared" ref="Y898:Y900" si="121">SUM(T898:X898)</f>
        <v>0</v>
      </c>
      <c r="Z898" s="120" t="s">
        <v>39</v>
      </c>
      <c r="AA898" s="117">
        <f>SUMIFS(F875:F894,C875:C894,"B",H875:H894,"melnais", Q875:Q894,"Nepiederošs")</f>
        <v>0</v>
      </c>
      <c r="AB898" s="117">
        <f>SUMIFS(F875:F894,C875:C894,"B",H875:H894,"dubultā virsma", Q875:Q894,"Nepiederošs")</f>
        <v>0</v>
      </c>
      <c r="AC898" s="117">
        <f>SUMIFS(F875:F894,C875:C894,"B",H875:H894,"bruģis", Q875:Q894,"Nepiederošs")</f>
        <v>0</v>
      </c>
      <c r="AD898" s="117">
        <f>SUMIFS(F875:F894,C875:C894,"B",H875:H894,"grants", Q875:Q894,"Nepiederošs")</f>
        <v>0</v>
      </c>
      <c r="AE898" s="117">
        <f>SUMIFS(F875:F894,C875:C894,"B",H875:H894,"cits segums", Q875:Q894,"Nepiederošs")</f>
        <v>0</v>
      </c>
      <c r="AF898" s="117">
        <f t="shared" ref="AF898:AF900" si="122">SUM(AA898:AE898)</f>
        <v>0</v>
      </c>
    </row>
    <row r="899" spans="1:32" ht="12.75" customHeight="1" x14ac:dyDescent="0.2">
      <c r="A899" s="105" t="s">
        <v>224</v>
      </c>
      <c r="B899" s="106"/>
      <c r="C899" s="111"/>
      <c r="D899" s="106"/>
      <c r="E899" s="112"/>
      <c r="F899" s="107">
        <f>SUMIFS(F876:F894,H876:H894,"grants")</f>
        <v>2.3200000000000003</v>
      </c>
      <c r="G899" s="244">
        <f>SUMIFS(G876:G894,H876:H894,"grants")</f>
        <v>9871</v>
      </c>
      <c r="I899" s="16"/>
      <c r="J899" s="92"/>
      <c r="N899" s="92"/>
      <c r="O899" s="92"/>
      <c r="P899" s="92"/>
      <c r="Q899" s="92"/>
      <c r="S899" s="121" t="s">
        <v>34</v>
      </c>
      <c r="T899" s="117">
        <f>SUMIFS(F875:F894,C875:C894,"C",H875:H894,"melnais")</f>
        <v>0</v>
      </c>
      <c r="U899" s="117">
        <f>SUMIFS(F875:F894,C875:C894,"C",H875:H894,"dubultā virsma")</f>
        <v>0</v>
      </c>
      <c r="V899" s="117">
        <f>SUMIFS(F875:F894,C875:C894,"C",H875:H894,"bruģis")</f>
        <v>0</v>
      </c>
      <c r="W899" s="117">
        <f>SUMIFS(F875:F894,C875:C894,"C",H875:H894,"grants")</f>
        <v>0</v>
      </c>
      <c r="X899" s="117">
        <f>SUMIFS(F875:F894,C875:C894,"C",H875:H894,"cits segums")</f>
        <v>0</v>
      </c>
      <c r="Y899" s="117">
        <f t="shared" si="121"/>
        <v>0</v>
      </c>
      <c r="Z899" s="121" t="s">
        <v>34</v>
      </c>
      <c r="AA899" s="117">
        <f>SUMIFS(F875:F894,C875:C894,"C",H875:H894,"melnais", Q875:Q894,"Nepiederošs")</f>
        <v>0</v>
      </c>
      <c r="AB899" s="117">
        <f>SUMIFS(F875:F894,C875:C894,"C",H875:H894,"dubultā virsma", Q875:Q894,"Nepiederošs")</f>
        <v>0</v>
      </c>
      <c r="AC899" s="117">
        <f>SUMIFS(F875:F894,C875:C894,"C",H875:H894,"bruģis", Q875:Q894,"Nepiederošs")</f>
        <v>0</v>
      </c>
      <c r="AD899" s="117">
        <f>SUMIFS(F875:F894,C875:C894,"C",H875:H894,"grants", Q875:Q894,"Nepiederošs")</f>
        <v>0</v>
      </c>
      <c r="AE899" s="117">
        <f>SUMIFS(F875:F894,C875:C894,"C",H875:H894,"cits segums", Q875:Q894,"Nepiederošs")</f>
        <v>0</v>
      </c>
      <c r="AF899" s="117">
        <f t="shared" si="122"/>
        <v>0</v>
      </c>
    </row>
    <row r="900" spans="1:32" ht="12.75" customHeight="1" x14ac:dyDescent="0.2">
      <c r="A900" s="105" t="s">
        <v>225</v>
      </c>
      <c r="B900" s="106"/>
      <c r="C900" s="111"/>
      <c r="D900" s="106"/>
      <c r="E900" s="112"/>
      <c r="F900" s="107">
        <f>SUMIFS(F876:F894,H876:H894,"cits segums")</f>
        <v>0</v>
      </c>
      <c r="G900" s="244">
        <f>SUMIFS(G876:G894,H876:H894,"cits segums")</f>
        <v>0</v>
      </c>
      <c r="H900" s="89"/>
      <c r="I900" s="16"/>
      <c r="J900" s="122"/>
      <c r="N900" s="92"/>
      <c r="O900" s="92"/>
      <c r="P900" s="92"/>
      <c r="Q900" s="92"/>
      <c r="S900" s="116" t="s">
        <v>26</v>
      </c>
      <c r="T900" s="117">
        <f>SUMIFS(F875:F894,C875:C894,"D",H875:H894,"melnais")</f>
        <v>2.94</v>
      </c>
      <c r="U900" s="117">
        <f>SUMIFS(F875:F894,C875:C894,"D",H875:H894,"dubultā virsma")</f>
        <v>0</v>
      </c>
      <c r="V900" s="117">
        <f>SUMIFS(F875:F894,C875:C894,"D",H875:H894,"bruģis")</f>
        <v>0</v>
      </c>
      <c r="W900" s="117">
        <f>SUMIFS(F875:F894,C875:C894,"D",H875:H894,"grants")</f>
        <v>2.3200000000000003</v>
      </c>
      <c r="X900" s="117">
        <f>SUMIFS(F875:F894,C875:C894,"D",H875:H894,"cits segums")</f>
        <v>0</v>
      </c>
      <c r="Y900" s="117">
        <f t="shared" si="121"/>
        <v>5.26</v>
      </c>
      <c r="Z900" s="116" t="s">
        <v>26</v>
      </c>
      <c r="AA900" s="117">
        <f>SUMIFS(F875:F894,C875:C894,"D",H875:H894,"melnais", Q875:Q894,"Nepiederošs")</f>
        <v>0</v>
      </c>
      <c r="AB900" s="117">
        <f>SUMIFS(F875:F894,C875:C894,"D",H875:H894,"dubultā virsma", Q875:Q894,"Nepiederošs")</f>
        <v>0</v>
      </c>
      <c r="AC900" s="117">
        <f>SUMIFS(F875:F894,C875:C894,"D",H875:H894,"bruģis", Q875:Q894,"Nepiederošs")</f>
        <v>0</v>
      </c>
      <c r="AD900" s="117">
        <f>SUMIFS(F875:F894,C875:C894,"D",H875:H894,"grants", Q875:Q894,"Nepiederošs")</f>
        <v>0</v>
      </c>
      <c r="AE900" s="117">
        <f>SUMIFS(F875:F894,C875:C894,"D",H875:H894,"cits segums", Q875:Q894,"Nepiederošs")</f>
        <v>0</v>
      </c>
      <c r="AF900" s="117">
        <f t="shared" si="122"/>
        <v>0</v>
      </c>
    </row>
    <row r="901" spans="1:32" ht="15" x14ac:dyDescent="0.25">
      <c r="C901" s="1"/>
      <c r="S901" s="172"/>
      <c r="T901" s="126">
        <f>SUM(T897:T900)</f>
        <v>2.94</v>
      </c>
      <c r="U901" s="126">
        <f t="shared" ref="U901:Y901" si="123">SUM(U897:U900)</f>
        <v>0</v>
      </c>
      <c r="V901" s="126">
        <f t="shared" si="123"/>
        <v>0</v>
      </c>
      <c r="W901" s="126">
        <f t="shared" si="123"/>
        <v>2.3200000000000003</v>
      </c>
      <c r="X901" s="126">
        <f t="shared" si="123"/>
        <v>0</v>
      </c>
      <c r="Y901" s="126">
        <f t="shared" si="123"/>
        <v>5.26</v>
      </c>
      <c r="Z901"/>
      <c r="AA901" s="126">
        <f>SUM(AA897:AA900)</f>
        <v>0</v>
      </c>
      <c r="AB901" s="126">
        <f t="shared" ref="AB901" si="124">SUM(AB897:AB900)</f>
        <v>0</v>
      </c>
      <c r="AC901" s="126">
        <f>SUM(AC897:AC900)</f>
        <v>0</v>
      </c>
      <c r="AD901" s="126">
        <f t="shared" ref="AD901:AF901" si="125">SUM(AD897:AD900)</f>
        <v>0</v>
      </c>
      <c r="AE901" s="126">
        <f t="shared" si="125"/>
        <v>0</v>
      </c>
      <c r="AF901" s="126">
        <f t="shared" si="125"/>
        <v>0</v>
      </c>
    </row>
    <row r="902" spans="1:32" s="2" customFormat="1" ht="15" customHeight="1" x14ac:dyDescent="0.25">
      <c r="A902" s="1"/>
      <c r="C902" s="1"/>
      <c r="D902" s="6" t="s">
        <v>486</v>
      </c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4"/>
      <c r="R902" s="7"/>
    </row>
    <row r="903" spans="1:32" ht="12.75" customHeight="1" x14ac:dyDescent="0.2">
      <c r="A903" s="8" t="s">
        <v>2</v>
      </c>
      <c r="B903" s="9" t="s">
        <v>3</v>
      </c>
      <c r="C903" s="10"/>
      <c r="D903" s="11" t="s">
        <v>4</v>
      </c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3"/>
      <c r="Q903" s="14" t="s">
        <v>5</v>
      </c>
      <c r="R903" s="15"/>
    </row>
    <row r="904" spans="1:32" ht="12.75" customHeight="1" x14ac:dyDescent="0.2">
      <c r="A904" s="8"/>
      <c r="B904" s="9"/>
      <c r="C904" s="17"/>
      <c r="D904" s="9" t="s">
        <v>6</v>
      </c>
      <c r="E904" s="9"/>
      <c r="F904" s="9"/>
      <c r="G904" s="9"/>
      <c r="H904" s="9"/>
      <c r="I904" s="18" t="s">
        <v>7</v>
      </c>
      <c r="J904" s="18"/>
      <c r="K904" s="18"/>
      <c r="L904" s="18"/>
      <c r="M904" s="18"/>
      <c r="N904" s="18"/>
      <c r="O904" s="18"/>
      <c r="P904" s="19" t="s">
        <v>8</v>
      </c>
      <c r="Q904" s="20"/>
      <c r="R904" s="21"/>
    </row>
    <row r="905" spans="1:32" ht="15.2" customHeight="1" x14ac:dyDescent="0.2">
      <c r="A905" s="8"/>
      <c r="B905" s="9"/>
      <c r="C905" s="17"/>
      <c r="D905" s="9" t="s">
        <v>9</v>
      </c>
      <c r="E905" s="9"/>
      <c r="F905" s="8" t="s">
        <v>10</v>
      </c>
      <c r="G905" s="8" t="s">
        <v>11</v>
      </c>
      <c r="H905" s="8" t="s">
        <v>12</v>
      </c>
      <c r="I905" s="18" t="s">
        <v>13</v>
      </c>
      <c r="J905" s="18" t="s">
        <v>14</v>
      </c>
      <c r="K905" s="18"/>
      <c r="L905" s="22" t="s">
        <v>15</v>
      </c>
      <c r="M905" s="22" t="s">
        <v>11</v>
      </c>
      <c r="N905" s="22" t="s">
        <v>16</v>
      </c>
      <c r="O905" s="22" t="s">
        <v>17</v>
      </c>
      <c r="P905" s="23"/>
      <c r="Q905" s="23" t="s">
        <v>18</v>
      </c>
      <c r="R905" s="24" t="s">
        <v>19</v>
      </c>
    </row>
    <row r="906" spans="1:32" ht="33.75" customHeight="1" x14ac:dyDescent="0.2">
      <c r="A906" s="8"/>
      <c r="B906" s="9"/>
      <c r="C906" s="25" t="s">
        <v>20</v>
      </c>
      <c r="D906" s="26" t="s">
        <v>21</v>
      </c>
      <c r="E906" s="26" t="s">
        <v>22</v>
      </c>
      <c r="F906" s="8"/>
      <c r="G906" s="8"/>
      <c r="H906" s="8"/>
      <c r="I906" s="18"/>
      <c r="J906" s="27" t="s">
        <v>23</v>
      </c>
      <c r="K906" s="27" t="s">
        <v>24</v>
      </c>
      <c r="L906" s="22"/>
      <c r="M906" s="22"/>
      <c r="N906" s="22"/>
      <c r="O906" s="22"/>
      <c r="P906" s="28"/>
      <c r="Q906" s="28"/>
      <c r="R906" s="29"/>
    </row>
    <row r="907" spans="1:32" s="32" customFormat="1" ht="12" customHeight="1" x14ac:dyDescent="0.25">
      <c r="A907" s="173">
        <v>1</v>
      </c>
      <c r="B907" s="173">
        <v>2</v>
      </c>
      <c r="C907" s="173"/>
      <c r="D907" s="173">
        <v>3</v>
      </c>
      <c r="E907" s="173">
        <v>4</v>
      </c>
      <c r="F907" s="173">
        <v>5</v>
      </c>
      <c r="G907" s="173">
        <v>6</v>
      </c>
      <c r="H907" s="173">
        <v>7</v>
      </c>
      <c r="I907" s="174">
        <v>8</v>
      </c>
      <c r="J907" s="174">
        <v>9</v>
      </c>
      <c r="K907" s="174">
        <v>10</v>
      </c>
      <c r="L907" s="174">
        <v>11</v>
      </c>
      <c r="M907" s="174">
        <v>12</v>
      </c>
      <c r="N907" s="174">
        <v>13</v>
      </c>
      <c r="O907" s="174">
        <v>14</v>
      </c>
      <c r="P907" s="174">
        <v>15</v>
      </c>
      <c r="Q907" s="31">
        <v>16</v>
      </c>
      <c r="R907" s="30">
        <v>17</v>
      </c>
    </row>
    <row r="908" spans="1:32" x14ac:dyDescent="0.2">
      <c r="A908" s="265">
        <v>2</v>
      </c>
      <c r="B908" s="271" t="s">
        <v>298</v>
      </c>
      <c r="C908" s="272" t="s">
        <v>26</v>
      </c>
      <c r="D908" s="297">
        <v>0</v>
      </c>
      <c r="E908" s="262">
        <v>0.06</v>
      </c>
      <c r="F908" s="262">
        <v>0.06</v>
      </c>
      <c r="G908" s="263">
        <v>300</v>
      </c>
      <c r="H908" s="264" t="s">
        <v>29</v>
      </c>
      <c r="I908" s="245"/>
      <c r="J908" s="246"/>
      <c r="K908" s="246"/>
      <c r="L908" s="246"/>
      <c r="M908" s="246"/>
      <c r="N908" s="246"/>
      <c r="O908" s="246"/>
      <c r="P908" s="246"/>
      <c r="Q908" s="268"/>
      <c r="R908" s="268" t="s">
        <v>487</v>
      </c>
    </row>
    <row r="909" spans="1:32" x14ac:dyDescent="0.2">
      <c r="A909" s="273"/>
      <c r="B909" s="267"/>
      <c r="C909" s="272" t="s">
        <v>26</v>
      </c>
      <c r="D909" s="297">
        <v>0.11</v>
      </c>
      <c r="E909" s="262">
        <v>0.2</v>
      </c>
      <c r="F909" s="262">
        <v>0.09</v>
      </c>
      <c r="G909" s="263">
        <v>450</v>
      </c>
      <c r="H909" s="264" t="s">
        <v>29</v>
      </c>
      <c r="I909" s="245"/>
      <c r="J909" s="246"/>
      <c r="K909" s="246"/>
      <c r="L909" s="246"/>
      <c r="M909" s="246"/>
      <c r="N909" s="246"/>
      <c r="O909" s="246"/>
      <c r="P909" s="246"/>
      <c r="Q909" s="268"/>
      <c r="R909" s="268" t="s">
        <v>487</v>
      </c>
    </row>
    <row r="910" spans="1:32" x14ac:dyDescent="0.2">
      <c r="A910" s="266">
        <v>4</v>
      </c>
      <c r="B910" s="293" t="s">
        <v>488</v>
      </c>
      <c r="C910" s="261" t="s">
        <v>26</v>
      </c>
      <c r="D910" s="262">
        <v>0</v>
      </c>
      <c r="E910" s="262">
        <v>0.17199999999999999</v>
      </c>
      <c r="F910" s="262">
        <v>0.17199999999999999</v>
      </c>
      <c r="G910" s="263">
        <v>587</v>
      </c>
      <c r="H910" s="264" t="s">
        <v>29</v>
      </c>
      <c r="I910" s="245"/>
      <c r="J910" s="246"/>
      <c r="K910" s="246"/>
      <c r="L910" s="246"/>
      <c r="M910" s="246"/>
      <c r="N910" s="246"/>
      <c r="O910" s="246"/>
      <c r="P910" s="246"/>
      <c r="Q910" s="265">
        <v>80680100154</v>
      </c>
      <c r="R910" s="265">
        <v>80680100154</v>
      </c>
    </row>
    <row r="911" spans="1:32" x14ac:dyDescent="0.2">
      <c r="A911" s="269"/>
      <c r="B911" s="298"/>
      <c r="C911" s="261" t="s">
        <v>26</v>
      </c>
      <c r="D911" s="262">
        <v>0.17199999999999999</v>
      </c>
      <c r="E911" s="262">
        <v>0.23599999999999999</v>
      </c>
      <c r="F911" s="262">
        <v>6.4000000000000001E-2</v>
      </c>
      <c r="G911" s="263">
        <v>192</v>
      </c>
      <c r="H911" s="264" t="s">
        <v>70</v>
      </c>
      <c r="I911" s="245"/>
      <c r="J911" s="246"/>
      <c r="K911" s="246"/>
      <c r="L911" s="246"/>
      <c r="M911" s="246"/>
      <c r="N911" s="246"/>
      <c r="O911" s="246"/>
      <c r="P911" s="246"/>
      <c r="Q911" s="265">
        <v>80680100177</v>
      </c>
      <c r="R911" s="265">
        <v>80680100178</v>
      </c>
    </row>
    <row r="912" spans="1:32" x14ac:dyDescent="0.2">
      <c r="A912" s="265">
        <v>6</v>
      </c>
      <c r="B912" s="298" t="s">
        <v>489</v>
      </c>
      <c r="C912" s="261" t="s">
        <v>26</v>
      </c>
      <c r="D912" s="262">
        <v>0</v>
      </c>
      <c r="E912" s="262">
        <v>0.155</v>
      </c>
      <c r="F912" s="262">
        <f>E912-D912</f>
        <v>0.155</v>
      </c>
      <c r="G912" s="263">
        <v>775</v>
      </c>
      <c r="H912" s="264" t="s">
        <v>29</v>
      </c>
      <c r="I912" s="245"/>
      <c r="J912" s="246"/>
      <c r="K912" s="246"/>
      <c r="L912" s="246"/>
      <c r="M912" s="246"/>
      <c r="N912" s="246"/>
      <c r="O912" s="246"/>
      <c r="P912" s="246"/>
      <c r="Q912" s="265"/>
      <c r="R912" s="265">
        <v>80680100220</v>
      </c>
    </row>
    <row r="913" spans="1:32" x14ac:dyDescent="0.2">
      <c r="A913" s="265">
        <v>7</v>
      </c>
      <c r="B913" s="298" t="s">
        <v>299</v>
      </c>
      <c r="C913" s="272" t="s">
        <v>26</v>
      </c>
      <c r="D913" s="262">
        <v>0</v>
      </c>
      <c r="E913" s="262">
        <v>0.25</v>
      </c>
      <c r="F913" s="262">
        <f>E913-D913</f>
        <v>0.25</v>
      </c>
      <c r="G913" s="263">
        <v>1240</v>
      </c>
      <c r="H913" s="264" t="s">
        <v>29</v>
      </c>
      <c r="I913" s="245"/>
      <c r="J913" s="246"/>
      <c r="K913" s="246"/>
      <c r="L913" s="246"/>
      <c r="M913" s="246"/>
      <c r="N913" s="246"/>
      <c r="O913" s="246"/>
      <c r="P913" s="246"/>
      <c r="Q913" s="265"/>
      <c r="R913" s="265">
        <v>80680100214</v>
      </c>
    </row>
    <row r="914" spans="1:32" x14ac:dyDescent="0.2">
      <c r="A914" s="265">
        <v>8</v>
      </c>
      <c r="B914" s="298" t="s">
        <v>264</v>
      </c>
      <c r="C914" s="261" t="s">
        <v>26</v>
      </c>
      <c r="D914" s="262">
        <v>0</v>
      </c>
      <c r="E914" s="262">
        <v>0.13</v>
      </c>
      <c r="F914" s="262">
        <f>E914-D914</f>
        <v>0.13</v>
      </c>
      <c r="G914" s="263">
        <v>650</v>
      </c>
      <c r="H914" s="264" t="s">
        <v>29</v>
      </c>
      <c r="I914" s="245"/>
      <c r="J914" s="246"/>
      <c r="K914" s="246"/>
      <c r="L914" s="246"/>
      <c r="M914" s="246"/>
      <c r="N914" s="246"/>
      <c r="O914" s="246"/>
      <c r="P914" s="246"/>
      <c r="Q914" s="265"/>
      <c r="R914" s="265">
        <v>80680100208</v>
      </c>
    </row>
    <row r="915" spans="1:32" ht="15" x14ac:dyDescent="0.25">
      <c r="A915" s="265">
        <v>9</v>
      </c>
      <c r="B915" s="298" t="s">
        <v>307</v>
      </c>
      <c r="C915" s="272" t="s">
        <v>26</v>
      </c>
      <c r="D915" s="262">
        <v>0</v>
      </c>
      <c r="E915" s="262">
        <v>0.115</v>
      </c>
      <c r="F915" s="262">
        <f>E915-D915</f>
        <v>0.115</v>
      </c>
      <c r="G915" s="263">
        <v>575</v>
      </c>
      <c r="H915" s="264" t="s">
        <v>29</v>
      </c>
      <c r="I915" s="245"/>
      <c r="J915" s="246"/>
      <c r="K915" s="246"/>
      <c r="L915" s="246"/>
      <c r="M915" s="246"/>
      <c r="N915" s="246"/>
      <c r="O915" s="246"/>
      <c r="P915" s="246"/>
      <c r="Q915" s="265"/>
      <c r="R915" s="265">
        <v>80680100204</v>
      </c>
      <c r="AA915" t="s">
        <v>211</v>
      </c>
    </row>
    <row r="916" spans="1:32" ht="22.5" x14ac:dyDescent="0.2">
      <c r="C916" s="1"/>
      <c r="K916" s="100" t="s">
        <v>213</v>
      </c>
      <c r="L916" s="243">
        <f>SUM(L908:L915)</f>
        <v>0</v>
      </c>
      <c r="M916" s="243">
        <f>SUM(M908:M915)</f>
        <v>0</v>
      </c>
      <c r="N916" s="92"/>
      <c r="O916" s="100" t="s">
        <v>214</v>
      </c>
      <c r="P916" s="243">
        <f>SUM(P908:P915)</f>
        <v>0</v>
      </c>
      <c r="T916" s="103" t="s">
        <v>215</v>
      </c>
      <c r="U916" s="103" t="s">
        <v>216</v>
      </c>
      <c r="V916" s="103" t="s">
        <v>217</v>
      </c>
      <c r="W916" s="103" t="s">
        <v>218</v>
      </c>
      <c r="X916" s="103" t="s">
        <v>219</v>
      </c>
      <c r="Y916" s="104" t="s">
        <v>214</v>
      </c>
      <c r="AA916" s="103" t="s">
        <v>215</v>
      </c>
      <c r="AB916" s="103" t="s">
        <v>216</v>
      </c>
      <c r="AC916" s="103" t="s">
        <v>217</v>
      </c>
      <c r="AD916" s="103" t="s">
        <v>218</v>
      </c>
      <c r="AE916" s="103" t="s">
        <v>219</v>
      </c>
      <c r="AF916" s="104" t="s">
        <v>214</v>
      </c>
    </row>
    <row r="917" spans="1:32" ht="12.75" customHeight="1" x14ac:dyDescent="0.2">
      <c r="A917" s="93" t="s">
        <v>490</v>
      </c>
      <c r="B917" s="94"/>
      <c r="C917" s="95"/>
      <c r="D917" s="94"/>
      <c r="E917" s="96"/>
      <c r="F917" s="97">
        <f>SUM(F908:F915)</f>
        <v>1.036</v>
      </c>
      <c r="G917" s="243">
        <f>SUM(G908:G915)</f>
        <v>4769</v>
      </c>
      <c r="H917" s="160"/>
      <c r="I917" s="16"/>
      <c r="J917" s="99"/>
      <c r="Q917" s="92"/>
      <c r="S917" s="102" t="s">
        <v>20</v>
      </c>
      <c r="T917" s="103" t="s">
        <v>23</v>
      </c>
      <c r="U917" s="103" t="s">
        <v>23</v>
      </c>
      <c r="V917" s="103" t="s">
        <v>23</v>
      </c>
      <c r="W917" s="103" t="s">
        <v>23</v>
      </c>
      <c r="X917" s="103" t="s">
        <v>23</v>
      </c>
      <c r="Y917" s="104" t="s">
        <v>23</v>
      </c>
      <c r="Z917" s="102"/>
      <c r="AA917" s="103" t="s">
        <v>23</v>
      </c>
      <c r="AB917" s="103" t="s">
        <v>23</v>
      </c>
      <c r="AC917" s="103" t="s">
        <v>23</v>
      </c>
      <c r="AD917" s="103" t="s">
        <v>23</v>
      </c>
      <c r="AE917" s="103" t="s">
        <v>23</v>
      </c>
      <c r="AF917" s="104" t="s">
        <v>23</v>
      </c>
    </row>
    <row r="918" spans="1:32" ht="12.75" customHeight="1" x14ac:dyDescent="0.2">
      <c r="A918" s="105" t="s">
        <v>221</v>
      </c>
      <c r="B918" s="106"/>
      <c r="C918" s="111"/>
      <c r="D918" s="106"/>
      <c r="E918" s="112"/>
      <c r="F918" s="107">
        <f>SUMIFS(F908:F915,H908:H915,"melnais")</f>
        <v>0.97199999999999998</v>
      </c>
      <c r="G918" s="244">
        <f>SUMIFS(G908:G915,H908:H915,"melnais")</f>
        <v>4577</v>
      </c>
      <c r="H918" s="163"/>
      <c r="I918" s="89"/>
      <c r="J918" s="92"/>
      <c r="K918" s="92"/>
      <c r="L918" s="115"/>
      <c r="M918" s="115"/>
      <c r="N918" s="92"/>
      <c r="O918" s="92"/>
      <c r="P918" s="92"/>
      <c r="Q918" s="92"/>
      <c r="S918" s="116" t="s">
        <v>222</v>
      </c>
      <c r="T918" s="117">
        <f>SUMIFS(F907:F915,C907:C915,"A",H907:H915,"melnais")</f>
        <v>0</v>
      </c>
      <c r="U918" s="117">
        <f>SUMIFS(F907:F915,C907:C915,"A",H907:H915,"dubultā virsma")</f>
        <v>0</v>
      </c>
      <c r="V918" s="117">
        <f>SUMIFS(F907:F915,C907:C915,"A",H907:H915,"bruģis")</f>
        <v>0</v>
      </c>
      <c r="W918" s="117">
        <f>SUMIFS(F907:F915,C907:C915,"A",H907:H915,"grants")</f>
        <v>0</v>
      </c>
      <c r="X918" s="117">
        <f>SUMIFS(F907:F915,C907:C915,"A",H907:H915,"cits segums")</f>
        <v>0</v>
      </c>
      <c r="Y918" s="117">
        <f>SUM(T918:X918)</f>
        <v>0</v>
      </c>
      <c r="Z918" s="116" t="s">
        <v>222</v>
      </c>
      <c r="AA918" s="117">
        <f>SUMIFS(F907:F915,C907:C915,"A",H907:H915,"melnais", Q907:Q915,"Nepiederošs")</f>
        <v>0</v>
      </c>
      <c r="AB918" s="117">
        <f>SUMIFS(F907:F915,C907:C915,"A",H907:H915,"dubultā virsma", Q907:Q915,"Nepiederošs")</f>
        <v>0</v>
      </c>
      <c r="AC918" s="117">
        <f>SUMIFS(F907:F915,C907:C915,"A",H907:H915,"bruģis", Q907:Q915,"Nepiederošs")</f>
        <v>0</v>
      </c>
      <c r="AD918" s="117">
        <f>SUMIFS(F907:F915,C907:C915,"A",H907:H915,"grants", Q907:Q915,"Nepiederošs")</f>
        <v>0</v>
      </c>
      <c r="AE918" s="117">
        <f>SUMIFS(F907:F915,C907:C915,"A",H907:H915,"cits segums", Q907:Q915,"Nepiederošs")</f>
        <v>0</v>
      </c>
      <c r="AF918" s="117">
        <f>SUM(AA918:AE918)</f>
        <v>0</v>
      </c>
    </row>
    <row r="919" spans="1:32" ht="12.75" customHeight="1" x14ac:dyDescent="0.2">
      <c r="A919" s="105" t="s">
        <v>223</v>
      </c>
      <c r="B919" s="106"/>
      <c r="C919" s="111"/>
      <c r="D919" s="106"/>
      <c r="E919" s="112"/>
      <c r="F919" s="107">
        <f>SUMIFS(F908:F915,H908:H915,"bruģis")</f>
        <v>0</v>
      </c>
      <c r="G919" s="244">
        <f>SUMIFS(G908:G915,H908:H915,"bruģis")</f>
        <v>0</v>
      </c>
      <c r="I919" s="16"/>
      <c r="J919" s="92"/>
      <c r="N919" s="92"/>
      <c r="O919" s="92"/>
      <c r="P919" s="92"/>
      <c r="Q919" s="92"/>
      <c r="S919" s="120" t="s">
        <v>39</v>
      </c>
      <c r="T919" s="117">
        <f>SUMIFS(F907:F915,C907:C915,"B",H907:H915,"melnais")</f>
        <v>0</v>
      </c>
      <c r="U919" s="117">
        <f>SUMIFS(F907:F915,C907:C915,"B",H907:H915,"dubultā virsma")</f>
        <v>0</v>
      </c>
      <c r="V919" s="117">
        <f>SUMIFS(F907:F915,C907:C915,"B",H907:H915,"bruģis")</f>
        <v>0</v>
      </c>
      <c r="W919" s="117">
        <f>SUMIFS(F907:F915,C907:C915,"B",H907:H915,"grants")</f>
        <v>0</v>
      </c>
      <c r="X919" s="117">
        <f>SUMIFS(F907:F915,C907:C915,"B",H907:H915,"cits segums")</f>
        <v>0</v>
      </c>
      <c r="Y919" s="117">
        <f t="shared" ref="Y919:Y921" si="126">SUM(T919:X919)</f>
        <v>0</v>
      </c>
      <c r="Z919" s="120" t="s">
        <v>39</v>
      </c>
      <c r="AA919" s="117">
        <f>SUMIFS(F907:F915,C907:C915,"B",H907:H915,"melnais", Q907:Q915,"Nepiederošs")</f>
        <v>0</v>
      </c>
      <c r="AB919" s="117">
        <f>SUMIFS(F907:F915,C907:C915,"B",H907:H915,"dubultā virsma", Q907:Q915,"Nepiederošs")</f>
        <v>0</v>
      </c>
      <c r="AC919" s="117">
        <f>SUMIFS(F907:F915,C907:C915,"B",H907:H915,"bruģis", Q907:Q915,"Nepiederošs")</f>
        <v>0</v>
      </c>
      <c r="AD919" s="117">
        <f>SUMIFS(F907:F915,C907:C915,"B",H907:H915,"grants", Q907:Q915,"Nepiederošs")</f>
        <v>0</v>
      </c>
      <c r="AE919" s="117">
        <f>SUMIFS(F907:F915,C907:C915,"B",H907:H915,"cits segums", Q907:Q915,"Nepiederošs")</f>
        <v>0</v>
      </c>
      <c r="AF919" s="117">
        <f t="shared" ref="AF919:AF921" si="127">SUM(AA919:AE919)</f>
        <v>0</v>
      </c>
    </row>
    <row r="920" spans="1:32" ht="12.75" customHeight="1" x14ac:dyDescent="0.2">
      <c r="A920" s="105" t="s">
        <v>224</v>
      </c>
      <c r="B920" s="106"/>
      <c r="C920" s="111"/>
      <c r="D920" s="106"/>
      <c r="E920" s="112"/>
      <c r="F920" s="107">
        <f>SUMIFS(F908:F915,H908:H915,"grants")</f>
        <v>0</v>
      </c>
      <c r="G920" s="244">
        <f>SUMIFS(G908:G915,H908:H915,"grants")</f>
        <v>0</v>
      </c>
      <c r="I920" s="16"/>
      <c r="J920" s="92"/>
      <c r="N920" s="92"/>
      <c r="O920" s="92"/>
      <c r="P920" s="92"/>
      <c r="Q920" s="92"/>
      <c r="S920" s="121" t="s">
        <v>34</v>
      </c>
      <c r="T920" s="117">
        <f>SUMIFS(F907:F915,C907:C915,"C",H907:H915,"melnais")</f>
        <v>0</v>
      </c>
      <c r="U920" s="117">
        <f>SUMIFS(F907:F915,C907:C915,"C",H907:H915,"dubultā virsma")</f>
        <v>0</v>
      </c>
      <c r="V920" s="117">
        <f>SUMIFS(F907:F915,C907:C915,"C",H907:H915,"bruģis")</f>
        <v>0</v>
      </c>
      <c r="W920" s="117">
        <f>SUMIFS(F907:F915,C907:C915,"C",H907:H915,"grants")</f>
        <v>0</v>
      </c>
      <c r="X920" s="117">
        <f>SUMIFS(F907:F915,C907:C915,"C",H907:H915,"cits segums")</f>
        <v>0</v>
      </c>
      <c r="Y920" s="117">
        <f t="shared" si="126"/>
        <v>0</v>
      </c>
      <c r="Z920" s="121" t="s">
        <v>34</v>
      </c>
      <c r="AA920" s="117">
        <f>SUMIFS(F907:F915,C907:C915,"C",H907:H915,"melnais", Q907:Q915,"Nepiederošs")</f>
        <v>0</v>
      </c>
      <c r="AB920" s="117">
        <f>SUMIFS(F907:F915,C907:C915,"C",H907:H915,"dubultā virsma", Q907:Q915,"Nepiederošs")</f>
        <v>0</v>
      </c>
      <c r="AC920" s="117">
        <f>SUMIFS(F907:F915,C907:C915,"C",H907:H915,"bruģis", Q907:Q915,"Nepiederošs")</f>
        <v>0</v>
      </c>
      <c r="AD920" s="117">
        <f>SUMIFS(F907:F915,C907:C915,"C",H907:H915,"grants", Q907:Q915,"Nepiederošs")</f>
        <v>0</v>
      </c>
      <c r="AE920" s="117">
        <f>SUMIFS(F907:F915,C907:C915,"C",H907:H915,"cits segums", Q907:Q915,"Nepiederošs")</f>
        <v>0</v>
      </c>
      <c r="AF920" s="117">
        <f t="shared" si="127"/>
        <v>0</v>
      </c>
    </row>
    <row r="921" spans="1:32" ht="12.75" customHeight="1" x14ac:dyDescent="0.2">
      <c r="A921" s="105" t="s">
        <v>225</v>
      </c>
      <c r="B921" s="106"/>
      <c r="C921" s="111"/>
      <c r="D921" s="106"/>
      <c r="E921" s="112"/>
      <c r="F921" s="107">
        <f>SUMIFS(F908:F915,H908:H915,"cits segums")</f>
        <v>6.4000000000000001E-2</v>
      </c>
      <c r="G921" s="244">
        <f>SUMIFS(G908:G915,H908:H915,"cits segums")</f>
        <v>192</v>
      </c>
      <c r="H921" s="89"/>
      <c r="I921" s="16"/>
      <c r="J921" s="122"/>
      <c r="N921" s="92"/>
      <c r="O921" s="92"/>
      <c r="P921" s="92"/>
      <c r="Q921" s="92"/>
      <c r="S921" s="116" t="s">
        <v>26</v>
      </c>
      <c r="T921" s="117">
        <f>SUMIFS(F907:F915,C907:C915,"D",H907:H915,"melnais")</f>
        <v>0.97199999999999998</v>
      </c>
      <c r="U921" s="117">
        <f>SUMIFS(F907:F915,C907:C915,"D",H907:H915,"dubultā virsma")</f>
        <v>0</v>
      </c>
      <c r="V921" s="117">
        <f>SUMIFS(F907:F915,C907:C915,"D",H907:H915,"bruģis")</f>
        <v>0</v>
      </c>
      <c r="W921" s="117">
        <f>SUMIFS(F907:F915,C907:C915,"D",H907:H915,"grants")</f>
        <v>0</v>
      </c>
      <c r="X921" s="117">
        <f>SUMIFS(F907:F915,C907:C915,"D",H907:H915,"cits segums")</f>
        <v>6.4000000000000001E-2</v>
      </c>
      <c r="Y921" s="117">
        <f t="shared" si="126"/>
        <v>1.036</v>
      </c>
      <c r="Z921" s="116" t="s">
        <v>26</v>
      </c>
      <c r="AA921" s="117">
        <f>SUMIFS(F907:F915,C907:C915,"D",H907:H915,"melnais", Q907:Q915,"Nepiederošs")</f>
        <v>0</v>
      </c>
      <c r="AB921" s="117">
        <f>SUMIFS(F907:F915,C907:C915,"D",H907:H915,"dubultā virsma", Q907:Q915,"Nepiederošs")</f>
        <v>0</v>
      </c>
      <c r="AC921" s="117">
        <f>SUMIFS(F907:F915,C907:C915,"D",H907:H915,"bruģis", Q907:Q915,"Nepiederošs")</f>
        <v>0</v>
      </c>
      <c r="AD921" s="117">
        <f>SUMIFS(F907:F915,C907:C915,"D",H907:H915,"grants", Q907:Q915,"Nepiederošs")</f>
        <v>0</v>
      </c>
      <c r="AE921" s="117">
        <f>SUMIFS(F907:F915,C907:C915,"D",H907:H915,"cits segums", Q907:Q915,"Nepiederošs")</f>
        <v>0</v>
      </c>
      <c r="AF921" s="117">
        <f t="shared" si="127"/>
        <v>0</v>
      </c>
    </row>
    <row r="922" spans="1:32" ht="15" x14ac:dyDescent="0.25">
      <c r="C922" s="1"/>
      <c r="S922" s="172"/>
      <c r="T922" s="126">
        <f>SUM(T918:T921)</f>
        <v>0.97199999999999998</v>
      </c>
      <c r="U922" s="126">
        <f t="shared" ref="U922:Y922" si="128">SUM(U918:U921)</f>
        <v>0</v>
      </c>
      <c r="V922" s="126">
        <f t="shared" si="128"/>
        <v>0</v>
      </c>
      <c r="W922" s="126">
        <f t="shared" si="128"/>
        <v>0</v>
      </c>
      <c r="X922" s="126">
        <f t="shared" si="128"/>
        <v>6.4000000000000001E-2</v>
      </c>
      <c r="Y922" s="126">
        <f t="shared" si="128"/>
        <v>1.036</v>
      </c>
      <c r="Z922"/>
      <c r="AA922" s="126">
        <f>SUM(AA918:AA921)</f>
        <v>0</v>
      </c>
      <c r="AB922" s="126">
        <f t="shared" ref="AB922" si="129">SUM(AB918:AB921)</f>
        <v>0</v>
      </c>
      <c r="AC922" s="126">
        <f>SUM(AC918:AC921)</f>
        <v>0</v>
      </c>
      <c r="AD922" s="126">
        <f t="shared" ref="AD922:AF922" si="130">SUM(AD918:AD921)</f>
        <v>0</v>
      </c>
      <c r="AE922" s="126">
        <f t="shared" si="130"/>
        <v>0</v>
      </c>
      <c r="AF922" s="126">
        <f t="shared" si="130"/>
        <v>0</v>
      </c>
    </row>
    <row r="923" spans="1:32" s="2" customFormat="1" ht="15" customHeight="1" x14ac:dyDescent="0.25">
      <c r="A923" s="1"/>
      <c r="C923" s="1"/>
      <c r="D923" s="6" t="s">
        <v>491</v>
      </c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4"/>
      <c r="R923" s="7"/>
    </row>
    <row r="924" spans="1:32" ht="12.75" customHeight="1" x14ac:dyDescent="0.2">
      <c r="A924" s="8" t="s">
        <v>2</v>
      </c>
      <c r="B924" s="9" t="s">
        <v>3</v>
      </c>
      <c r="C924" s="10"/>
      <c r="D924" s="11" t="s">
        <v>4</v>
      </c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3"/>
      <c r="Q924" s="14" t="s">
        <v>5</v>
      </c>
      <c r="R924" s="15"/>
    </row>
    <row r="925" spans="1:32" ht="12.75" customHeight="1" x14ac:dyDescent="0.2">
      <c r="A925" s="8"/>
      <c r="B925" s="9"/>
      <c r="C925" s="17"/>
      <c r="D925" s="9" t="s">
        <v>6</v>
      </c>
      <c r="E925" s="9"/>
      <c r="F925" s="9"/>
      <c r="G925" s="9"/>
      <c r="H925" s="9"/>
      <c r="I925" s="18" t="s">
        <v>7</v>
      </c>
      <c r="J925" s="18"/>
      <c r="K925" s="18"/>
      <c r="L925" s="18"/>
      <c r="M925" s="18"/>
      <c r="N925" s="18"/>
      <c r="O925" s="18"/>
      <c r="P925" s="19" t="s">
        <v>8</v>
      </c>
      <c r="Q925" s="20"/>
      <c r="R925" s="21"/>
    </row>
    <row r="926" spans="1:32" ht="15.2" customHeight="1" x14ac:dyDescent="0.2">
      <c r="A926" s="8"/>
      <c r="B926" s="9"/>
      <c r="C926" s="17"/>
      <c r="D926" s="9" t="s">
        <v>9</v>
      </c>
      <c r="E926" s="9"/>
      <c r="F926" s="8" t="s">
        <v>10</v>
      </c>
      <c r="G926" s="8" t="s">
        <v>11</v>
      </c>
      <c r="H926" s="8" t="s">
        <v>12</v>
      </c>
      <c r="I926" s="18" t="s">
        <v>13</v>
      </c>
      <c r="J926" s="18" t="s">
        <v>14</v>
      </c>
      <c r="K926" s="18"/>
      <c r="L926" s="22" t="s">
        <v>15</v>
      </c>
      <c r="M926" s="22" t="s">
        <v>11</v>
      </c>
      <c r="N926" s="22" t="s">
        <v>16</v>
      </c>
      <c r="O926" s="22" t="s">
        <v>17</v>
      </c>
      <c r="P926" s="23"/>
      <c r="Q926" s="23" t="s">
        <v>18</v>
      </c>
      <c r="R926" s="24" t="s">
        <v>19</v>
      </c>
    </row>
    <row r="927" spans="1:32" ht="33.75" customHeight="1" x14ac:dyDescent="0.2">
      <c r="A927" s="8"/>
      <c r="B927" s="9"/>
      <c r="C927" s="25" t="s">
        <v>20</v>
      </c>
      <c r="D927" s="26" t="s">
        <v>21</v>
      </c>
      <c r="E927" s="26" t="s">
        <v>22</v>
      </c>
      <c r="F927" s="8"/>
      <c r="G927" s="8"/>
      <c r="H927" s="8"/>
      <c r="I927" s="18"/>
      <c r="J927" s="27" t="s">
        <v>23</v>
      </c>
      <c r="K927" s="27" t="s">
        <v>24</v>
      </c>
      <c r="L927" s="22"/>
      <c r="M927" s="22"/>
      <c r="N927" s="22"/>
      <c r="O927" s="22"/>
      <c r="P927" s="28"/>
      <c r="Q927" s="28"/>
      <c r="R927" s="29"/>
    </row>
    <row r="928" spans="1:32" s="32" customFormat="1" ht="12" customHeight="1" x14ac:dyDescent="0.25">
      <c r="A928" s="173">
        <v>1</v>
      </c>
      <c r="B928" s="173">
        <v>2</v>
      </c>
      <c r="C928" s="173"/>
      <c r="D928" s="173">
        <v>3</v>
      </c>
      <c r="E928" s="173">
        <v>4</v>
      </c>
      <c r="F928" s="173">
        <v>5</v>
      </c>
      <c r="G928" s="173">
        <v>6</v>
      </c>
      <c r="H928" s="173">
        <v>7</v>
      </c>
      <c r="I928" s="174">
        <v>8</v>
      </c>
      <c r="J928" s="174">
        <v>9</v>
      </c>
      <c r="K928" s="174">
        <v>10</v>
      </c>
      <c r="L928" s="174">
        <v>11</v>
      </c>
      <c r="M928" s="174">
        <v>12</v>
      </c>
      <c r="N928" s="174">
        <v>13</v>
      </c>
      <c r="O928" s="174">
        <v>14</v>
      </c>
      <c r="P928" s="174">
        <v>15</v>
      </c>
      <c r="Q928" s="174">
        <v>16</v>
      </c>
      <c r="R928" s="173">
        <v>17</v>
      </c>
    </row>
    <row r="929" spans="1:32" x14ac:dyDescent="0.2">
      <c r="A929" s="266">
        <v>1</v>
      </c>
      <c r="B929" s="293" t="s">
        <v>492</v>
      </c>
      <c r="C929" s="278" t="s">
        <v>26</v>
      </c>
      <c r="D929" s="262">
        <v>0</v>
      </c>
      <c r="E929" s="262">
        <v>0.15</v>
      </c>
      <c r="F929" s="262">
        <v>0.15</v>
      </c>
      <c r="G929" s="263">
        <v>450</v>
      </c>
      <c r="H929" s="264" t="s">
        <v>27</v>
      </c>
      <c r="I929" s="245"/>
      <c r="J929" s="246"/>
      <c r="K929" s="246"/>
      <c r="L929" s="246"/>
      <c r="M929" s="246"/>
      <c r="N929" s="246"/>
      <c r="O929" s="246"/>
      <c r="P929" s="246"/>
      <c r="Q929" s="265">
        <v>80680090412</v>
      </c>
      <c r="R929" s="265">
        <v>80680090412</v>
      </c>
    </row>
    <row r="930" spans="1:32" x14ac:dyDescent="0.2">
      <c r="A930" s="269"/>
      <c r="B930" s="298"/>
      <c r="C930" s="278" t="s">
        <v>26</v>
      </c>
      <c r="D930" s="262">
        <v>0.15</v>
      </c>
      <c r="E930" s="262">
        <v>0.32499999999999996</v>
      </c>
      <c r="F930" s="262">
        <v>0.17499999999999999</v>
      </c>
      <c r="G930" s="263">
        <v>525</v>
      </c>
      <c r="H930" s="264" t="s">
        <v>70</v>
      </c>
      <c r="I930" s="245"/>
      <c r="J930" s="246"/>
      <c r="K930" s="246"/>
      <c r="L930" s="246"/>
      <c r="M930" s="246"/>
      <c r="N930" s="246"/>
      <c r="O930" s="246"/>
      <c r="P930" s="246"/>
      <c r="Q930" s="265">
        <v>80680090412</v>
      </c>
      <c r="R930" s="265">
        <v>80680090412</v>
      </c>
    </row>
    <row r="931" spans="1:32" x14ac:dyDescent="0.2">
      <c r="A931" s="266">
        <v>2</v>
      </c>
      <c r="B931" s="293" t="s">
        <v>262</v>
      </c>
      <c r="C931" s="278" t="s">
        <v>26</v>
      </c>
      <c r="D931" s="262">
        <v>0</v>
      </c>
      <c r="E931" s="262">
        <v>0.13500000000000001</v>
      </c>
      <c r="F931" s="262">
        <v>0.13500000000000001</v>
      </c>
      <c r="G931" s="263">
        <v>473</v>
      </c>
      <c r="H931" s="264" t="s">
        <v>27</v>
      </c>
      <c r="I931" s="245"/>
      <c r="J931" s="246"/>
      <c r="K931" s="246"/>
      <c r="L931" s="246"/>
      <c r="M931" s="246"/>
      <c r="N931" s="246"/>
      <c r="O931" s="246"/>
      <c r="P931" s="246"/>
      <c r="Q931" s="265">
        <v>80680090368</v>
      </c>
      <c r="R931" s="265">
        <v>80680090366</v>
      </c>
    </row>
    <row r="932" spans="1:32" x14ac:dyDescent="0.2">
      <c r="A932" s="273"/>
      <c r="B932" s="295"/>
      <c r="C932" s="278" t="s">
        <v>26</v>
      </c>
      <c r="D932" s="262">
        <v>0.13500000000000001</v>
      </c>
      <c r="E932" s="262">
        <v>0.20499999999999999</v>
      </c>
      <c r="F932" s="262">
        <v>7.0000000000000007E-2</v>
      </c>
      <c r="G932" s="263">
        <v>245</v>
      </c>
      <c r="H932" s="264" t="s">
        <v>27</v>
      </c>
      <c r="I932" s="245"/>
      <c r="J932" s="246"/>
      <c r="K932" s="246"/>
      <c r="L932" s="246"/>
      <c r="M932" s="246"/>
      <c r="N932" s="246"/>
      <c r="O932" s="246"/>
      <c r="P932" s="246"/>
      <c r="Q932" s="265"/>
      <c r="R932" s="263">
        <v>80680090066005</v>
      </c>
    </row>
    <row r="933" spans="1:32" x14ac:dyDescent="0.2">
      <c r="A933" s="269"/>
      <c r="B933" s="298"/>
      <c r="C933" s="278" t="s">
        <v>26</v>
      </c>
      <c r="D933" s="262">
        <v>0.20500000000000002</v>
      </c>
      <c r="E933" s="262">
        <v>0.47000000000000003</v>
      </c>
      <c r="F933" s="262">
        <v>0.26500000000000001</v>
      </c>
      <c r="G933" s="263">
        <v>1060</v>
      </c>
      <c r="H933" s="264" t="s">
        <v>27</v>
      </c>
      <c r="I933" s="245"/>
      <c r="J933" s="246"/>
      <c r="K933" s="246"/>
      <c r="L933" s="246"/>
      <c r="M933" s="246"/>
      <c r="N933" s="246"/>
      <c r="O933" s="246"/>
      <c r="P933" s="246"/>
      <c r="Q933" s="265">
        <v>80680090368</v>
      </c>
      <c r="R933" s="263">
        <v>80680090368</v>
      </c>
    </row>
    <row r="934" spans="1:32" x14ac:dyDescent="0.2">
      <c r="A934" s="299">
        <v>3</v>
      </c>
      <c r="B934" s="291" t="s">
        <v>246</v>
      </c>
      <c r="C934" s="278" t="s">
        <v>26</v>
      </c>
      <c r="D934" s="262">
        <v>0</v>
      </c>
      <c r="E934" s="262">
        <v>0.12</v>
      </c>
      <c r="F934" s="262">
        <v>0.12</v>
      </c>
      <c r="G934" s="263">
        <v>1305</v>
      </c>
      <c r="H934" s="264" t="s">
        <v>29</v>
      </c>
      <c r="I934" s="245"/>
      <c r="J934" s="246"/>
      <c r="K934" s="246"/>
      <c r="L934" s="246"/>
      <c r="M934" s="246"/>
      <c r="N934" s="246"/>
      <c r="O934" s="246"/>
      <c r="P934" s="246"/>
      <c r="Q934" s="265"/>
      <c r="R934" s="263">
        <v>8068009006006</v>
      </c>
    </row>
    <row r="935" spans="1:32" x14ac:dyDescent="0.2">
      <c r="A935" s="300"/>
      <c r="B935" s="301"/>
      <c r="C935" s="278" t="s">
        <v>26</v>
      </c>
      <c r="D935" s="262">
        <v>0.12</v>
      </c>
      <c r="E935" s="262">
        <v>0.35499999999999998</v>
      </c>
      <c r="F935" s="262">
        <v>0.23499999999999999</v>
      </c>
      <c r="G935" s="263">
        <v>705</v>
      </c>
      <c r="H935" s="264" t="s">
        <v>70</v>
      </c>
      <c r="I935" s="245"/>
      <c r="J935" s="246"/>
      <c r="K935" s="246"/>
      <c r="L935" s="246"/>
      <c r="M935" s="246"/>
      <c r="N935" s="246"/>
      <c r="O935" s="246"/>
      <c r="P935" s="246"/>
      <c r="Q935" s="265">
        <v>80680090366</v>
      </c>
      <c r="R935" s="263">
        <v>80680090367</v>
      </c>
    </row>
    <row r="936" spans="1:32" x14ac:dyDescent="0.2">
      <c r="A936" s="302"/>
      <c r="B936" s="292"/>
      <c r="C936" s="278" t="s">
        <v>26</v>
      </c>
      <c r="D936" s="262">
        <v>0.35499999999999998</v>
      </c>
      <c r="E936" s="262">
        <v>0.435</v>
      </c>
      <c r="F936" s="262">
        <v>0.08</v>
      </c>
      <c r="G936" s="263">
        <v>240</v>
      </c>
      <c r="H936" s="264" t="s">
        <v>70</v>
      </c>
      <c r="I936" s="245"/>
      <c r="J936" s="246"/>
      <c r="K936" s="246"/>
      <c r="L936" s="246"/>
      <c r="M936" s="246"/>
      <c r="N936" s="246"/>
      <c r="O936" s="246"/>
      <c r="P936" s="246"/>
      <c r="Q936" s="265"/>
      <c r="R936" s="263">
        <v>80680090241001</v>
      </c>
    </row>
    <row r="937" spans="1:32" x14ac:dyDescent="0.2">
      <c r="A937" s="266">
        <v>4</v>
      </c>
      <c r="B937" s="293" t="s">
        <v>165</v>
      </c>
      <c r="C937" s="278" t="s">
        <v>26</v>
      </c>
      <c r="D937" s="262">
        <v>0</v>
      </c>
      <c r="E937" s="262">
        <v>0.16999999999999998</v>
      </c>
      <c r="F937" s="262">
        <v>0.16999999999999998</v>
      </c>
      <c r="G937" s="263">
        <v>913</v>
      </c>
      <c r="H937" s="264" t="s">
        <v>29</v>
      </c>
      <c r="I937" s="245"/>
      <c r="J937" s="246"/>
      <c r="K937" s="246"/>
      <c r="L937" s="246"/>
      <c r="M937" s="246"/>
      <c r="N937" s="246"/>
      <c r="O937" s="246"/>
      <c r="P937" s="246"/>
      <c r="Q937" s="265">
        <v>80680090365</v>
      </c>
      <c r="R937" s="265">
        <v>80680090365</v>
      </c>
    </row>
    <row r="938" spans="1:32" x14ac:dyDescent="0.2">
      <c r="A938" s="269"/>
      <c r="B938" s="298"/>
      <c r="C938" s="278" t="s">
        <v>26</v>
      </c>
      <c r="D938" s="262">
        <v>0.16999999999999998</v>
      </c>
      <c r="E938" s="262">
        <v>1.1099999999999999</v>
      </c>
      <c r="F938" s="262">
        <v>0.94</v>
      </c>
      <c r="G938" s="263">
        <v>3485</v>
      </c>
      <c r="H938" s="264" t="s">
        <v>27</v>
      </c>
      <c r="I938" s="245"/>
      <c r="J938" s="246"/>
      <c r="K938" s="246"/>
      <c r="L938" s="246"/>
      <c r="M938" s="246"/>
      <c r="N938" s="246"/>
      <c r="O938" s="246"/>
      <c r="P938" s="246"/>
      <c r="Q938" s="265">
        <v>80680090365</v>
      </c>
      <c r="R938" s="265">
        <v>80680090365</v>
      </c>
    </row>
    <row r="939" spans="1:32" ht="15" x14ac:dyDescent="0.25">
      <c r="A939" s="269">
        <v>5</v>
      </c>
      <c r="B939" s="303" t="s">
        <v>493</v>
      </c>
      <c r="C939" s="304" t="s">
        <v>26</v>
      </c>
      <c r="D939" s="262">
        <v>0</v>
      </c>
      <c r="E939" s="262">
        <v>0.20399999999999999</v>
      </c>
      <c r="F939" s="262">
        <v>0.20399999999999999</v>
      </c>
      <c r="G939" s="263">
        <v>714</v>
      </c>
      <c r="H939" s="264" t="s">
        <v>27</v>
      </c>
      <c r="I939" s="245"/>
      <c r="J939" s="246"/>
      <c r="K939" s="246"/>
      <c r="L939" s="246"/>
      <c r="M939" s="246"/>
      <c r="N939" s="246"/>
      <c r="O939" s="246"/>
      <c r="P939" s="246"/>
      <c r="Q939" s="265"/>
      <c r="R939" s="268" t="s">
        <v>494</v>
      </c>
      <c r="S939"/>
      <c r="T939"/>
      <c r="U939"/>
      <c r="V939"/>
      <c r="W939"/>
      <c r="X939"/>
      <c r="Y939"/>
      <c r="Z939"/>
      <c r="AA939" t="s">
        <v>211</v>
      </c>
      <c r="AB939"/>
      <c r="AC939"/>
      <c r="AD939"/>
      <c r="AE939"/>
      <c r="AF939"/>
    </row>
    <row r="940" spans="1:32" ht="22.5" x14ac:dyDescent="0.2">
      <c r="C940" s="1"/>
      <c r="K940" s="100" t="s">
        <v>213</v>
      </c>
      <c r="L940" s="243">
        <f>SUM(L929:L939)</f>
        <v>0</v>
      </c>
      <c r="M940" s="243">
        <f>SUM(M929:M939)</f>
        <v>0</v>
      </c>
      <c r="N940" s="92"/>
      <c r="O940" s="100" t="s">
        <v>214</v>
      </c>
      <c r="P940" s="243">
        <f>SUM(P929:P939)</f>
        <v>0</v>
      </c>
      <c r="T940" s="103" t="s">
        <v>215</v>
      </c>
      <c r="U940" s="103" t="s">
        <v>216</v>
      </c>
      <c r="V940" s="103" t="s">
        <v>217</v>
      </c>
      <c r="W940" s="103" t="s">
        <v>218</v>
      </c>
      <c r="X940" s="103" t="s">
        <v>219</v>
      </c>
      <c r="Y940" s="104" t="s">
        <v>214</v>
      </c>
      <c r="AA940" s="103" t="s">
        <v>215</v>
      </c>
      <c r="AB940" s="103" t="s">
        <v>216</v>
      </c>
      <c r="AC940" s="103" t="s">
        <v>217</v>
      </c>
      <c r="AD940" s="103" t="s">
        <v>218</v>
      </c>
      <c r="AE940" s="103" t="s">
        <v>219</v>
      </c>
      <c r="AF940" s="104" t="s">
        <v>214</v>
      </c>
    </row>
    <row r="941" spans="1:32" ht="12.75" customHeight="1" x14ac:dyDescent="0.2">
      <c r="A941" s="93" t="s">
        <v>495</v>
      </c>
      <c r="B941" s="94"/>
      <c r="C941" s="95"/>
      <c r="D941" s="94"/>
      <c r="E941" s="96"/>
      <c r="F941" s="97">
        <f>SUM(F929:F939)</f>
        <v>2.544</v>
      </c>
      <c r="G941" s="243">
        <f>SUM(G929:G939)</f>
        <v>10115</v>
      </c>
      <c r="H941" s="160"/>
      <c r="I941" s="16"/>
      <c r="J941" s="99"/>
      <c r="Q941" s="92"/>
      <c r="S941" s="102" t="s">
        <v>20</v>
      </c>
      <c r="T941" s="103" t="s">
        <v>23</v>
      </c>
      <c r="U941" s="103" t="s">
        <v>23</v>
      </c>
      <c r="V941" s="103" t="s">
        <v>23</v>
      </c>
      <c r="W941" s="103" t="s">
        <v>23</v>
      </c>
      <c r="X941" s="103" t="s">
        <v>23</v>
      </c>
      <c r="Y941" s="104" t="s">
        <v>23</v>
      </c>
      <c r="Z941" s="102"/>
      <c r="AA941" s="103" t="s">
        <v>23</v>
      </c>
      <c r="AB941" s="103" t="s">
        <v>23</v>
      </c>
      <c r="AC941" s="103" t="s">
        <v>23</v>
      </c>
      <c r="AD941" s="103" t="s">
        <v>23</v>
      </c>
      <c r="AE941" s="103" t="s">
        <v>23</v>
      </c>
      <c r="AF941" s="104" t="s">
        <v>23</v>
      </c>
    </row>
    <row r="942" spans="1:32" ht="12.75" customHeight="1" x14ac:dyDescent="0.2">
      <c r="A942" s="105" t="s">
        <v>221</v>
      </c>
      <c r="B942" s="106"/>
      <c r="C942" s="111"/>
      <c r="D942" s="106"/>
      <c r="E942" s="112"/>
      <c r="F942" s="107">
        <f>SUMIFS(F929:F939,H929:H939,"melnais")</f>
        <v>0.28999999999999998</v>
      </c>
      <c r="G942" s="244">
        <f>SUMIFS(G929:G939,H929:H939,"melnais")</f>
        <v>2218</v>
      </c>
      <c r="H942" s="163"/>
      <c r="I942" s="89"/>
      <c r="J942" s="92"/>
      <c r="K942" s="92"/>
      <c r="L942" s="115"/>
      <c r="M942" s="115"/>
      <c r="N942" s="92"/>
      <c r="O942" s="92"/>
      <c r="P942" s="92"/>
      <c r="Q942" s="92"/>
      <c r="S942" s="116" t="s">
        <v>222</v>
      </c>
      <c r="T942" s="117">
        <f>SUMIFS(F920:F939,C920:C939,"A",H920:H939,"melnais")</f>
        <v>0</v>
      </c>
      <c r="U942" s="117">
        <f>SUMIFS(F920:F939,C920:C939,"A",H920:H939,"dubultā virsma")</f>
        <v>0</v>
      </c>
      <c r="V942" s="117">
        <f>SUMIFS(F920:F939,C920:C939,"A",H920:H939,"bruģis")</f>
        <v>0</v>
      </c>
      <c r="W942" s="117">
        <f>SUMIFS(F920:F939,C920:C939,"A",H920:H939,"grants")</f>
        <v>0</v>
      </c>
      <c r="X942" s="117">
        <f>SUMIFS(F920:F939,C920:C939,"A",H920:H939,"cits segums")</f>
        <v>0</v>
      </c>
      <c r="Y942" s="117">
        <f>SUM(T942:X942)</f>
        <v>0</v>
      </c>
      <c r="Z942" s="116" t="s">
        <v>222</v>
      </c>
      <c r="AA942" s="117">
        <f>SUMIFS(F920:F939,C920:C939,"A",H920:H939,"melnais", Q920:Q939,"Nepiederošs")</f>
        <v>0</v>
      </c>
      <c r="AB942" s="117">
        <f>SUMIFS(F920:F939,C920:C939,"A",H920:H939,"dubultā virsma", Q920:Q939,"Nepiederošs")</f>
        <v>0</v>
      </c>
      <c r="AC942" s="117">
        <f>SUMIFS(F920:F939,C920:C939,"A",H920:H939,"bruģis", Q920:Q939,"Nepiederošs")</f>
        <v>0</v>
      </c>
      <c r="AD942" s="117">
        <f>SUMIFS(F920:F939,C920:C939,"A",H920:H939,"grants", Q920:Q939,"Nepiederošs")</f>
        <v>0</v>
      </c>
      <c r="AE942" s="117">
        <f>SUMIFS(F920:F939,C920:C939,"A",H920:H939,"cits segums", Q920:Q939,"Nepiederošs")</f>
        <v>0</v>
      </c>
      <c r="AF942" s="117">
        <f>SUM(AA942:AE942)</f>
        <v>0</v>
      </c>
    </row>
    <row r="943" spans="1:32" ht="12.75" customHeight="1" x14ac:dyDescent="0.2">
      <c r="A943" s="105" t="s">
        <v>223</v>
      </c>
      <c r="B943" s="106"/>
      <c r="C943" s="111"/>
      <c r="D943" s="106"/>
      <c r="E943" s="112"/>
      <c r="F943" s="107">
        <f>SUMIFS(F929:F939,H929:H939,"bruģis")</f>
        <v>0</v>
      </c>
      <c r="G943" s="244">
        <f>SUMIFS(G929:G939,H929:H939,"bruģis")</f>
        <v>0</v>
      </c>
      <c r="I943" s="16"/>
      <c r="J943" s="92"/>
      <c r="N943" s="92"/>
      <c r="O943" s="92"/>
      <c r="P943" s="92"/>
      <c r="Q943" s="92"/>
      <c r="S943" s="120" t="s">
        <v>39</v>
      </c>
      <c r="T943" s="117">
        <f>SUMIFS(F920:F939,C920:C939,"B",H920:H939,"melnais")</f>
        <v>0</v>
      </c>
      <c r="U943" s="117">
        <f>SUMIFS(F920:F939,C920:C939,"B",H920:H939,"dubultā virsma")</f>
        <v>0</v>
      </c>
      <c r="V943" s="117">
        <f>SUMIFS(F920:F939,C920:C939,"B",H920:H939,"bruģis")</f>
        <v>0</v>
      </c>
      <c r="W943" s="117">
        <f>SUMIFS(F920:F939,C920:C939,"B",H920:H939,"grants")</f>
        <v>0</v>
      </c>
      <c r="X943" s="117">
        <f>SUMIFS(F920:F939,C920:C939,"B",H920:H939,"cits segums")</f>
        <v>0</v>
      </c>
      <c r="Y943" s="117">
        <f t="shared" ref="Y943:Y945" si="131">SUM(T943:X943)</f>
        <v>0</v>
      </c>
      <c r="Z943" s="120" t="s">
        <v>39</v>
      </c>
      <c r="AA943" s="117">
        <f>SUMIFS(F920:F939,C920:C939,"B",H920:H939,"melnais", Q920:Q939,"Nepiederošs")</f>
        <v>0</v>
      </c>
      <c r="AB943" s="117">
        <f>SUMIFS(F920:F939,C920:C939,"B",H920:H939,"dubultā virsma", Q920:Q939,"Nepiederošs")</f>
        <v>0</v>
      </c>
      <c r="AC943" s="117">
        <f>SUMIFS(F920:F939,C920:C939,"B",H920:H939,"bruģis", Q920:Q939,"Nepiederošs")</f>
        <v>0</v>
      </c>
      <c r="AD943" s="117">
        <f>SUMIFS(F920:F939,C920:C939,"B",H920:H939,"grants", Q920:Q939,"Nepiederošs")</f>
        <v>0</v>
      </c>
      <c r="AE943" s="117">
        <f>SUMIFS(F920:F939,C920:C939,"B",H920:H939,"cits segums", Q920:Q939,"Nepiederošs")</f>
        <v>0</v>
      </c>
      <c r="AF943" s="117">
        <f t="shared" ref="AF943:AF945" si="132">SUM(AA943:AE943)</f>
        <v>0</v>
      </c>
    </row>
    <row r="944" spans="1:32" ht="12.75" customHeight="1" x14ac:dyDescent="0.2">
      <c r="A944" s="105" t="s">
        <v>224</v>
      </c>
      <c r="B944" s="106"/>
      <c r="C944" s="111"/>
      <c r="D944" s="106"/>
      <c r="E944" s="112"/>
      <c r="F944" s="107">
        <f>SUMIFS(F929:F939,H929:H939,"grants")</f>
        <v>1.764</v>
      </c>
      <c r="G944" s="244">
        <f>SUMIFS(G929:G939,H929:H939,"grants")</f>
        <v>6427</v>
      </c>
      <c r="I944" s="16"/>
      <c r="J944" s="92"/>
      <c r="N944" s="92"/>
      <c r="O944" s="92"/>
      <c r="P944" s="92"/>
      <c r="Q944" s="92"/>
      <c r="S944" s="121" t="s">
        <v>34</v>
      </c>
      <c r="T944" s="117">
        <f>SUMIFS(F920:F939,C920:C939,"C",H920:H939,"melnais")</f>
        <v>0</v>
      </c>
      <c r="U944" s="117">
        <f>SUMIFS(F920:F939,C920:C939,"C",H920:H939,"dubultā virsma")</f>
        <v>0</v>
      </c>
      <c r="V944" s="117">
        <f>SUMIFS(F920:F939,C920:C939,"C",H920:H939,"bruģis")</f>
        <v>0</v>
      </c>
      <c r="W944" s="117">
        <f>SUMIFS(F920:F939,C920:C939,"C",H920:H939,"grants")</f>
        <v>0</v>
      </c>
      <c r="X944" s="117">
        <f>SUMIFS(F920:F939,C920:C939,"C",H920:H939,"cits segums")</f>
        <v>0</v>
      </c>
      <c r="Y944" s="117">
        <f t="shared" si="131"/>
        <v>0</v>
      </c>
      <c r="Z944" s="121" t="s">
        <v>34</v>
      </c>
      <c r="AA944" s="117">
        <f>SUMIFS(F920:F939,C920:C939,"C",H920:H939,"melnais", Q920:Q939,"Nepiederošs")</f>
        <v>0</v>
      </c>
      <c r="AB944" s="117">
        <f>SUMIFS(F920:F939,C920:C939,"C",H920:H939,"dubultā virsma", Q920:Q939,"Nepiederošs")</f>
        <v>0</v>
      </c>
      <c r="AC944" s="117">
        <f>SUMIFS(F920:F939,C920:C939,"C",H920:H939,"bruģis", Q920:Q939,"Nepiederošs")</f>
        <v>0</v>
      </c>
      <c r="AD944" s="117">
        <f>SUMIFS(F920:F939,C920:C939,"C",H920:H939,"grants", Q920:Q939,"Nepiederošs")</f>
        <v>0</v>
      </c>
      <c r="AE944" s="117">
        <f>SUMIFS(F920:F939,C920:C939,"C",H920:H939,"cits segums", Q920:Q939,"Nepiederošs")</f>
        <v>0</v>
      </c>
      <c r="AF944" s="117">
        <f t="shared" si="132"/>
        <v>0</v>
      </c>
    </row>
    <row r="945" spans="1:32" ht="12.75" customHeight="1" x14ac:dyDescent="0.2">
      <c r="A945" s="105" t="s">
        <v>225</v>
      </c>
      <c r="B945" s="106"/>
      <c r="C945" s="111"/>
      <c r="D945" s="106"/>
      <c r="E945" s="112"/>
      <c r="F945" s="107">
        <f>SUMIFS(F929:F939,H929:H939,"cits segums")</f>
        <v>0.49</v>
      </c>
      <c r="G945" s="244">
        <f>SUMIFS(G929:G939,H929:H939,"cits segums")</f>
        <v>1470</v>
      </c>
      <c r="H945" s="89"/>
      <c r="I945" s="16"/>
      <c r="J945" s="122"/>
      <c r="N945" s="92"/>
      <c r="O945" s="92"/>
      <c r="P945" s="92"/>
      <c r="Q945" s="92"/>
      <c r="S945" s="116" t="s">
        <v>26</v>
      </c>
      <c r="T945" s="117">
        <f>SUMIFS(F920:F939,C920:C939,"D",H920:H939,"melnais")</f>
        <v>0.28999999999999998</v>
      </c>
      <c r="U945" s="117">
        <f>SUMIFS(F920:F939,C920:C939,"D",H920:H939,"dubultā virsma")</f>
        <v>0</v>
      </c>
      <c r="V945" s="117">
        <f>SUMIFS(F920:F939,C920:C939,"D",H920:H939,"bruģis")</f>
        <v>0</v>
      </c>
      <c r="W945" s="117">
        <f>SUMIFS(F920:F939,C920:C939,"D",H920:H939,"grants")</f>
        <v>1.764</v>
      </c>
      <c r="X945" s="117">
        <f>SUMIFS(F920:F939,C920:C939,"D",H920:H939,"cits segums")</f>
        <v>0.49</v>
      </c>
      <c r="Y945" s="117">
        <f t="shared" si="131"/>
        <v>2.5439999999999996</v>
      </c>
      <c r="Z945" s="116" t="s">
        <v>26</v>
      </c>
      <c r="AA945" s="117">
        <f>SUMIFS(F920:F939,C920:C939,"D",H920:H939,"melnais", Q920:Q939,"Nepiederošs")</f>
        <v>0</v>
      </c>
      <c r="AB945" s="117">
        <f>SUMIFS(F920:F939,C920:C939,"D",H920:H939,"dubultā virsma", Q920:Q939,"Nepiederošs")</f>
        <v>0</v>
      </c>
      <c r="AC945" s="117">
        <f>SUMIFS(F920:F939,C920:C939,"D",H920:H939,"bruģis", Q920:Q939,"Nepiederošs")</f>
        <v>0</v>
      </c>
      <c r="AD945" s="117">
        <f>SUMIFS(F920:F939,C920:C939,"D",H920:H939,"grants", Q920:Q939,"Nepiederošs")</f>
        <v>0</v>
      </c>
      <c r="AE945" s="117">
        <f>SUMIFS(F920:F939,C920:C939,"D",H920:H939,"cits segums", Q920:Q939,"Nepiederošs")</f>
        <v>0</v>
      </c>
      <c r="AF945" s="117">
        <f t="shared" si="132"/>
        <v>0</v>
      </c>
    </row>
    <row r="946" spans="1:32" ht="15" x14ac:dyDescent="0.25">
      <c r="C946" s="1"/>
      <c r="S946" s="172"/>
      <c r="T946" s="126">
        <f>SUM(T942:T945)</f>
        <v>0.28999999999999998</v>
      </c>
      <c r="U946" s="126">
        <f t="shared" ref="U946:Y946" si="133">SUM(U942:U945)</f>
        <v>0</v>
      </c>
      <c r="V946" s="126">
        <f t="shared" si="133"/>
        <v>0</v>
      </c>
      <c r="W946" s="126">
        <f t="shared" si="133"/>
        <v>1.764</v>
      </c>
      <c r="X946" s="126">
        <f t="shared" si="133"/>
        <v>0.49</v>
      </c>
      <c r="Y946" s="126">
        <f t="shared" si="133"/>
        <v>2.5439999999999996</v>
      </c>
      <c r="Z946"/>
      <c r="AA946" s="126">
        <f>SUM(AA942:AA945)</f>
        <v>0</v>
      </c>
      <c r="AB946" s="126">
        <f t="shared" ref="AB946" si="134">SUM(AB942:AB945)</f>
        <v>0</v>
      </c>
      <c r="AC946" s="126">
        <f>SUM(AC942:AC945)</f>
        <v>0</v>
      </c>
      <c r="AD946" s="126">
        <f t="shared" ref="AD946:AF946" si="135">SUM(AD942:AD945)</f>
        <v>0</v>
      </c>
      <c r="AE946" s="126">
        <f t="shared" si="135"/>
        <v>0</v>
      </c>
      <c r="AF946" s="126">
        <f t="shared" si="135"/>
        <v>0</v>
      </c>
    </row>
    <row r="947" spans="1:32" s="2" customFormat="1" ht="15" customHeight="1" x14ac:dyDescent="0.25">
      <c r="A947" s="1"/>
      <c r="C947" s="1"/>
      <c r="D947" s="6" t="s">
        <v>496</v>
      </c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4"/>
      <c r="R947" s="7"/>
    </row>
    <row r="948" spans="1:32" ht="12.75" customHeight="1" x14ac:dyDescent="0.2">
      <c r="A948" s="8" t="s">
        <v>2</v>
      </c>
      <c r="B948" s="9" t="s">
        <v>3</v>
      </c>
      <c r="C948" s="10"/>
      <c r="D948" s="11" t="s">
        <v>4</v>
      </c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3"/>
      <c r="Q948" s="14" t="s">
        <v>5</v>
      </c>
      <c r="R948" s="15"/>
    </row>
    <row r="949" spans="1:32" ht="12.75" customHeight="1" x14ac:dyDescent="0.2">
      <c r="A949" s="8"/>
      <c r="B949" s="9"/>
      <c r="C949" s="17"/>
      <c r="D949" s="9" t="s">
        <v>6</v>
      </c>
      <c r="E949" s="9"/>
      <c r="F949" s="9"/>
      <c r="G949" s="9"/>
      <c r="H949" s="9"/>
      <c r="I949" s="18" t="s">
        <v>7</v>
      </c>
      <c r="J949" s="18"/>
      <c r="K949" s="18"/>
      <c r="L949" s="18"/>
      <c r="M949" s="18"/>
      <c r="N949" s="18"/>
      <c r="O949" s="18"/>
      <c r="P949" s="19" t="s">
        <v>8</v>
      </c>
      <c r="Q949" s="20"/>
      <c r="R949" s="21"/>
    </row>
    <row r="950" spans="1:32" ht="15.2" customHeight="1" x14ac:dyDescent="0.2">
      <c r="A950" s="8"/>
      <c r="B950" s="9"/>
      <c r="C950" s="17"/>
      <c r="D950" s="9" t="s">
        <v>9</v>
      </c>
      <c r="E950" s="9"/>
      <c r="F950" s="8" t="s">
        <v>10</v>
      </c>
      <c r="G950" s="8" t="s">
        <v>11</v>
      </c>
      <c r="H950" s="8" t="s">
        <v>12</v>
      </c>
      <c r="I950" s="18" t="s">
        <v>13</v>
      </c>
      <c r="J950" s="18" t="s">
        <v>14</v>
      </c>
      <c r="K950" s="18"/>
      <c r="L950" s="22" t="s">
        <v>15</v>
      </c>
      <c r="M950" s="22" t="s">
        <v>11</v>
      </c>
      <c r="N950" s="22" t="s">
        <v>16</v>
      </c>
      <c r="O950" s="22" t="s">
        <v>17</v>
      </c>
      <c r="P950" s="23"/>
      <c r="Q950" s="23" t="s">
        <v>18</v>
      </c>
      <c r="R950" s="24" t="s">
        <v>19</v>
      </c>
    </row>
    <row r="951" spans="1:32" ht="33.75" customHeight="1" x14ac:dyDescent="0.2">
      <c r="A951" s="8"/>
      <c r="B951" s="9"/>
      <c r="C951" s="25" t="s">
        <v>20</v>
      </c>
      <c r="D951" s="26" t="s">
        <v>21</v>
      </c>
      <c r="E951" s="26" t="s">
        <v>22</v>
      </c>
      <c r="F951" s="8"/>
      <c r="G951" s="8"/>
      <c r="H951" s="8"/>
      <c r="I951" s="18"/>
      <c r="J951" s="27" t="s">
        <v>23</v>
      </c>
      <c r="K951" s="27" t="s">
        <v>24</v>
      </c>
      <c r="L951" s="22"/>
      <c r="M951" s="22"/>
      <c r="N951" s="22"/>
      <c r="O951" s="22"/>
      <c r="P951" s="28"/>
      <c r="Q951" s="28"/>
      <c r="R951" s="29"/>
    </row>
    <row r="952" spans="1:32" s="32" customFormat="1" ht="12" customHeight="1" x14ac:dyDescent="0.25">
      <c r="A952" s="173">
        <v>1</v>
      </c>
      <c r="B952" s="173">
        <v>2</v>
      </c>
      <c r="C952" s="173"/>
      <c r="D952" s="173">
        <v>3</v>
      </c>
      <c r="E952" s="173">
        <v>4</v>
      </c>
      <c r="F952" s="173">
        <v>5</v>
      </c>
      <c r="G952" s="173">
        <v>6</v>
      </c>
      <c r="H952" s="173">
        <v>7</v>
      </c>
      <c r="I952" s="174">
        <v>8</v>
      </c>
      <c r="J952" s="174">
        <v>9</v>
      </c>
      <c r="K952" s="174">
        <v>10</v>
      </c>
      <c r="L952" s="174">
        <v>11</v>
      </c>
      <c r="M952" s="174">
        <v>12</v>
      </c>
      <c r="N952" s="174">
        <v>13</v>
      </c>
      <c r="O952" s="174">
        <v>14</v>
      </c>
      <c r="P952" s="174">
        <v>15</v>
      </c>
      <c r="Q952" s="174">
        <v>16</v>
      </c>
      <c r="R952" s="173">
        <v>17</v>
      </c>
    </row>
    <row r="953" spans="1:32" x14ac:dyDescent="0.2">
      <c r="A953" s="259">
        <v>1</v>
      </c>
      <c r="B953" s="260" t="s">
        <v>497</v>
      </c>
      <c r="C953" s="261" t="s">
        <v>26</v>
      </c>
      <c r="D953" s="262">
        <v>0</v>
      </c>
      <c r="E953" s="262">
        <v>0.40400000000000003</v>
      </c>
      <c r="F953" s="262">
        <v>0.40400000000000003</v>
      </c>
      <c r="G953" s="263">
        <v>1939</v>
      </c>
      <c r="H953" s="264" t="s">
        <v>29</v>
      </c>
      <c r="I953" s="245"/>
      <c r="J953" s="246"/>
      <c r="K953" s="246"/>
      <c r="L953" s="246"/>
      <c r="M953" s="246"/>
      <c r="N953" s="246"/>
      <c r="O953" s="246"/>
      <c r="P953" s="246"/>
      <c r="Q953" s="259">
        <v>66560020706</v>
      </c>
      <c r="R953" s="259">
        <v>66560020706</v>
      </c>
    </row>
    <row r="954" spans="1:32" x14ac:dyDescent="0.2">
      <c r="A954" s="259">
        <v>2</v>
      </c>
      <c r="B954" s="285" t="s">
        <v>100</v>
      </c>
      <c r="C954" s="278" t="s">
        <v>26</v>
      </c>
      <c r="D954" s="262">
        <v>0</v>
      </c>
      <c r="E954" s="262">
        <v>0.41799999999999998</v>
      </c>
      <c r="F954" s="262">
        <v>0.41799999999999998</v>
      </c>
      <c r="G954" s="263">
        <v>2299</v>
      </c>
      <c r="H954" s="264" t="s">
        <v>29</v>
      </c>
      <c r="I954" s="245"/>
      <c r="J954" s="246"/>
      <c r="K954" s="246"/>
      <c r="L954" s="246"/>
      <c r="M954" s="246"/>
      <c r="N954" s="246"/>
      <c r="O954" s="246"/>
      <c r="P954" s="246"/>
      <c r="Q954" s="259">
        <v>66560020563</v>
      </c>
      <c r="R954" s="259">
        <v>66560020563</v>
      </c>
    </row>
    <row r="955" spans="1:32" x14ac:dyDescent="0.2">
      <c r="A955" s="266">
        <v>3</v>
      </c>
      <c r="B955" s="293" t="s">
        <v>498</v>
      </c>
      <c r="C955" s="278" t="s">
        <v>26</v>
      </c>
      <c r="D955" s="262">
        <v>0</v>
      </c>
      <c r="E955" s="262">
        <v>0.2</v>
      </c>
      <c r="F955" s="262">
        <v>0.2</v>
      </c>
      <c r="G955" s="263">
        <v>700</v>
      </c>
      <c r="H955" s="264" t="s">
        <v>27</v>
      </c>
      <c r="I955" s="245"/>
      <c r="J955" s="246"/>
      <c r="K955" s="246"/>
      <c r="L955" s="246"/>
      <c r="M955" s="246"/>
      <c r="N955" s="246"/>
      <c r="O955" s="246"/>
      <c r="P955" s="246"/>
      <c r="Q955" s="259">
        <v>66560020615</v>
      </c>
      <c r="R955" s="259">
        <v>66560020615</v>
      </c>
    </row>
    <row r="956" spans="1:32" x14ac:dyDescent="0.2">
      <c r="A956" s="269"/>
      <c r="B956" s="298"/>
      <c r="C956" s="278" t="s">
        <v>26</v>
      </c>
      <c r="D956" s="262">
        <v>0.2</v>
      </c>
      <c r="E956" s="262">
        <v>0.23</v>
      </c>
      <c r="F956" s="262">
        <v>0.03</v>
      </c>
      <c r="G956" s="263">
        <v>90</v>
      </c>
      <c r="H956" s="264" t="s">
        <v>70</v>
      </c>
      <c r="I956" s="245"/>
      <c r="J956" s="246"/>
      <c r="K956" s="246"/>
      <c r="L956" s="246"/>
      <c r="M956" s="246"/>
      <c r="N956" s="246"/>
      <c r="O956" s="246"/>
      <c r="P956" s="246"/>
      <c r="Q956" s="305">
        <v>66560020615</v>
      </c>
      <c r="R956" s="305">
        <v>66560020615</v>
      </c>
    </row>
    <row r="957" spans="1:32" x14ac:dyDescent="0.2">
      <c r="A957" s="266">
        <v>4</v>
      </c>
      <c r="B957" s="293" t="s">
        <v>112</v>
      </c>
      <c r="C957" s="278" t="s">
        <v>26</v>
      </c>
      <c r="D957" s="262">
        <v>0</v>
      </c>
      <c r="E957" s="262">
        <v>0.18</v>
      </c>
      <c r="F957" s="262">
        <v>0.18</v>
      </c>
      <c r="G957" s="263">
        <v>540</v>
      </c>
      <c r="H957" s="264" t="s">
        <v>27</v>
      </c>
      <c r="I957" s="245"/>
      <c r="J957" s="246"/>
      <c r="K957" s="246"/>
      <c r="L957" s="246"/>
      <c r="M957" s="246"/>
      <c r="N957" s="246"/>
      <c r="O957" s="246"/>
      <c r="P957" s="246"/>
      <c r="Q957" s="259">
        <v>66560020616</v>
      </c>
      <c r="R957" s="259">
        <v>66560020616</v>
      </c>
    </row>
    <row r="958" spans="1:32" x14ac:dyDescent="0.2">
      <c r="A958" s="269"/>
      <c r="B958" s="298"/>
      <c r="C958" s="278" t="s">
        <v>26</v>
      </c>
      <c r="D958" s="262">
        <v>0.18</v>
      </c>
      <c r="E958" s="262">
        <v>0.39</v>
      </c>
      <c r="F958" s="262">
        <v>0.21</v>
      </c>
      <c r="G958" s="263">
        <v>630</v>
      </c>
      <c r="H958" s="264" t="s">
        <v>70</v>
      </c>
      <c r="I958" s="245"/>
      <c r="J958" s="246"/>
      <c r="K958" s="246"/>
      <c r="L958" s="246"/>
      <c r="M958" s="246"/>
      <c r="N958" s="246"/>
      <c r="O958" s="246"/>
      <c r="P958" s="246"/>
      <c r="Q958" s="305">
        <v>66560020616</v>
      </c>
      <c r="R958" s="305">
        <v>66560020616</v>
      </c>
    </row>
    <row r="959" spans="1:32" x14ac:dyDescent="0.2">
      <c r="A959" s="266">
        <v>5</v>
      </c>
      <c r="B959" s="293" t="s">
        <v>119</v>
      </c>
      <c r="C959" s="278" t="s">
        <v>26</v>
      </c>
      <c r="D959" s="262">
        <v>0</v>
      </c>
      <c r="E959" s="262">
        <v>0.25</v>
      </c>
      <c r="F959" s="262">
        <v>0.25</v>
      </c>
      <c r="G959" s="263">
        <v>1146</v>
      </c>
      <c r="H959" s="264" t="s">
        <v>29</v>
      </c>
      <c r="I959" s="245"/>
      <c r="J959" s="246"/>
      <c r="K959" s="246"/>
      <c r="L959" s="246"/>
      <c r="M959" s="246"/>
      <c r="N959" s="246"/>
      <c r="O959" s="246"/>
      <c r="P959" s="246"/>
      <c r="Q959" s="259">
        <v>66560020704</v>
      </c>
      <c r="R959" s="259">
        <v>66560020704</v>
      </c>
    </row>
    <row r="960" spans="1:32" x14ac:dyDescent="0.2">
      <c r="A960" s="269"/>
      <c r="B960" s="298"/>
      <c r="C960" s="278" t="s">
        <v>26</v>
      </c>
      <c r="D960" s="262">
        <v>0.25</v>
      </c>
      <c r="E960" s="262">
        <v>0.28999999999999998</v>
      </c>
      <c r="F960" s="262">
        <v>0.04</v>
      </c>
      <c r="G960" s="263">
        <v>120</v>
      </c>
      <c r="H960" s="264" t="s">
        <v>70</v>
      </c>
      <c r="I960" s="245"/>
      <c r="J960" s="246"/>
      <c r="K960" s="246"/>
      <c r="L960" s="246"/>
      <c r="M960" s="246"/>
      <c r="N960" s="246"/>
      <c r="O960" s="246"/>
      <c r="P960" s="246"/>
      <c r="Q960" s="305">
        <v>66560020704</v>
      </c>
      <c r="R960" s="305">
        <v>66560020704</v>
      </c>
    </row>
    <row r="961" spans="1:32" x14ac:dyDescent="0.2">
      <c r="A961" s="305">
        <v>6</v>
      </c>
      <c r="B961" s="306" t="s">
        <v>499</v>
      </c>
      <c r="C961" s="278" t="s">
        <v>26</v>
      </c>
      <c r="D961" s="262">
        <v>0</v>
      </c>
      <c r="E961" s="262">
        <v>0.18</v>
      </c>
      <c r="F961" s="262">
        <v>0.18</v>
      </c>
      <c r="G961" s="263">
        <v>540</v>
      </c>
      <c r="H961" s="264" t="s">
        <v>29</v>
      </c>
      <c r="I961" s="245"/>
      <c r="J961" s="246"/>
      <c r="K961" s="246"/>
      <c r="L961" s="246"/>
      <c r="M961" s="246"/>
      <c r="N961" s="246"/>
      <c r="O961" s="246"/>
      <c r="P961" s="246"/>
      <c r="Q961" s="305">
        <v>66560020563</v>
      </c>
      <c r="R961" s="305">
        <v>66560020563</v>
      </c>
    </row>
    <row r="962" spans="1:32" x14ac:dyDescent="0.2">
      <c r="A962" s="266">
        <v>7</v>
      </c>
      <c r="B962" s="267" t="s">
        <v>400</v>
      </c>
      <c r="C962" s="278" t="s">
        <v>26</v>
      </c>
      <c r="D962" s="262">
        <v>0</v>
      </c>
      <c r="E962" s="262">
        <v>0.13500000000000001</v>
      </c>
      <c r="F962" s="262">
        <v>0.13500000000000001</v>
      </c>
      <c r="G962" s="263">
        <v>405</v>
      </c>
      <c r="H962" s="264" t="s">
        <v>27</v>
      </c>
      <c r="I962" s="245"/>
      <c r="J962" s="246"/>
      <c r="K962" s="246"/>
      <c r="L962" s="246"/>
      <c r="M962" s="246"/>
      <c r="N962" s="246"/>
      <c r="O962" s="246"/>
      <c r="P962" s="246"/>
      <c r="Q962" s="259">
        <v>66560020564</v>
      </c>
      <c r="R962" s="259">
        <v>66560020564</v>
      </c>
    </row>
    <row r="963" spans="1:32" x14ac:dyDescent="0.2">
      <c r="A963" s="273"/>
      <c r="B963" s="289"/>
      <c r="C963" s="278" t="s">
        <v>26</v>
      </c>
      <c r="D963" s="262">
        <v>0.13500000000000001</v>
      </c>
      <c r="E963" s="262">
        <v>0.32500000000000001</v>
      </c>
      <c r="F963" s="262">
        <v>0.19</v>
      </c>
      <c r="G963" s="263">
        <f>665+217</f>
        <v>882</v>
      </c>
      <c r="H963" s="264" t="s">
        <v>29</v>
      </c>
      <c r="I963" s="245"/>
      <c r="J963" s="246"/>
      <c r="K963" s="246"/>
      <c r="L963" s="246"/>
      <c r="M963" s="246"/>
      <c r="N963" s="246"/>
      <c r="O963" s="246"/>
      <c r="P963" s="246"/>
      <c r="Q963" s="307">
        <v>66560020564</v>
      </c>
      <c r="R963" s="307">
        <v>66560020564</v>
      </c>
    </row>
    <row r="964" spans="1:32" x14ac:dyDescent="0.2">
      <c r="A964" s="273"/>
      <c r="B964" s="289"/>
      <c r="C964" s="278" t="s">
        <v>26</v>
      </c>
      <c r="D964" s="262">
        <v>0.32500000000000001</v>
      </c>
      <c r="E964" s="262">
        <v>0.375</v>
      </c>
      <c r="F964" s="262">
        <v>0.05</v>
      </c>
      <c r="G964" s="263">
        <v>200</v>
      </c>
      <c r="H964" s="264" t="s">
        <v>27</v>
      </c>
      <c r="I964" s="245"/>
      <c r="J964" s="246"/>
      <c r="K964" s="246"/>
      <c r="L964" s="246"/>
      <c r="M964" s="246"/>
      <c r="N964" s="246"/>
      <c r="O964" s="246"/>
      <c r="P964" s="246"/>
      <c r="Q964" s="307">
        <v>66560020564</v>
      </c>
      <c r="R964" s="307">
        <v>66560020564</v>
      </c>
    </row>
    <row r="965" spans="1:32" x14ac:dyDescent="0.2">
      <c r="A965" s="269"/>
      <c r="B965" s="270"/>
      <c r="C965" s="278" t="s">
        <v>26</v>
      </c>
      <c r="D965" s="262">
        <v>0.375</v>
      </c>
      <c r="E965" s="262">
        <v>0.43</v>
      </c>
      <c r="F965" s="262">
        <v>5.5E-2</v>
      </c>
      <c r="G965" s="263">
        <v>220</v>
      </c>
      <c r="H965" s="264" t="s">
        <v>27</v>
      </c>
      <c r="I965" s="245"/>
      <c r="J965" s="246"/>
      <c r="K965" s="246"/>
      <c r="L965" s="246"/>
      <c r="M965" s="246"/>
      <c r="N965" s="246"/>
      <c r="O965" s="246"/>
      <c r="P965" s="246"/>
      <c r="Q965" s="305"/>
      <c r="R965" s="308" t="s">
        <v>500</v>
      </c>
    </row>
    <row r="966" spans="1:32" x14ac:dyDescent="0.2">
      <c r="A966" s="305">
        <v>8</v>
      </c>
      <c r="B966" s="306" t="s">
        <v>158</v>
      </c>
      <c r="C966" s="278" t="s">
        <v>26</v>
      </c>
      <c r="D966" s="262">
        <v>0</v>
      </c>
      <c r="E966" s="262">
        <v>0.15</v>
      </c>
      <c r="F966" s="262">
        <v>0.15</v>
      </c>
      <c r="G966" s="263">
        <v>600</v>
      </c>
      <c r="H966" s="264" t="s">
        <v>27</v>
      </c>
      <c r="I966" s="245"/>
      <c r="J966" s="246"/>
      <c r="K966" s="246"/>
      <c r="L966" s="246"/>
      <c r="M966" s="246"/>
      <c r="N966" s="246"/>
      <c r="O966" s="246"/>
      <c r="P966" s="246"/>
      <c r="Q966" s="305">
        <v>66560020546</v>
      </c>
      <c r="R966" s="305">
        <v>66560020546</v>
      </c>
    </row>
    <row r="967" spans="1:32" x14ac:dyDescent="0.2">
      <c r="A967" s="273">
        <v>9</v>
      </c>
      <c r="B967" s="289" t="s">
        <v>392</v>
      </c>
      <c r="C967" s="278" t="s">
        <v>26</v>
      </c>
      <c r="D967" s="262">
        <v>0</v>
      </c>
      <c r="E967" s="262">
        <v>0.23</v>
      </c>
      <c r="F967" s="262">
        <v>0.23</v>
      </c>
      <c r="G967" s="263">
        <v>1449</v>
      </c>
      <c r="H967" s="264" t="s">
        <v>29</v>
      </c>
      <c r="I967" s="245"/>
      <c r="J967" s="246"/>
      <c r="K967" s="246"/>
      <c r="L967" s="246"/>
      <c r="M967" s="246"/>
      <c r="N967" s="246"/>
      <c r="O967" s="246"/>
      <c r="P967" s="246"/>
      <c r="Q967" s="309">
        <v>66560020553</v>
      </c>
      <c r="R967" s="309">
        <v>66560020553</v>
      </c>
    </row>
    <row r="968" spans="1:32" x14ac:dyDescent="0.2">
      <c r="A968" s="273"/>
      <c r="B968" s="289"/>
      <c r="C968" s="278" t="s">
        <v>26</v>
      </c>
      <c r="D968" s="262">
        <v>0.23</v>
      </c>
      <c r="E968" s="262">
        <v>0.64</v>
      </c>
      <c r="F968" s="262">
        <v>0.41</v>
      </c>
      <c r="G968" s="263">
        <v>2255</v>
      </c>
      <c r="H968" s="264" t="s">
        <v>27</v>
      </c>
      <c r="I968" s="245"/>
      <c r="J968" s="246"/>
      <c r="K968" s="246"/>
      <c r="L968" s="246"/>
      <c r="M968" s="246"/>
      <c r="N968" s="246"/>
      <c r="O968" s="246"/>
      <c r="P968" s="246"/>
      <c r="Q968" s="309">
        <v>66560020553</v>
      </c>
      <c r="R968" s="309">
        <v>66560020553</v>
      </c>
    </row>
    <row r="969" spans="1:32" x14ac:dyDescent="0.2">
      <c r="A969" s="266">
        <v>10</v>
      </c>
      <c r="B969" s="293" t="s">
        <v>320</v>
      </c>
      <c r="C969" s="278" t="s">
        <v>26</v>
      </c>
      <c r="D969" s="262">
        <v>0</v>
      </c>
      <c r="E969" s="262">
        <v>0.06</v>
      </c>
      <c r="F969" s="262">
        <v>0.06</v>
      </c>
      <c r="G969" s="263">
        <v>330</v>
      </c>
      <c r="H969" s="264" t="s">
        <v>29</v>
      </c>
      <c r="I969" s="245"/>
      <c r="J969" s="246"/>
      <c r="K969" s="246"/>
      <c r="L969" s="246"/>
      <c r="M969" s="246"/>
      <c r="N969" s="246"/>
      <c r="O969" s="246"/>
      <c r="P969" s="246"/>
      <c r="Q969" s="259">
        <v>66560020724</v>
      </c>
      <c r="R969" s="259">
        <v>66560020724</v>
      </c>
    </row>
    <row r="970" spans="1:32" x14ac:dyDescent="0.2">
      <c r="A970" s="269"/>
      <c r="B970" s="298"/>
      <c r="C970" s="278" t="s">
        <v>26</v>
      </c>
      <c r="D970" s="262">
        <v>0.06</v>
      </c>
      <c r="E970" s="262">
        <v>0.24</v>
      </c>
      <c r="F970" s="262">
        <v>0.18</v>
      </c>
      <c r="G970" s="263">
        <v>630</v>
      </c>
      <c r="H970" s="264" t="s">
        <v>27</v>
      </c>
      <c r="I970" s="245"/>
      <c r="J970" s="246"/>
      <c r="K970" s="246"/>
      <c r="L970" s="246"/>
      <c r="M970" s="246"/>
      <c r="N970" s="246"/>
      <c r="O970" s="246"/>
      <c r="P970" s="246"/>
      <c r="Q970" s="305">
        <v>66560020724</v>
      </c>
      <c r="R970" s="305">
        <v>66560020724</v>
      </c>
    </row>
    <row r="971" spans="1:32" x14ac:dyDescent="0.2">
      <c r="A971" s="265">
        <v>11</v>
      </c>
      <c r="B971" s="271" t="s">
        <v>268</v>
      </c>
      <c r="C971" s="278" t="s">
        <v>26</v>
      </c>
      <c r="D971" s="262">
        <v>0</v>
      </c>
      <c r="E971" s="262">
        <v>0.19500000000000001</v>
      </c>
      <c r="F971" s="262">
        <v>0.19500000000000001</v>
      </c>
      <c r="G971" s="263">
        <v>585</v>
      </c>
      <c r="H971" s="264" t="s">
        <v>27</v>
      </c>
      <c r="I971" s="245"/>
      <c r="J971" s="246"/>
      <c r="K971" s="246"/>
      <c r="L971" s="246"/>
      <c r="M971" s="246"/>
      <c r="N971" s="246"/>
      <c r="O971" s="246"/>
      <c r="P971" s="246"/>
      <c r="Q971" s="265">
        <v>66560020839</v>
      </c>
      <c r="R971" s="265">
        <v>66560020839</v>
      </c>
    </row>
    <row r="972" spans="1:32" x14ac:dyDescent="0.2">
      <c r="A972" s="266">
        <v>12</v>
      </c>
      <c r="B972" s="293" t="s">
        <v>501</v>
      </c>
      <c r="C972" s="278" t="s">
        <v>26</v>
      </c>
      <c r="D972" s="262">
        <v>0</v>
      </c>
      <c r="E972" s="262">
        <v>0.17699999999999999</v>
      </c>
      <c r="F972" s="262">
        <v>0.17699999999999999</v>
      </c>
      <c r="G972" s="263">
        <v>620</v>
      </c>
      <c r="H972" s="264" t="s">
        <v>27</v>
      </c>
      <c r="I972" s="245"/>
      <c r="J972" s="246"/>
      <c r="K972" s="246"/>
      <c r="L972" s="246"/>
      <c r="M972" s="246"/>
      <c r="N972" s="246"/>
      <c r="O972" s="246"/>
      <c r="P972" s="246"/>
      <c r="Q972" s="259">
        <v>66560020703</v>
      </c>
      <c r="R972" s="259">
        <v>66560020703</v>
      </c>
    </row>
    <row r="973" spans="1:32" ht="15" x14ac:dyDescent="0.25">
      <c r="A973" s="269"/>
      <c r="B973" s="298"/>
      <c r="C973" s="278" t="s">
        <v>26</v>
      </c>
      <c r="D973" s="262">
        <v>0.17699999999999999</v>
      </c>
      <c r="E973" s="262">
        <v>0.23</v>
      </c>
      <c r="F973" s="262">
        <v>5.2999999999999999E-2</v>
      </c>
      <c r="G973" s="263">
        <v>186</v>
      </c>
      <c r="H973" s="264" t="s">
        <v>27</v>
      </c>
      <c r="I973" s="245"/>
      <c r="J973" s="246"/>
      <c r="K973" s="246"/>
      <c r="L973" s="246"/>
      <c r="M973" s="246"/>
      <c r="N973" s="246"/>
      <c r="O973" s="246"/>
      <c r="P973" s="246"/>
      <c r="Q973" s="305"/>
      <c r="R973" s="308" t="s">
        <v>502</v>
      </c>
      <c r="S973"/>
      <c r="T973"/>
      <c r="U973"/>
      <c r="V973"/>
      <c r="W973"/>
      <c r="X973"/>
      <c r="Y973"/>
      <c r="Z973"/>
      <c r="AA973" t="s">
        <v>211</v>
      </c>
      <c r="AB973"/>
      <c r="AC973"/>
      <c r="AD973"/>
      <c r="AE973"/>
      <c r="AF973"/>
    </row>
    <row r="974" spans="1:32" ht="22.5" x14ac:dyDescent="0.2">
      <c r="C974" s="1"/>
      <c r="K974" s="100" t="s">
        <v>213</v>
      </c>
      <c r="L974" s="243">
        <f>SUM(L953:L973)</f>
        <v>0</v>
      </c>
      <c r="M974" s="243">
        <f>SUM(M953:M973)</f>
        <v>0</v>
      </c>
      <c r="N974" s="92"/>
      <c r="O974" s="100" t="s">
        <v>214</v>
      </c>
      <c r="P974" s="243">
        <f>SUM(P953:P973)</f>
        <v>0</v>
      </c>
      <c r="T974" s="103" t="s">
        <v>215</v>
      </c>
      <c r="U974" s="103" t="s">
        <v>216</v>
      </c>
      <c r="V974" s="103" t="s">
        <v>217</v>
      </c>
      <c r="W974" s="103" t="s">
        <v>218</v>
      </c>
      <c r="X974" s="103" t="s">
        <v>219</v>
      </c>
      <c r="Y974" s="104" t="s">
        <v>214</v>
      </c>
      <c r="AA974" s="103" t="s">
        <v>215</v>
      </c>
      <c r="AB974" s="103" t="s">
        <v>216</v>
      </c>
      <c r="AC974" s="103" t="s">
        <v>217</v>
      </c>
      <c r="AD974" s="103" t="s">
        <v>218</v>
      </c>
      <c r="AE974" s="103" t="s">
        <v>219</v>
      </c>
      <c r="AF974" s="104" t="s">
        <v>214</v>
      </c>
    </row>
    <row r="975" spans="1:32" ht="12.75" customHeight="1" x14ac:dyDescent="0.2">
      <c r="A975" s="93" t="s">
        <v>503</v>
      </c>
      <c r="B975" s="94"/>
      <c r="C975" s="95"/>
      <c r="D975" s="94"/>
      <c r="E975" s="96"/>
      <c r="F975" s="97">
        <f>SUM(F953:F973)</f>
        <v>3.7969999999999997</v>
      </c>
      <c r="G975" s="243">
        <f>SUM(G953:G973)</f>
        <v>16366</v>
      </c>
      <c r="H975" s="160"/>
      <c r="I975" s="16"/>
      <c r="J975" s="99"/>
      <c r="Q975" s="92"/>
      <c r="S975" s="102" t="s">
        <v>20</v>
      </c>
      <c r="T975" s="103" t="s">
        <v>23</v>
      </c>
      <c r="U975" s="103" t="s">
        <v>23</v>
      </c>
      <c r="V975" s="103" t="s">
        <v>23</v>
      </c>
      <c r="W975" s="103" t="s">
        <v>23</v>
      </c>
      <c r="X975" s="103" t="s">
        <v>23</v>
      </c>
      <c r="Y975" s="104" t="s">
        <v>23</v>
      </c>
      <c r="Z975" s="102"/>
      <c r="AA975" s="103" t="s">
        <v>23</v>
      </c>
      <c r="AB975" s="103" t="s">
        <v>23</v>
      </c>
      <c r="AC975" s="103" t="s">
        <v>23</v>
      </c>
      <c r="AD975" s="103" t="s">
        <v>23</v>
      </c>
      <c r="AE975" s="103" t="s">
        <v>23</v>
      </c>
      <c r="AF975" s="104" t="s">
        <v>23</v>
      </c>
    </row>
    <row r="976" spans="1:32" ht="12.75" customHeight="1" x14ac:dyDescent="0.2">
      <c r="A976" s="105" t="s">
        <v>221</v>
      </c>
      <c r="B976" s="106"/>
      <c r="C976" s="111"/>
      <c r="D976" s="106"/>
      <c r="E976" s="112"/>
      <c r="F976" s="107">
        <f>SUMIFS(F953:F973,H953:H973,"melnais")</f>
        <v>1.732</v>
      </c>
      <c r="G976" s="244">
        <f>SUMIFS(G953:G973,H953:H973,"melnais")</f>
        <v>8585</v>
      </c>
      <c r="H976" s="163"/>
      <c r="I976" s="89"/>
      <c r="J976" s="92"/>
      <c r="K976" s="92"/>
      <c r="L976" s="115"/>
      <c r="M976" s="115"/>
      <c r="N976" s="92"/>
      <c r="O976" s="92"/>
      <c r="P976" s="92"/>
      <c r="Q976" s="92"/>
      <c r="S976" s="116" t="s">
        <v>222</v>
      </c>
      <c r="T976" s="117">
        <f>SUMIFS(F953:F973,C953:C973,"A",H953:H973,"melnais")</f>
        <v>0</v>
      </c>
      <c r="U976" s="117">
        <f>SUMIFS(F953:F973,C953:C973,"A",H953:H973,"dubultā virsma")</f>
        <v>0</v>
      </c>
      <c r="V976" s="117">
        <f>SUMIFS(F953:F973,C953:C973,"A",H953:H973,"bruģis")</f>
        <v>0</v>
      </c>
      <c r="W976" s="117">
        <f>SUMIFS(F953:F973,C953:C973,"A",H953:H973,"grants")</f>
        <v>0</v>
      </c>
      <c r="X976" s="117">
        <f>SUMIFS(F953:F973,C953:C973,"A",H953:H973,"cits segums")</f>
        <v>0</v>
      </c>
      <c r="Y976" s="117">
        <f>SUM(T976:X976)</f>
        <v>0</v>
      </c>
      <c r="Z976" s="116" t="s">
        <v>222</v>
      </c>
      <c r="AA976" s="117">
        <f>SUMIFS(F953:F973,C953:C973,"A",H953:H973,"melnais", Q953:Q973,"Nepiederošs")</f>
        <v>0</v>
      </c>
      <c r="AB976" s="117">
        <f>SUMIFS(F953:F973,C953:C973,"A",H953:H973,"dubultā virsma", Q953:Q973,"Nepiederošs")</f>
        <v>0</v>
      </c>
      <c r="AC976" s="117">
        <f>SUMIFS(F953:F973,C953:C973,"A",H953:H973,"bruģis", Q953:Q973,"Nepiederošs")</f>
        <v>0</v>
      </c>
      <c r="AD976" s="117">
        <f>SUMIFS(F953:F973,C953:C973,"A",H953:H973,"grants", Q953:Q973,"Nepiederošs")</f>
        <v>0</v>
      </c>
      <c r="AE976" s="117">
        <f>SUMIFS(F953:F973,C953:C973,"A",H953:H973,"cits segums", Q953:Q973,"Nepiederošs")</f>
        <v>0</v>
      </c>
      <c r="AF976" s="117">
        <f>SUM(AA976:AE976)</f>
        <v>0</v>
      </c>
    </row>
    <row r="977" spans="1:32" ht="12.75" customHeight="1" x14ac:dyDescent="0.2">
      <c r="A977" s="105" t="s">
        <v>223</v>
      </c>
      <c r="B977" s="106"/>
      <c r="C977" s="111"/>
      <c r="D977" s="106"/>
      <c r="E977" s="112"/>
      <c r="F977" s="107">
        <f>SUMIFS(F953:F973,H953:H973,"bruģis")</f>
        <v>0</v>
      </c>
      <c r="G977" s="244">
        <f>SUMIFS(G953:G973,H953:H973,"bruģis")</f>
        <v>0</v>
      </c>
      <c r="I977" s="16"/>
      <c r="J977" s="92"/>
      <c r="N977" s="92"/>
      <c r="O977" s="92"/>
      <c r="P977" s="92"/>
      <c r="Q977" s="92"/>
      <c r="S977" s="120" t="s">
        <v>39</v>
      </c>
      <c r="T977" s="117">
        <f>SUMIFS(F953:F973,C953:C973,"B",H953:H973,"melnais")</f>
        <v>0</v>
      </c>
      <c r="U977" s="117">
        <f>SUMIFS(F953:F973,C953:C973,"B",H953:H973,"dubultā virsma")</f>
        <v>0</v>
      </c>
      <c r="V977" s="117">
        <f>SUMIFS(F953:F973,C953:C973,"B",H953:H973,"bruģis")</f>
        <v>0</v>
      </c>
      <c r="W977" s="117">
        <f>SUMIFS(F953:F973,C953:C973,"B",H953:H973,"grants")</f>
        <v>0</v>
      </c>
      <c r="X977" s="117">
        <f>SUMIFS(F953:F973,C953:C973,"B",H953:H973,"cits segums")</f>
        <v>0</v>
      </c>
      <c r="Y977" s="117">
        <f t="shared" ref="Y977:Y979" si="136">SUM(T977:X977)</f>
        <v>0</v>
      </c>
      <c r="Z977" s="120" t="s">
        <v>39</v>
      </c>
      <c r="AA977" s="117">
        <f>SUMIFS(F953:F973,C953:C973,"B",H953:H973,"melnais", Q953:Q973,"Nepiederošs")</f>
        <v>0</v>
      </c>
      <c r="AB977" s="117">
        <f>SUMIFS(F953:F973,C953:C973,"B",H953:H973,"dubultā virsma", Q953:Q973,"Nepiederošs")</f>
        <v>0</v>
      </c>
      <c r="AC977" s="117">
        <f>SUMIFS(F953:F973,C953:C973,"B",H953:H973,"bruģis", Q953:Q973,"Nepiederošs")</f>
        <v>0</v>
      </c>
      <c r="AD977" s="117">
        <f>SUMIFS(F953:F973,C953:C973,"B",H953:H973,"grants", Q953:Q973,"Nepiederošs")</f>
        <v>0</v>
      </c>
      <c r="AE977" s="117">
        <f>SUMIFS(F953:F973,C953:C973,"B",H953:H973,"cits segums", Q953:Q973,"Nepiederošs")</f>
        <v>0</v>
      </c>
      <c r="AF977" s="117">
        <f t="shared" ref="AF977:AF979" si="137">SUM(AA977:AE977)</f>
        <v>0</v>
      </c>
    </row>
    <row r="978" spans="1:32" ht="12.75" customHeight="1" x14ac:dyDescent="0.2">
      <c r="A978" s="105" t="s">
        <v>224</v>
      </c>
      <c r="B978" s="106"/>
      <c r="C978" s="111"/>
      <c r="D978" s="106"/>
      <c r="E978" s="112"/>
      <c r="F978" s="107">
        <f>SUMIFS(F953:F973,H953:H973,"grants")</f>
        <v>1.7850000000000001</v>
      </c>
      <c r="G978" s="244">
        <f>SUMIFS(G953:G973,H953:H973,"grants")</f>
        <v>6941</v>
      </c>
      <c r="I978" s="16"/>
      <c r="J978" s="92"/>
      <c r="N978" s="92"/>
      <c r="O978" s="92"/>
      <c r="P978" s="92"/>
      <c r="Q978" s="92"/>
      <c r="S978" s="121" t="s">
        <v>34</v>
      </c>
      <c r="T978" s="117">
        <f>SUMIFS(F953:F973,C953:C973,"C",H953:H973,"melnais")</f>
        <v>0</v>
      </c>
      <c r="U978" s="117">
        <f>SUMIFS(F953:F973,C953:C973,"C",H953:H973,"dubultā virsma")</f>
        <v>0</v>
      </c>
      <c r="V978" s="117">
        <f>SUMIFS(F953:F973,C953:C973,"C",H953:H973,"bruģis")</f>
        <v>0</v>
      </c>
      <c r="W978" s="117">
        <f>SUMIFS(F953:F973,C953:C973,"C",H953:H973,"grants")</f>
        <v>0</v>
      </c>
      <c r="X978" s="117">
        <f>SUMIFS(F953:F973,C953:C973,"C",H953:H973,"cits segums")</f>
        <v>0</v>
      </c>
      <c r="Y978" s="117">
        <f t="shared" si="136"/>
        <v>0</v>
      </c>
      <c r="Z978" s="121" t="s">
        <v>34</v>
      </c>
      <c r="AA978" s="117">
        <f>SUMIFS(F953:F973,C953:C973,"C",H953:H973,"melnais", Q953:Q973,"Nepiederošs")</f>
        <v>0</v>
      </c>
      <c r="AB978" s="117">
        <f>SUMIFS(F953:F973,C953:C973,"C",H953:H973,"dubultā virsma", Q953:Q973,"Nepiederošs")</f>
        <v>0</v>
      </c>
      <c r="AC978" s="117">
        <f>SUMIFS(F953:F973,C953:C973,"C",H953:H973,"bruģis", Q953:Q973,"Nepiederošs")</f>
        <v>0</v>
      </c>
      <c r="AD978" s="117">
        <f>SUMIFS(F953:F973,C953:C973,"C",H953:H973,"grants", Q953:Q973,"Nepiederošs")</f>
        <v>0</v>
      </c>
      <c r="AE978" s="117">
        <f>SUMIFS(F953:F973,C953:C973,"C",H953:H973,"cits segums", Q953:Q973,"Nepiederošs")</f>
        <v>0</v>
      </c>
      <c r="AF978" s="117">
        <f t="shared" si="137"/>
        <v>0</v>
      </c>
    </row>
    <row r="979" spans="1:32" ht="12.75" customHeight="1" x14ac:dyDescent="0.2">
      <c r="A979" s="105" t="s">
        <v>225</v>
      </c>
      <c r="B979" s="106"/>
      <c r="C979" s="111"/>
      <c r="D979" s="106"/>
      <c r="E979" s="112"/>
      <c r="F979" s="107">
        <f>SUMIFS(F953:F973,H953:H973,"cits segums")</f>
        <v>0.27999999999999997</v>
      </c>
      <c r="G979" s="244">
        <f>SUMIFS(G953:G973,H953:H973,"cits segums")</f>
        <v>840</v>
      </c>
      <c r="H979" s="89"/>
      <c r="I979" s="16"/>
      <c r="J979" s="122"/>
      <c r="N979" s="92"/>
      <c r="O979" s="92"/>
      <c r="P979" s="92"/>
      <c r="Q979" s="92"/>
      <c r="S979" s="116" t="s">
        <v>26</v>
      </c>
      <c r="T979" s="117">
        <f>SUMIFS(F953:F973,C953:C973,"D",H953:H973,"melnais")</f>
        <v>1.732</v>
      </c>
      <c r="U979" s="117">
        <f>SUMIFS(F953:F973,C953:C973,"D",H953:H973,"dubultā virsma")</f>
        <v>0</v>
      </c>
      <c r="V979" s="117">
        <f>SUMIFS(F953:F973,C953:C973,"D",H953:H973,"bruģis")</f>
        <v>0</v>
      </c>
      <c r="W979" s="117">
        <f>SUMIFS(F953:F973,C953:C973,"D",H953:H973,"grants")</f>
        <v>1.7850000000000001</v>
      </c>
      <c r="X979" s="117">
        <f>SUMIFS(F953:F973,C953:C973,"D",H953:H973,"cits segums")</f>
        <v>0.27999999999999997</v>
      </c>
      <c r="Y979" s="117">
        <f t="shared" si="136"/>
        <v>3.7970000000000002</v>
      </c>
      <c r="Z979" s="116" t="s">
        <v>26</v>
      </c>
      <c r="AA979" s="117">
        <f>SUMIFS(F953:F973,C953:C973,"D",H953:H973,"melnais", Q953:Q973,"Nepiederošs")</f>
        <v>0</v>
      </c>
      <c r="AB979" s="117">
        <f>SUMIFS(F953:F973,C953:C973,"D",H953:H973,"dubultā virsma", Q953:Q973,"Nepiederošs")</f>
        <v>0</v>
      </c>
      <c r="AC979" s="117">
        <f>SUMIFS(F953:F973,C953:C973,"D",H953:H973,"bruģis", Q953:Q973,"Nepiederošs")</f>
        <v>0</v>
      </c>
      <c r="AD979" s="117">
        <f>SUMIFS(F953:F973,C953:C973,"D",H953:H973,"grants", Q953:Q973,"Nepiederošs")</f>
        <v>0</v>
      </c>
      <c r="AE979" s="117">
        <f>SUMIFS(F953:F973,C953:C973,"D",H953:H973,"cits segums", Q953:Q973,"Nepiederošs")</f>
        <v>0</v>
      </c>
      <c r="AF979" s="117">
        <f t="shared" si="137"/>
        <v>0</v>
      </c>
    </row>
    <row r="980" spans="1:32" ht="15" x14ac:dyDescent="0.25">
      <c r="C980" s="1"/>
      <c r="S980" s="172"/>
      <c r="T980" s="126">
        <f>SUM(T976:T979)</f>
        <v>1.732</v>
      </c>
      <c r="U980" s="126">
        <f t="shared" ref="U980:Y980" si="138">SUM(U976:U979)</f>
        <v>0</v>
      </c>
      <c r="V980" s="126">
        <f t="shared" si="138"/>
        <v>0</v>
      </c>
      <c r="W980" s="126">
        <f t="shared" si="138"/>
        <v>1.7850000000000001</v>
      </c>
      <c r="X980" s="126">
        <f t="shared" si="138"/>
        <v>0.27999999999999997</v>
      </c>
      <c r="Y980" s="126">
        <f t="shared" si="138"/>
        <v>3.7970000000000002</v>
      </c>
      <c r="Z980"/>
      <c r="AA980" s="126">
        <f>SUM(AA976:AA979)</f>
        <v>0</v>
      </c>
      <c r="AB980" s="126">
        <f t="shared" ref="AB980" si="139">SUM(AB976:AB979)</f>
        <v>0</v>
      </c>
      <c r="AC980" s="126">
        <f>SUM(AC976:AC979)</f>
        <v>0</v>
      </c>
      <c r="AD980" s="126">
        <f t="shared" ref="AD980:AF980" si="140">SUM(AD976:AD979)</f>
        <v>0</v>
      </c>
      <c r="AE980" s="126">
        <f t="shared" si="140"/>
        <v>0</v>
      </c>
      <c r="AF980" s="126">
        <f t="shared" si="140"/>
        <v>0</v>
      </c>
    </row>
    <row r="981" spans="1:32" s="2" customFormat="1" ht="15" customHeight="1" x14ac:dyDescent="0.25">
      <c r="A981" s="1"/>
      <c r="C981" s="1"/>
      <c r="D981" s="6" t="s">
        <v>504</v>
      </c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4"/>
      <c r="R981" s="7"/>
    </row>
    <row r="982" spans="1:32" ht="12.75" customHeight="1" x14ac:dyDescent="0.2">
      <c r="A982" s="8" t="s">
        <v>2</v>
      </c>
      <c r="B982" s="9" t="s">
        <v>3</v>
      </c>
      <c r="C982" s="10"/>
      <c r="D982" s="11" t="s">
        <v>4</v>
      </c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3"/>
      <c r="Q982" s="14" t="s">
        <v>5</v>
      </c>
      <c r="R982" s="15"/>
    </row>
    <row r="983" spans="1:32" ht="12.75" customHeight="1" x14ac:dyDescent="0.2">
      <c r="A983" s="8"/>
      <c r="B983" s="9"/>
      <c r="C983" s="17"/>
      <c r="D983" s="9" t="s">
        <v>6</v>
      </c>
      <c r="E983" s="9"/>
      <c r="F983" s="9"/>
      <c r="G983" s="9"/>
      <c r="H983" s="9"/>
      <c r="I983" s="18" t="s">
        <v>7</v>
      </c>
      <c r="J983" s="18"/>
      <c r="K983" s="18"/>
      <c r="L983" s="18"/>
      <c r="M983" s="18"/>
      <c r="N983" s="18"/>
      <c r="O983" s="18"/>
      <c r="P983" s="19" t="s">
        <v>8</v>
      </c>
      <c r="Q983" s="20"/>
      <c r="R983" s="21"/>
    </row>
    <row r="984" spans="1:32" ht="15.2" customHeight="1" x14ac:dyDescent="0.2">
      <c r="A984" s="8"/>
      <c r="B984" s="9"/>
      <c r="C984" s="17"/>
      <c r="D984" s="9" t="s">
        <v>9</v>
      </c>
      <c r="E984" s="9"/>
      <c r="F984" s="8" t="s">
        <v>10</v>
      </c>
      <c r="G984" s="8" t="s">
        <v>11</v>
      </c>
      <c r="H984" s="8" t="s">
        <v>12</v>
      </c>
      <c r="I984" s="18" t="s">
        <v>13</v>
      </c>
      <c r="J984" s="18" t="s">
        <v>14</v>
      </c>
      <c r="K984" s="18"/>
      <c r="L984" s="22" t="s">
        <v>15</v>
      </c>
      <c r="M984" s="22" t="s">
        <v>11</v>
      </c>
      <c r="N984" s="22" t="s">
        <v>16</v>
      </c>
      <c r="O984" s="22" t="s">
        <v>17</v>
      </c>
      <c r="P984" s="23"/>
      <c r="Q984" s="23" t="s">
        <v>18</v>
      </c>
      <c r="R984" s="24" t="s">
        <v>19</v>
      </c>
    </row>
    <row r="985" spans="1:32" ht="33.75" customHeight="1" x14ac:dyDescent="0.2">
      <c r="A985" s="8"/>
      <c r="B985" s="9"/>
      <c r="C985" s="25" t="s">
        <v>20</v>
      </c>
      <c r="D985" s="26" t="s">
        <v>21</v>
      </c>
      <c r="E985" s="26" t="s">
        <v>22</v>
      </c>
      <c r="F985" s="8"/>
      <c r="G985" s="8"/>
      <c r="H985" s="8"/>
      <c r="I985" s="18"/>
      <c r="J985" s="27" t="s">
        <v>23</v>
      </c>
      <c r="K985" s="27" t="s">
        <v>24</v>
      </c>
      <c r="L985" s="22"/>
      <c r="M985" s="22"/>
      <c r="N985" s="22"/>
      <c r="O985" s="22"/>
      <c r="P985" s="28"/>
      <c r="Q985" s="28"/>
      <c r="R985" s="29"/>
    </row>
    <row r="986" spans="1:32" s="32" customFormat="1" ht="12" customHeight="1" x14ac:dyDescent="0.25">
      <c r="A986" s="173">
        <v>1</v>
      </c>
      <c r="B986" s="173">
        <v>2</v>
      </c>
      <c r="C986" s="173"/>
      <c r="D986" s="173">
        <v>3</v>
      </c>
      <c r="E986" s="173">
        <v>4</v>
      </c>
      <c r="F986" s="173">
        <v>5</v>
      </c>
      <c r="G986" s="173">
        <v>6</v>
      </c>
      <c r="H986" s="173">
        <v>7</v>
      </c>
      <c r="I986" s="174">
        <v>8</v>
      </c>
      <c r="J986" s="174">
        <v>9</v>
      </c>
      <c r="K986" s="174">
        <v>10</v>
      </c>
      <c r="L986" s="174">
        <v>11</v>
      </c>
      <c r="M986" s="174">
        <v>12</v>
      </c>
      <c r="N986" s="174">
        <v>13</v>
      </c>
      <c r="O986" s="174">
        <v>14</v>
      </c>
      <c r="P986" s="174">
        <v>15</v>
      </c>
      <c r="Q986" s="174">
        <v>16</v>
      </c>
      <c r="R986" s="173">
        <v>17</v>
      </c>
    </row>
    <row r="987" spans="1:32" x14ac:dyDescent="0.2">
      <c r="A987" s="259">
        <v>1</v>
      </c>
      <c r="B987" s="260" t="s">
        <v>198</v>
      </c>
      <c r="C987" s="261" t="s">
        <v>26</v>
      </c>
      <c r="D987" s="262">
        <v>0</v>
      </c>
      <c r="E987" s="262">
        <v>0.2</v>
      </c>
      <c r="F987" s="262">
        <v>0.2</v>
      </c>
      <c r="G987" s="263">
        <v>600</v>
      </c>
      <c r="H987" s="264" t="s">
        <v>27</v>
      </c>
      <c r="I987" s="245"/>
      <c r="J987" s="246"/>
      <c r="K987" s="246"/>
      <c r="L987" s="246"/>
      <c r="M987" s="246"/>
      <c r="N987" s="246"/>
      <c r="O987" s="246"/>
      <c r="P987" s="246"/>
      <c r="Q987" s="265">
        <v>66560060187</v>
      </c>
      <c r="R987" s="265">
        <v>66560060187</v>
      </c>
    </row>
    <row r="988" spans="1:32" ht="15" x14ac:dyDescent="0.25">
      <c r="A988" s="265">
        <v>2</v>
      </c>
      <c r="B988" s="277" t="s">
        <v>307</v>
      </c>
      <c r="C988" s="278" t="s">
        <v>26</v>
      </c>
      <c r="D988" s="262">
        <v>0</v>
      </c>
      <c r="E988" s="262">
        <v>0.24</v>
      </c>
      <c r="F988" s="262">
        <v>0.24</v>
      </c>
      <c r="G988" s="263">
        <v>720</v>
      </c>
      <c r="H988" s="264" t="s">
        <v>70</v>
      </c>
      <c r="I988" s="245"/>
      <c r="J988" s="246"/>
      <c r="K988" s="246"/>
      <c r="L988" s="246"/>
      <c r="M988" s="246"/>
      <c r="N988" s="246"/>
      <c r="O988" s="246"/>
      <c r="P988" s="246"/>
      <c r="Q988" s="265">
        <v>66560060216</v>
      </c>
      <c r="R988" s="265">
        <v>66560060216</v>
      </c>
      <c r="S988"/>
      <c r="T988"/>
      <c r="U988"/>
      <c r="V988"/>
      <c r="W988"/>
      <c r="X988"/>
      <c r="Y988"/>
      <c r="Z988"/>
      <c r="AA988" t="s">
        <v>211</v>
      </c>
      <c r="AB988"/>
      <c r="AC988"/>
      <c r="AD988"/>
      <c r="AE988"/>
      <c r="AF988"/>
    </row>
    <row r="989" spans="1:32" ht="22.5" x14ac:dyDescent="0.2">
      <c r="K989" s="100" t="s">
        <v>213</v>
      </c>
      <c r="L989" s="243">
        <f>SUM(L987:L988)</f>
        <v>0</v>
      </c>
      <c r="M989" s="243">
        <f>SUM(M987:M988)</f>
        <v>0</v>
      </c>
      <c r="N989" s="92"/>
      <c r="O989" s="100" t="s">
        <v>214</v>
      </c>
      <c r="P989" s="243">
        <f>SUM(P987:P988)</f>
        <v>0</v>
      </c>
      <c r="T989" s="103" t="s">
        <v>215</v>
      </c>
      <c r="U989" s="103" t="s">
        <v>216</v>
      </c>
      <c r="V989" s="103" t="s">
        <v>217</v>
      </c>
      <c r="W989" s="103" t="s">
        <v>218</v>
      </c>
      <c r="X989" s="103" t="s">
        <v>219</v>
      </c>
      <c r="Y989" s="104" t="s">
        <v>214</v>
      </c>
      <c r="AA989" s="103" t="s">
        <v>215</v>
      </c>
      <c r="AB989" s="103" t="s">
        <v>216</v>
      </c>
      <c r="AC989" s="103" t="s">
        <v>217</v>
      </c>
      <c r="AD989" s="103" t="s">
        <v>218</v>
      </c>
      <c r="AE989" s="103" t="s">
        <v>219</v>
      </c>
      <c r="AF989" s="104" t="s">
        <v>214</v>
      </c>
    </row>
    <row r="990" spans="1:32" ht="12.75" customHeight="1" x14ac:dyDescent="0.2">
      <c r="A990" s="93" t="s">
        <v>505</v>
      </c>
      <c r="B990" s="94"/>
      <c r="C990" s="94"/>
      <c r="D990" s="94"/>
      <c r="E990" s="96"/>
      <c r="F990" s="97">
        <f>SUM(F987:F988)</f>
        <v>0.44</v>
      </c>
      <c r="G990" s="175">
        <f>SUM(G987:G988)</f>
        <v>1320</v>
      </c>
      <c r="H990" s="160"/>
      <c r="I990" s="16"/>
      <c r="J990" s="99"/>
      <c r="Q990" s="92"/>
      <c r="S990" s="102" t="s">
        <v>20</v>
      </c>
      <c r="T990" s="103" t="s">
        <v>23</v>
      </c>
      <c r="U990" s="103" t="s">
        <v>23</v>
      </c>
      <c r="V990" s="103" t="s">
        <v>23</v>
      </c>
      <c r="W990" s="103" t="s">
        <v>23</v>
      </c>
      <c r="X990" s="103" t="s">
        <v>23</v>
      </c>
      <c r="Y990" s="104" t="s">
        <v>23</v>
      </c>
      <c r="Z990" s="102"/>
      <c r="AA990" s="103" t="s">
        <v>23</v>
      </c>
      <c r="AB990" s="103" t="s">
        <v>23</v>
      </c>
      <c r="AC990" s="103" t="s">
        <v>23</v>
      </c>
      <c r="AD990" s="103" t="s">
        <v>23</v>
      </c>
      <c r="AE990" s="103" t="s">
        <v>23</v>
      </c>
      <c r="AF990" s="104" t="s">
        <v>23</v>
      </c>
    </row>
    <row r="991" spans="1:32" ht="12.75" customHeight="1" x14ac:dyDescent="0.2">
      <c r="A991" s="105" t="s">
        <v>221</v>
      </c>
      <c r="B991" s="106"/>
      <c r="C991" s="106"/>
      <c r="D991" s="106"/>
      <c r="E991" s="112"/>
      <c r="F991" s="107">
        <f>SUMIFS(F987:F988,H987:H988,"melnais")</f>
        <v>0</v>
      </c>
      <c r="G991" s="244">
        <f>SUMIFS(G987:G988,H987:H988,"melnais")</f>
        <v>0</v>
      </c>
      <c r="H991" s="163"/>
      <c r="I991" s="89"/>
      <c r="J991" s="92"/>
      <c r="K991" s="92"/>
      <c r="L991" s="115"/>
      <c r="M991" s="115"/>
      <c r="N991" s="92"/>
      <c r="O991" s="92"/>
      <c r="P991" s="92"/>
      <c r="Q991" s="92"/>
      <c r="S991" s="116" t="s">
        <v>222</v>
      </c>
      <c r="T991" s="117">
        <f>SUMIFS(F982:F988,C982:C988,"A",H982:H988,"melnais")</f>
        <v>0</v>
      </c>
      <c r="U991" s="117">
        <f>SUMIFS(F982:F988,C982:C988,"A",H982:H988,"dubultā virsma")</f>
        <v>0</v>
      </c>
      <c r="V991" s="117">
        <f>SUMIFS(F982:F988,C982:C988,"A",H982:H988,"bruģis")</f>
        <v>0</v>
      </c>
      <c r="W991" s="117">
        <f>SUMIFS(F982:F988,C982:C988,"A",H982:H988,"grants")</f>
        <v>0</v>
      </c>
      <c r="X991" s="117">
        <f>SUMIFS(F982:F988,C982:C988,"A",H982:H988,"cits segums")</f>
        <v>0</v>
      </c>
      <c r="Y991" s="117">
        <f>SUM(T991:X991)</f>
        <v>0</v>
      </c>
      <c r="Z991" s="116" t="s">
        <v>222</v>
      </c>
      <c r="AA991" s="117">
        <f>SUMIFS(F982:F988,C982:C988,"A",H982:H988,"melnais", Q982:Q988,"Nepiederošs")</f>
        <v>0</v>
      </c>
      <c r="AB991" s="117">
        <f>SUMIFS(F982:F988,C982:C988,"A",H982:H988,"dubultā virsma", Q982:Q988,"Nepiederošs")</f>
        <v>0</v>
      </c>
      <c r="AC991" s="117">
        <f>SUMIFS(F982:F988,C982:C988,"A",H982:H988,"bruģis", Q982:Q988,"Nepiederošs")</f>
        <v>0</v>
      </c>
      <c r="AD991" s="117">
        <f>SUMIFS(F982:F988,C982:C988,"A",H982:H988,"grants", Q982:Q988,"Nepiederošs")</f>
        <v>0</v>
      </c>
      <c r="AE991" s="117">
        <f>SUMIFS(F982:F988,C982:C988,"A",H982:H988,"cits segums", Q982:Q988,"Nepiederošs")</f>
        <v>0</v>
      </c>
      <c r="AF991" s="117">
        <f>SUM(AA991:AE991)</f>
        <v>0</v>
      </c>
    </row>
    <row r="992" spans="1:32" ht="12.75" customHeight="1" x14ac:dyDescent="0.2">
      <c r="A992" s="105" t="s">
        <v>223</v>
      </c>
      <c r="B992" s="106"/>
      <c r="C992" s="106"/>
      <c r="D992" s="106"/>
      <c r="E992" s="112"/>
      <c r="F992" s="107">
        <f>SUMIFS(F987:F988,H987:H988,"bruģis")</f>
        <v>0</v>
      </c>
      <c r="G992" s="244">
        <f>SUMIFS(G987:G988,H987:H988,"bruģis")</f>
        <v>0</v>
      </c>
      <c r="I992" s="16"/>
      <c r="J992" s="92"/>
      <c r="N992" s="92"/>
      <c r="O992" s="92"/>
      <c r="P992" s="92"/>
      <c r="Q992" s="92"/>
      <c r="S992" s="120" t="s">
        <v>39</v>
      </c>
      <c r="T992" s="117">
        <f>SUMIFS(F982:F988,C982:C988,"B",H982:H988,"melnais")</f>
        <v>0</v>
      </c>
      <c r="U992" s="117">
        <f>SUMIFS(F982:F988,C982:C988,"B",H982:H988,"dubultā virsma")</f>
        <v>0</v>
      </c>
      <c r="V992" s="117">
        <f>SUMIFS(F982:F988,C982:C988,"B",H982:H988,"bruģis")</f>
        <v>0</v>
      </c>
      <c r="W992" s="117">
        <f>SUMIFS(F982:F988,C982:C988,"B",H982:H988,"grants")</f>
        <v>0</v>
      </c>
      <c r="X992" s="117">
        <f>SUMIFS(F982:F988,C982:C988,"B",H982:H988,"cits segums")</f>
        <v>0</v>
      </c>
      <c r="Y992" s="117">
        <f t="shared" ref="Y992:Y994" si="141">SUM(T992:X992)</f>
        <v>0</v>
      </c>
      <c r="Z992" s="120" t="s">
        <v>39</v>
      </c>
      <c r="AA992" s="117">
        <f>SUMIFS(F982:F988,C982:C988,"B",H982:H988,"melnais", Q982:Q988,"Nepiederošs")</f>
        <v>0</v>
      </c>
      <c r="AB992" s="117">
        <f>SUMIFS(F982:F988,C982:C988,"B",H982:H988,"dubultā virsma", Q982:Q988,"Nepiederošs")</f>
        <v>0</v>
      </c>
      <c r="AC992" s="117">
        <f>SUMIFS(F982:F988,C982:C988,"B",H982:H988,"bruģis", Q982:Q988,"Nepiederošs")</f>
        <v>0</v>
      </c>
      <c r="AD992" s="117">
        <f>SUMIFS(F982:F988,C982:C988,"B",H982:H988,"grants", Q982:Q988,"Nepiederošs")</f>
        <v>0</v>
      </c>
      <c r="AE992" s="117">
        <f>SUMIFS(F982:F988,C982:C988,"B",H982:H988,"cits segums", Q982:Q988,"Nepiederošs")</f>
        <v>0</v>
      </c>
      <c r="AF992" s="117">
        <f t="shared" ref="AF992:AF994" si="142">SUM(AA992:AE992)</f>
        <v>0</v>
      </c>
    </row>
    <row r="993" spans="1:32" ht="12.75" customHeight="1" x14ac:dyDescent="0.2">
      <c r="A993" s="105" t="s">
        <v>224</v>
      </c>
      <c r="B993" s="106"/>
      <c r="C993" s="106"/>
      <c r="D993" s="106"/>
      <c r="E993" s="112"/>
      <c r="F993" s="107">
        <f>SUMIFS(F987:F988,H987:H988,"grants")</f>
        <v>0.2</v>
      </c>
      <c r="G993" s="244">
        <f>SUMIFS(G987:G988,H987:H988,"grants")</f>
        <v>600</v>
      </c>
      <c r="I993" s="16"/>
      <c r="J993" s="92"/>
      <c r="K993" s="100" t="s">
        <v>213</v>
      </c>
      <c r="L993" s="243">
        <f>L989+L974+L940+L916+L895+L863+L820+L785+L759+L695+L677+L603+L579+L565+L496+L454+L422+L406+L392+L373+L357</f>
        <v>18.25</v>
      </c>
      <c r="M993" s="243">
        <f>M989+M974+M940+M916+M895+M863+M820+M785+M759+M695+M677+M603+M579+M565+M496+M454+M422+M406+M392+M373+M357</f>
        <v>99</v>
      </c>
      <c r="N993" s="92"/>
      <c r="O993" s="100" t="s">
        <v>214</v>
      </c>
      <c r="P993" s="243">
        <f>P989+P974+P940+P916+P895+P863+P820+P785+P759+P695+P677+P603+P579+P565+P496+P454+P422+P406+P392+P373+P357</f>
        <v>66114.19</v>
      </c>
      <c r="Q993" s="92"/>
      <c r="S993" s="121" t="s">
        <v>34</v>
      </c>
      <c r="T993" s="117">
        <f>SUMIFS(F982:F988,C982:C988,"C",H982:H988,"melnais")</f>
        <v>0</v>
      </c>
      <c r="U993" s="117">
        <f>SUMIFS(F982:F988,C982:C988,"C",H982:H988,"dubultā virsma")</f>
        <v>0</v>
      </c>
      <c r="V993" s="117">
        <f>SUMIFS(F982:F988,C982:C988,"C",H982:H988,"bruģis")</f>
        <v>0</v>
      </c>
      <c r="W993" s="117">
        <f>SUMIFS(F982:F988,C982:C988,"C",H982:H988,"grants")</f>
        <v>0</v>
      </c>
      <c r="X993" s="117">
        <f>SUMIFS(F982:F988,C982:C988,"C",H982:H988,"cits segums")</f>
        <v>0</v>
      </c>
      <c r="Y993" s="117">
        <f t="shared" si="141"/>
        <v>0</v>
      </c>
      <c r="Z993" s="121" t="s">
        <v>34</v>
      </c>
      <c r="AA993" s="117">
        <f>SUMIFS(F982:F988,C982:C988,"C",H982:H988,"melnais", Q982:Q988,"Nepiederošs")</f>
        <v>0</v>
      </c>
      <c r="AB993" s="117">
        <f>SUMIFS(F982:F988,C982:C988,"C",H982:H988,"dubultā virsma", Q982:Q988,"Nepiederošs")</f>
        <v>0</v>
      </c>
      <c r="AC993" s="117">
        <f>SUMIFS(F982:F988,C982:C988,"C",H982:H988,"bruģis", Q982:Q988,"Nepiederošs")</f>
        <v>0</v>
      </c>
      <c r="AD993" s="117">
        <f>SUMIFS(F982:F988,C982:C988,"C",H982:H988,"grants", Q982:Q988,"Nepiederošs")</f>
        <v>0</v>
      </c>
      <c r="AE993" s="117">
        <f>SUMIFS(F982:F988,C982:C988,"C",H982:H988,"cits segums", Q982:Q988,"Nepiederošs")</f>
        <v>0</v>
      </c>
      <c r="AF993" s="117">
        <f t="shared" si="142"/>
        <v>0</v>
      </c>
    </row>
    <row r="994" spans="1:32" ht="12.75" customHeight="1" x14ac:dyDescent="0.2">
      <c r="A994" s="105" t="s">
        <v>225</v>
      </c>
      <c r="B994" s="106"/>
      <c r="C994" s="106"/>
      <c r="D994" s="106"/>
      <c r="E994" s="112"/>
      <c r="F994" s="107">
        <f>SUMIFS(F987:F988,H987:H988,"cits segums")</f>
        <v>0.24</v>
      </c>
      <c r="G994" s="244">
        <f>SUMIFS(G987:G988,H987:H988,"cits segums")</f>
        <v>720</v>
      </c>
      <c r="H994" s="89"/>
      <c r="I994" s="16"/>
      <c r="J994" s="122"/>
      <c r="N994" s="92"/>
      <c r="O994" s="92"/>
      <c r="P994" s="92"/>
      <c r="Q994" s="92"/>
      <c r="S994" s="116" t="s">
        <v>26</v>
      </c>
      <c r="T994" s="117">
        <f>SUMIFS(F982:F988,C982:C988,"D",H982:H988,"melnais")</f>
        <v>0</v>
      </c>
      <c r="U994" s="117">
        <f>SUMIFS(F982:F988,C982:C988,"D",H982:H988,"dubultā virsma")</f>
        <v>0</v>
      </c>
      <c r="V994" s="117">
        <f>SUMIFS(F982:F988,C982:C988,"D",H982:H988,"bruģis")</f>
        <v>0</v>
      </c>
      <c r="W994" s="117">
        <f>SUMIFS(F982:F988,C982:C988,"D",H982:H988,"grants")</f>
        <v>0.2</v>
      </c>
      <c r="X994" s="117">
        <f>SUMIFS(F982:F988,C982:C988,"D",H982:H988,"cits segums")</f>
        <v>0.24</v>
      </c>
      <c r="Y994" s="117">
        <f t="shared" si="141"/>
        <v>0.44</v>
      </c>
      <c r="Z994" s="116" t="s">
        <v>26</v>
      </c>
      <c r="AA994" s="117">
        <f>SUMIFS(F982:F988,C982:C988,"D",H982:H988,"melnais", Q982:Q988,"Nepiederošs")</f>
        <v>0</v>
      </c>
      <c r="AB994" s="117">
        <f>SUMIFS(F982:F988,C982:C988,"D",H982:H988,"dubultā virsma", Q982:Q988,"Nepiederošs")</f>
        <v>0</v>
      </c>
      <c r="AC994" s="117">
        <f>SUMIFS(F982:F988,C982:C988,"D",H982:H988,"bruģis", Q982:Q988,"Nepiederošs")</f>
        <v>0</v>
      </c>
      <c r="AD994" s="117">
        <f>SUMIFS(F982:F988,C982:C988,"D",H982:H988,"grants", Q982:Q988,"Nepiederošs")</f>
        <v>0</v>
      </c>
      <c r="AE994" s="117">
        <f>SUMIFS(F982:F988,C982:C988,"D",H982:H988,"cits segums", Q982:Q988,"Nepiederošs")</f>
        <v>0</v>
      </c>
      <c r="AF994" s="117">
        <f t="shared" si="142"/>
        <v>0</v>
      </c>
    </row>
    <row r="995" spans="1:32" ht="15" x14ac:dyDescent="0.25">
      <c r="S995" s="172"/>
      <c r="T995" s="126">
        <f>SUM(T991:T994)</f>
        <v>0</v>
      </c>
      <c r="U995" s="126">
        <f t="shared" ref="U995:Y995" si="143">SUM(U991:U994)</f>
        <v>0</v>
      </c>
      <c r="V995" s="126">
        <f t="shared" si="143"/>
        <v>0</v>
      </c>
      <c r="W995" s="126">
        <f t="shared" si="143"/>
        <v>0.2</v>
      </c>
      <c r="X995" s="126">
        <f t="shared" si="143"/>
        <v>0.24</v>
      </c>
      <c r="Y995" s="126">
        <f t="shared" si="143"/>
        <v>0.44</v>
      </c>
      <c r="Z995"/>
      <c r="AA995" s="126">
        <f>SUM(AA991:AA994)</f>
        <v>0</v>
      </c>
      <c r="AB995" s="126">
        <f t="shared" ref="AB995" si="144">SUM(AB991:AB994)</f>
        <v>0</v>
      </c>
      <c r="AC995" s="126">
        <f>SUM(AC991:AC994)</f>
        <v>0</v>
      </c>
      <c r="AD995" s="126">
        <f t="shared" ref="AD995:AF995" si="145">SUM(AD991:AD994)</f>
        <v>0</v>
      </c>
      <c r="AE995" s="126">
        <f t="shared" si="145"/>
        <v>0</v>
      </c>
      <c r="AF995" s="126">
        <f t="shared" si="145"/>
        <v>0</v>
      </c>
    </row>
    <row r="996" spans="1:32" ht="12.75" customHeight="1" x14ac:dyDescent="0.2">
      <c r="A996" s="93" t="s">
        <v>506</v>
      </c>
      <c r="B996" s="94"/>
      <c r="C996" s="94"/>
      <c r="D996" s="94"/>
      <c r="E996" s="96"/>
      <c r="F996" s="97">
        <f t="shared" ref="F996:G1000" si="146">F990+F975+F941+F917+F896+F864+F821+F786+F760+F696+F677+F603+F579+F565+F496+F454+F422+F406+F392+F373+F357</f>
        <v>210.01399999999995</v>
      </c>
      <c r="G996" s="175">
        <f t="shared" si="146"/>
        <v>1024586</v>
      </c>
      <c r="H996" s="160"/>
      <c r="I996" s="16"/>
      <c r="J996" s="99"/>
      <c r="Q996" s="92"/>
    </row>
    <row r="997" spans="1:32" ht="12.75" customHeight="1" x14ac:dyDescent="0.2">
      <c r="A997" s="105" t="s">
        <v>221</v>
      </c>
      <c r="B997" s="106"/>
      <c r="C997" s="106"/>
      <c r="D997" s="106"/>
      <c r="E997" s="112"/>
      <c r="F997" s="118">
        <f t="shared" si="146"/>
        <v>92.718999999999994</v>
      </c>
      <c r="G997" s="310">
        <f t="shared" si="146"/>
        <v>526958</v>
      </c>
      <c r="H997" s="163"/>
      <c r="I997" s="89"/>
      <c r="J997" s="92"/>
      <c r="K997" s="92"/>
      <c r="L997" s="115"/>
      <c r="M997" s="115"/>
      <c r="N997" s="92"/>
      <c r="O997" s="92"/>
      <c r="P997" s="92"/>
      <c r="Q997" s="92"/>
    </row>
    <row r="998" spans="1:32" ht="12.75" customHeight="1" x14ac:dyDescent="0.2">
      <c r="A998" s="105" t="s">
        <v>223</v>
      </c>
      <c r="B998" s="106"/>
      <c r="C998" s="106"/>
      <c r="D998" s="106"/>
      <c r="E998" s="112"/>
      <c r="F998" s="118">
        <f t="shared" si="146"/>
        <v>3.6080000000000001</v>
      </c>
      <c r="G998" s="310">
        <f t="shared" si="146"/>
        <v>19546</v>
      </c>
      <c r="I998" s="16"/>
      <c r="J998" s="92"/>
      <c r="N998" s="92"/>
      <c r="O998" s="92"/>
      <c r="P998" s="92"/>
      <c r="Q998" s="92"/>
    </row>
    <row r="999" spans="1:32" ht="12.75" customHeight="1" x14ac:dyDescent="0.2">
      <c r="A999" s="105" t="s">
        <v>224</v>
      </c>
      <c r="B999" s="106"/>
      <c r="C999" s="106"/>
      <c r="D999" s="106"/>
      <c r="E999" s="112"/>
      <c r="F999" s="118">
        <f t="shared" si="146"/>
        <v>95.965000000000018</v>
      </c>
      <c r="G999" s="310">
        <f t="shared" si="146"/>
        <v>402490</v>
      </c>
      <c r="I999" s="16"/>
      <c r="J999" s="92"/>
      <c r="N999" s="92"/>
      <c r="O999" s="92"/>
      <c r="P999" s="92"/>
      <c r="Q999" s="92"/>
    </row>
    <row r="1000" spans="1:32" ht="12.75" customHeight="1" x14ac:dyDescent="0.2">
      <c r="A1000" s="105" t="s">
        <v>225</v>
      </c>
      <c r="B1000" s="106"/>
      <c r="C1000" s="106"/>
      <c r="D1000" s="106"/>
      <c r="E1000" s="112"/>
      <c r="F1000" s="118">
        <f t="shared" si="146"/>
        <v>5.226</v>
      </c>
      <c r="G1000" s="310">
        <f t="shared" si="146"/>
        <v>20097</v>
      </c>
      <c r="H1000" s="89"/>
      <c r="I1000" s="16"/>
      <c r="J1000" s="122"/>
      <c r="N1000" s="92"/>
      <c r="O1000" s="92"/>
      <c r="P1000" s="92"/>
      <c r="Q1000" s="92"/>
    </row>
    <row r="1001" spans="1:32" customFormat="1" ht="15" x14ac:dyDescent="0.25"/>
    <row r="1002" spans="1:32" customFormat="1" ht="15" x14ac:dyDescent="0.25"/>
    <row r="1003" spans="1:32" customFormat="1" ht="15" x14ac:dyDescent="0.25"/>
    <row r="1004" spans="1:32" customFormat="1" ht="15" x14ac:dyDescent="0.25"/>
    <row r="1005" spans="1:32" customFormat="1" ht="15" x14ac:dyDescent="0.25">
      <c r="B1005" s="7" t="s">
        <v>507</v>
      </c>
      <c r="C1005" s="7"/>
      <c r="D1005" s="311"/>
      <c r="E1005" s="311"/>
      <c r="F1005" s="311"/>
      <c r="G1005" s="16"/>
      <c r="H1005" s="16"/>
      <c r="I1005" s="92"/>
      <c r="J1005" s="92"/>
      <c r="K1005" s="312"/>
      <c r="L1005" s="312"/>
      <c r="M1005" s="312"/>
      <c r="N1005" s="313"/>
    </row>
    <row r="1006" spans="1:32" customFormat="1" ht="15" x14ac:dyDescent="0.25">
      <c r="B1006" s="7" t="s">
        <v>508</v>
      </c>
      <c r="C1006" s="7"/>
      <c r="D1006" s="314" t="s">
        <v>509</v>
      </c>
      <c r="E1006" s="314"/>
      <c r="F1006" s="314"/>
      <c r="G1006" s="314"/>
      <c r="H1006" s="314"/>
      <c r="I1006" s="314"/>
      <c r="J1006" s="314"/>
      <c r="K1006" s="16"/>
      <c r="L1006" s="315"/>
      <c r="M1006" s="315"/>
      <c r="N1006" s="313"/>
    </row>
    <row r="1007" spans="1:32" customFormat="1" ht="15" x14ac:dyDescent="0.25">
      <c r="B1007" s="7"/>
      <c r="C1007" s="7"/>
      <c r="D1007" s="316" t="s">
        <v>510</v>
      </c>
      <c r="E1007" s="316"/>
      <c r="F1007" s="316"/>
      <c r="G1007" s="316"/>
      <c r="H1007" s="316"/>
      <c r="I1007" s="316"/>
      <c r="J1007" s="316"/>
      <c r="K1007" s="312"/>
      <c r="L1007" s="317" t="s">
        <v>511</v>
      </c>
      <c r="M1007" s="317"/>
      <c r="N1007" s="313"/>
    </row>
    <row r="1008" spans="1:32" customFormat="1" ht="15" x14ac:dyDescent="0.25">
      <c r="B1008" s="7" t="s">
        <v>507</v>
      </c>
      <c r="C1008" s="7"/>
      <c r="D1008" s="311"/>
      <c r="E1008" s="311"/>
      <c r="F1008" s="311"/>
      <c r="G1008" s="16"/>
      <c r="H1008" s="16"/>
      <c r="I1008" s="92"/>
      <c r="J1008" s="92"/>
      <c r="K1008" s="312"/>
      <c r="L1008" s="312"/>
      <c r="M1008" s="312"/>
      <c r="N1008" s="313"/>
    </row>
    <row r="1009" spans="2:14" customFormat="1" ht="15" x14ac:dyDescent="0.25">
      <c r="B1009" s="7" t="s">
        <v>512</v>
      </c>
      <c r="C1009" s="7"/>
      <c r="D1009" s="311" t="s">
        <v>513</v>
      </c>
      <c r="E1009" s="311"/>
      <c r="F1009" s="311"/>
      <c r="G1009" s="311"/>
      <c r="H1009" s="311"/>
      <c r="I1009" s="311"/>
      <c r="J1009" s="311"/>
      <c r="K1009" s="312"/>
      <c r="L1009" s="315"/>
      <c r="M1009" s="315"/>
      <c r="N1009" s="313"/>
    </row>
    <row r="1010" spans="2:14" customFormat="1" ht="15" x14ac:dyDescent="0.25">
      <c r="B1010" s="7"/>
      <c r="C1010" s="7"/>
      <c r="D1010" s="316" t="s">
        <v>510</v>
      </c>
      <c r="E1010" s="316"/>
      <c r="F1010" s="316"/>
      <c r="G1010" s="316"/>
      <c r="H1010" s="316"/>
      <c r="I1010" s="316"/>
      <c r="J1010" s="316"/>
      <c r="K1010" s="312"/>
      <c r="L1010" s="317" t="s">
        <v>511</v>
      </c>
      <c r="M1010" s="317"/>
      <c r="N1010" s="313"/>
    </row>
    <row r="1011" spans="2:14" customFormat="1" ht="15" x14ac:dyDescent="0.25"/>
  </sheetData>
  <mergeCells count="495">
    <mergeCell ref="D1008:F1008"/>
    <mergeCell ref="D1009:J1009"/>
    <mergeCell ref="D1010:J1010"/>
    <mergeCell ref="L1010:M1010"/>
    <mergeCell ref="N984:N985"/>
    <mergeCell ref="O984:O985"/>
    <mergeCell ref="Q984:Q985"/>
    <mergeCell ref="R984:R985"/>
    <mergeCell ref="D1005:F1005"/>
    <mergeCell ref="D1007:J1007"/>
    <mergeCell ref="L1007:M1007"/>
    <mergeCell ref="I983:O983"/>
    <mergeCell ref="P983:P985"/>
    <mergeCell ref="D984:E984"/>
    <mergeCell ref="F984:F985"/>
    <mergeCell ref="G984:G985"/>
    <mergeCell ref="H984:H985"/>
    <mergeCell ref="I984:I985"/>
    <mergeCell ref="J984:K984"/>
    <mergeCell ref="L984:L985"/>
    <mergeCell ref="M984:M985"/>
    <mergeCell ref="N950:N951"/>
    <mergeCell ref="O950:O951"/>
    <mergeCell ref="Q950:Q951"/>
    <mergeCell ref="R950:R951"/>
    <mergeCell ref="D981:P981"/>
    <mergeCell ref="A982:A985"/>
    <mergeCell ref="B982:B985"/>
    <mergeCell ref="D982:P982"/>
    <mergeCell ref="Q982:R983"/>
    <mergeCell ref="D983:H983"/>
    <mergeCell ref="G950:G951"/>
    <mergeCell ref="H950:H951"/>
    <mergeCell ref="I950:I951"/>
    <mergeCell ref="J950:K950"/>
    <mergeCell ref="L950:L951"/>
    <mergeCell ref="M950:M951"/>
    <mergeCell ref="D947:P947"/>
    <mergeCell ref="A948:A951"/>
    <mergeCell ref="B948:B951"/>
    <mergeCell ref="D948:P948"/>
    <mergeCell ref="Q948:R949"/>
    <mergeCell ref="D949:H949"/>
    <mergeCell ref="I949:O949"/>
    <mergeCell ref="P949:P951"/>
    <mergeCell ref="D950:E950"/>
    <mergeCell ref="F950:F951"/>
    <mergeCell ref="N926:N927"/>
    <mergeCell ref="O926:O927"/>
    <mergeCell ref="Q926:Q927"/>
    <mergeCell ref="R926:R927"/>
    <mergeCell ref="A934:A936"/>
    <mergeCell ref="B934:B936"/>
    <mergeCell ref="I925:O925"/>
    <mergeCell ref="P925:P927"/>
    <mergeCell ref="D926:E926"/>
    <mergeCell ref="F926:F927"/>
    <mergeCell ref="G926:G927"/>
    <mergeCell ref="H926:H927"/>
    <mergeCell ref="I926:I927"/>
    <mergeCell ref="J926:K926"/>
    <mergeCell ref="L926:L927"/>
    <mergeCell ref="M926:M927"/>
    <mergeCell ref="N905:N906"/>
    <mergeCell ref="O905:O906"/>
    <mergeCell ref="Q905:Q906"/>
    <mergeCell ref="R905:R906"/>
    <mergeCell ref="D923:P923"/>
    <mergeCell ref="A924:A927"/>
    <mergeCell ref="B924:B927"/>
    <mergeCell ref="D924:P924"/>
    <mergeCell ref="Q924:R925"/>
    <mergeCell ref="D925:H925"/>
    <mergeCell ref="G905:G906"/>
    <mergeCell ref="H905:H906"/>
    <mergeCell ref="I905:I906"/>
    <mergeCell ref="J905:K905"/>
    <mergeCell ref="L905:L906"/>
    <mergeCell ref="M905:M906"/>
    <mergeCell ref="D902:P902"/>
    <mergeCell ref="A903:A906"/>
    <mergeCell ref="B903:B906"/>
    <mergeCell ref="D903:P903"/>
    <mergeCell ref="Q903:R904"/>
    <mergeCell ref="D904:H904"/>
    <mergeCell ref="I904:O904"/>
    <mergeCell ref="P904:P906"/>
    <mergeCell ref="D905:E905"/>
    <mergeCell ref="F905:F906"/>
    <mergeCell ref="O873:O874"/>
    <mergeCell ref="Q873:Q874"/>
    <mergeCell ref="R873:R874"/>
    <mergeCell ref="A884:A885"/>
    <mergeCell ref="B884:B885"/>
    <mergeCell ref="A890:A891"/>
    <mergeCell ref="H873:H874"/>
    <mergeCell ref="I873:I874"/>
    <mergeCell ref="J873:K873"/>
    <mergeCell ref="L873:L874"/>
    <mergeCell ref="M873:M874"/>
    <mergeCell ref="N873:N874"/>
    <mergeCell ref="A871:A874"/>
    <mergeCell ref="B871:B874"/>
    <mergeCell ref="D871:P871"/>
    <mergeCell ref="Q871:R872"/>
    <mergeCell ref="D872:H872"/>
    <mergeCell ref="I872:O872"/>
    <mergeCell ref="P872:P874"/>
    <mergeCell ref="D873:E873"/>
    <mergeCell ref="F873:F874"/>
    <mergeCell ref="G873:G874"/>
    <mergeCell ref="O830:O831"/>
    <mergeCell ref="Q830:Q831"/>
    <mergeCell ref="R830:R831"/>
    <mergeCell ref="A856:A858"/>
    <mergeCell ref="B856:B858"/>
    <mergeCell ref="D870:P870"/>
    <mergeCell ref="P829:P831"/>
    <mergeCell ref="D830:E830"/>
    <mergeCell ref="F830:F831"/>
    <mergeCell ref="G830:G831"/>
    <mergeCell ref="H830:H831"/>
    <mergeCell ref="I830:I831"/>
    <mergeCell ref="J830:K830"/>
    <mergeCell ref="L830:L831"/>
    <mergeCell ref="M830:M831"/>
    <mergeCell ref="N830:N831"/>
    <mergeCell ref="O795:O796"/>
    <mergeCell ref="Q795:Q796"/>
    <mergeCell ref="R795:R796"/>
    <mergeCell ref="D827:P827"/>
    <mergeCell ref="A828:A831"/>
    <mergeCell ref="B828:B831"/>
    <mergeCell ref="D828:P828"/>
    <mergeCell ref="Q828:R829"/>
    <mergeCell ref="D829:H829"/>
    <mergeCell ref="I829:O829"/>
    <mergeCell ref="P794:P796"/>
    <mergeCell ref="D795:E795"/>
    <mergeCell ref="F795:F796"/>
    <mergeCell ref="G795:G796"/>
    <mergeCell ref="H795:H796"/>
    <mergeCell ref="I795:I796"/>
    <mergeCell ref="J795:K795"/>
    <mergeCell ref="L795:L796"/>
    <mergeCell ref="M795:M796"/>
    <mergeCell ref="N795:N796"/>
    <mergeCell ref="O769:O770"/>
    <mergeCell ref="Q769:Q770"/>
    <mergeCell ref="R769:R770"/>
    <mergeCell ref="D792:P792"/>
    <mergeCell ref="A793:A796"/>
    <mergeCell ref="B793:B796"/>
    <mergeCell ref="D793:P793"/>
    <mergeCell ref="Q793:R794"/>
    <mergeCell ref="D794:H794"/>
    <mergeCell ref="I794:O794"/>
    <mergeCell ref="P768:P770"/>
    <mergeCell ref="D769:E769"/>
    <mergeCell ref="F769:F770"/>
    <mergeCell ref="G769:G770"/>
    <mergeCell ref="H769:H770"/>
    <mergeCell ref="I769:I770"/>
    <mergeCell ref="J769:K769"/>
    <mergeCell ref="L769:L770"/>
    <mergeCell ref="M769:M770"/>
    <mergeCell ref="N769:N770"/>
    <mergeCell ref="O705:O706"/>
    <mergeCell ref="Q705:Q706"/>
    <mergeCell ref="R705:R706"/>
    <mergeCell ref="D766:P766"/>
    <mergeCell ref="A767:A770"/>
    <mergeCell ref="B767:B770"/>
    <mergeCell ref="D767:P767"/>
    <mergeCell ref="Q767:R768"/>
    <mergeCell ref="D768:H768"/>
    <mergeCell ref="I768:O768"/>
    <mergeCell ref="P704:P706"/>
    <mergeCell ref="D705:E705"/>
    <mergeCell ref="F705:F706"/>
    <mergeCell ref="G705:G706"/>
    <mergeCell ref="H705:H706"/>
    <mergeCell ref="I705:I706"/>
    <mergeCell ref="J705:K705"/>
    <mergeCell ref="L705:L706"/>
    <mergeCell ref="M705:M706"/>
    <mergeCell ref="N705:N706"/>
    <mergeCell ref="O686:O687"/>
    <mergeCell ref="Q686:Q687"/>
    <mergeCell ref="R686:R687"/>
    <mergeCell ref="D702:P702"/>
    <mergeCell ref="A703:A706"/>
    <mergeCell ref="B703:B706"/>
    <mergeCell ref="D703:P703"/>
    <mergeCell ref="Q703:R704"/>
    <mergeCell ref="D704:H704"/>
    <mergeCell ref="I704:O704"/>
    <mergeCell ref="P685:P687"/>
    <mergeCell ref="D686:E686"/>
    <mergeCell ref="F686:F687"/>
    <mergeCell ref="G686:G687"/>
    <mergeCell ref="H686:H687"/>
    <mergeCell ref="I686:I687"/>
    <mergeCell ref="J686:K686"/>
    <mergeCell ref="L686:L687"/>
    <mergeCell ref="M686:M687"/>
    <mergeCell ref="N686:N687"/>
    <mergeCell ref="O612:O613"/>
    <mergeCell ref="Q612:Q613"/>
    <mergeCell ref="R612:R613"/>
    <mergeCell ref="D683:P683"/>
    <mergeCell ref="A684:A687"/>
    <mergeCell ref="B684:B687"/>
    <mergeCell ref="D684:P684"/>
    <mergeCell ref="Q684:R685"/>
    <mergeCell ref="D685:H685"/>
    <mergeCell ref="I685:O685"/>
    <mergeCell ref="P611:P613"/>
    <mergeCell ref="D612:E612"/>
    <mergeCell ref="F612:F613"/>
    <mergeCell ref="G612:G613"/>
    <mergeCell ref="H612:H613"/>
    <mergeCell ref="I612:I613"/>
    <mergeCell ref="J612:K612"/>
    <mergeCell ref="L612:L613"/>
    <mergeCell ref="M612:M613"/>
    <mergeCell ref="N612:N613"/>
    <mergeCell ref="O588:O589"/>
    <mergeCell ref="Q588:Q589"/>
    <mergeCell ref="R588:R589"/>
    <mergeCell ref="D609:P609"/>
    <mergeCell ref="A610:A613"/>
    <mergeCell ref="B610:B613"/>
    <mergeCell ref="D610:P610"/>
    <mergeCell ref="Q610:R611"/>
    <mergeCell ref="D611:H611"/>
    <mergeCell ref="I611:O611"/>
    <mergeCell ref="P587:P589"/>
    <mergeCell ref="D588:E588"/>
    <mergeCell ref="F588:F589"/>
    <mergeCell ref="G588:G589"/>
    <mergeCell ref="H588:H589"/>
    <mergeCell ref="I588:I589"/>
    <mergeCell ref="J588:K588"/>
    <mergeCell ref="L588:L589"/>
    <mergeCell ref="M588:M589"/>
    <mergeCell ref="N588:N589"/>
    <mergeCell ref="O574:O575"/>
    <mergeCell ref="Q574:Q575"/>
    <mergeCell ref="R574:R575"/>
    <mergeCell ref="D585:P585"/>
    <mergeCell ref="A586:A589"/>
    <mergeCell ref="B586:B589"/>
    <mergeCell ref="D586:P586"/>
    <mergeCell ref="Q586:R587"/>
    <mergeCell ref="D587:H587"/>
    <mergeCell ref="I587:O587"/>
    <mergeCell ref="P573:P575"/>
    <mergeCell ref="D574:E574"/>
    <mergeCell ref="F574:F575"/>
    <mergeCell ref="G574:G575"/>
    <mergeCell ref="H574:H575"/>
    <mergeCell ref="I574:I575"/>
    <mergeCell ref="J574:K574"/>
    <mergeCell ref="L574:L575"/>
    <mergeCell ref="M574:M575"/>
    <mergeCell ref="N574:N575"/>
    <mergeCell ref="O505:O506"/>
    <mergeCell ref="Q505:Q506"/>
    <mergeCell ref="R505:R506"/>
    <mergeCell ref="D571:P571"/>
    <mergeCell ref="A572:A575"/>
    <mergeCell ref="B572:B575"/>
    <mergeCell ref="D572:P572"/>
    <mergeCell ref="Q572:R573"/>
    <mergeCell ref="D573:H573"/>
    <mergeCell ref="I573:O573"/>
    <mergeCell ref="P504:P506"/>
    <mergeCell ref="D505:E505"/>
    <mergeCell ref="F505:F506"/>
    <mergeCell ref="G505:G506"/>
    <mergeCell ref="H505:H506"/>
    <mergeCell ref="I505:I506"/>
    <mergeCell ref="J505:K505"/>
    <mergeCell ref="L505:L506"/>
    <mergeCell ref="M505:M506"/>
    <mergeCell ref="N505:N506"/>
    <mergeCell ref="O463:O464"/>
    <mergeCell ref="Q463:Q464"/>
    <mergeCell ref="R463:R464"/>
    <mergeCell ref="D502:P502"/>
    <mergeCell ref="A503:A506"/>
    <mergeCell ref="B503:B506"/>
    <mergeCell ref="D503:P503"/>
    <mergeCell ref="Q503:R504"/>
    <mergeCell ref="D504:H504"/>
    <mergeCell ref="I504:O504"/>
    <mergeCell ref="P462:P464"/>
    <mergeCell ref="D463:E463"/>
    <mergeCell ref="F463:F464"/>
    <mergeCell ref="G463:G464"/>
    <mergeCell ref="H463:H464"/>
    <mergeCell ref="I463:I464"/>
    <mergeCell ref="J463:K463"/>
    <mergeCell ref="L463:L464"/>
    <mergeCell ref="M463:M464"/>
    <mergeCell ref="N463:N464"/>
    <mergeCell ref="O431:O432"/>
    <mergeCell ref="Q431:Q432"/>
    <mergeCell ref="R431:R432"/>
    <mergeCell ref="D460:P460"/>
    <mergeCell ref="A461:A464"/>
    <mergeCell ref="B461:B464"/>
    <mergeCell ref="D461:P461"/>
    <mergeCell ref="Q461:R462"/>
    <mergeCell ref="D462:H462"/>
    <mergeCell ref="I462:O462"/>
    <mergeCell ref="P430:P432"/>
    <mergeCell ref="D431:E431"/>
    <mergeCell ref="F431:F432"/>
    <mergeCell ref="G431:G432"/>
    <mergeCell ref="H431:H432"/>
    <mergeCell ref="I431:I432"/>
    <mergeCell ref="J431:K431"/>
    <mergeCell ref="L431:L432"/>
    <mergeCell ref="M431:M432"/>
    <mergeCell ref="N431:N432"/>
    <mergeCell ref="O415:O416"/>
    <mergeCell ref="Q415:Q416"/>
    <mergeCell ref="R415:R416"/>
    <mergeCell ref="D428:P428"/>
    <mergeCell ref="A429:A432"/>
    <mergeCell ref="B429:B432"/>
    <mergeCell ref="D429:P429"/>
    <mergeCell ref="Q429:R430"/>
    <mergeCell ref="D430:H430"/>
    <mergeCell ref="I430:O430"/>
    <mergeCell ref="P414:P416"/>
    <mergeCell ref="D415:E415"/>
    <mergeCell ref="F415:F416"/>
    <mergeCell ref="G415:G416"/>
    <mergeCell ref="H415:H416"/>
    <mergeCell ref="I415:I416"/>
    <mergeCell ref="J415:K415"/>
    <mergeCell ref="L415:L416"/>
    <mergeCell ref="M415:M416"/>
    <mergeCell ref="N415:N416"/>
    <mergeCell ref="O401:O402"/>
    <mergeCell ref="Q401:Q402"/>
    <mergeCell ref="R401:R402"/>
    <mergeCell ref="D412:P412"/>
    <mergeCell ref="A413:A416"/>
    <mergeCell ref="B413:B416"/>
    <mergeCell ref="D413:P413"/>
    <mergeCell ref="Q413:R414"/>
    <mergeCell ref="D414:H414"/>
    <mergeCell ref="I414:O414"/>
    <mergeCell ref="P400:P402"/>
    <mergeCell ref="D401:E401"/>
    <mergeCell ref="F401:F402"/>
    <mergeCell ref="G401:G402"/>
    <mergeCell ref="H401:H402"/>
    <mergeCell ref="I401:I402"/>
    <mergeCell ref="J401:K401"/>
    <mergeCell ref="L401:L402"/>
    <mergeCell ref="M401:M402"/>
    <mergeCell ref="N401:N402"/>
    <mergeCell ref="O382:O383"/>
    <mergeCell ref="Q382:Q383"/>
    <mergeCell ref="R382:R383"/>
    <mergeCell ref="D398:P398"/>
    <mergeCell ref="A399:A402"/>
    <mergeCell ref="B399:B402"/>
    <mergeCell ref="D399:P399"/>
    <mergeCell ref="Q399:R400"/>
    <mergeCell ref="D400:H400"/>
    <mergeCell ref="I400:O400"/>
    <mergeCell ref="P381:P383"/>
    <mergeCell ref="D382:E382"/>
    <mergeCell ref="F382:F383"/>
    <mergeCell ref="G382:G383"/>
    <mergeCell ref="H382:H383"/>
    <mergeCell ref="I382:I383"/>
    <mergeCell ref="J382:K382"/>
    <mergeCell ref="L382:L383"/>
    <mergeCell ref="M382:M383"/>
    <mergeCell ref="N382:N383"/>
    <mergeCell ref="O366:O367"/>
    <mergeCell ref="Q366:Q367"/>
    <mergeCell ref="R366:R367"/>
    <mergeCell ref="D379:P379"/>
    <mergeCell ref="A380:A383"/>
    <mergeCell ref="B380:B383"/>
    <mergeCell ref="D380:P380"/>
    <mergeCell ref="Q380:R381"/>
    <mergeCell ref="D381:H381"/>
    <mergeCell ref="I381:O381"/>
    <mergeCell ref="P365:P367"/>
    <mergeCell ref="D366:E366"/>
    <mergeCell ref="F366:F367"/>
    <mergeCell ref="G366:G367"/>
    <mergeCell ref="H366:H367"/>
    <mergeCell ref="I366:I367"/>
    <mergeCell ref="J366:K366"/>
    <mergeCell ref="L366:L367"/>
    <mergeCell ref="M366:M367"/>
    <mergeCell ref="N366:N367"/>
    <mergeCell ref="O345:O346"/>
    <mergeCell ref="Q345:Q346"/>
    <mergeCell ref="R345:R346"/>
    <mergeCell ref="D363:P363"/>
    <mergeCell ref="A364:A367"/>
    <mergeCell ref="B364:B367"/>
    <mergeCell ref="D364:P364"/>
    <mergeCell ref="Q364:R365"/>
    <mergeCell ref="D365:H365"/>
    <mergeCell ref="I365:O365"/>
    <mergeCell ref="P344:P346"/>
    <mergeCell ref="D345:E345"/>
    <mergeCell ref="F345:F346"/>
    <mergeCell ref="G345:G346"/>
    <mergeCell ref="H345:H346"/>
    <mergeCell ref="I345:I346"/>
    <mergeCell ref="J345:K345"/>
    <mergeCell ref="L345:L346"/>
    <mergeCell ref="M345:M346"/>
    <mergeCell ref="N345:N346"/>
    <mergeCell ref="O306:O307"/>
    <mergeCell ref="Q306:Q307"/>
    <mergeCell ref="R306:R307"/>
    <mergeCell ref="D342:P342"/>
    <mergeCell ref="A343:A346"/>
    <mergeCell ref="B343:B346"/>
    <mergeCell ref="D343:P343"/>
    <mergeCell ref="Q343:R344"/>
    <mergeCell ref="D344:H344"/>
    <mergeCell ref="I344:O344"/>
    <mergeCell ref="P305:P307"/>
    <mergeCell ref="D306:E306"/>
    <mergeCell ref="F306:F307"/>
    <mergeCell ref="G306:G307"/>
    <mergeCell ref="H306:H307"/>
    <mergeCell ref="I306:I307"/>
    <mergeCell ref="J306:K306"/>
    <mergeCell ref="L306:L307"/>
    <mergeCell ref="M306:M307"/>
    <mergeCell ref="N306:N307"/>
    <mergeCell ref="O257:O258"/>
    <mergeCell ref="Q257:Q258"/>
    <mergeCell ref="R257:R258"/>
    <mergeCell ref="D303:P303"/>
    <mergeCell ref="A304:A307"/>
    <mergeCell ref="B304:B307"/>
    <mergeCell ref="D304:P304"/>
    <mergeCell ref="Q304:R305"/>
    <mergeCell ref="D305:H305"/>
    <mergeCell ref="I305:O305"/>
    <mergeCell ref="H257:H258"/>
    <mergeCell ref="I257:I258"/>
    <mergeCell ref="J257:K257"/>
    <mergeCell ref="L257:L258"/>
    <mergeCell ref="M257:M258"/>
    <mergeCell ref="N257:N258"/>
    <mergeCell ref="A255:A258"/>
    <mergeCell ref="B255:B258"/>
    <mergeCell ref="D255:P255"/>
    <mergeCell ref="Q255:R256"/>
    <mergeCell ref="D256:H256"/>
    <mergeCell ref="I256:O256"/>
    <mergeCell ref="P256:P258"/>
    <mergeCell ref="D257:E257"/>
    <mergeCell ref="F257:F258"/>
    <mergeCell ref="G257:G258"/>
    <mergeCell ref="M5:M6"/>
    <mergeCell ref="N5:N6"/>
    <mergeCell ref="O5:O6"/>
    <mergeCell ref="Q5:Q6"/>
    <mergeCell ref="R5:R6"/>
    <mergeCell ref="D254:P254"/>
    <mergeCell ref="F5:F6"/>
    <mergeCell ref="G5:G6"/>
    <mergeCell ref="H5:H6"/>
    <mergeCell ref="I5:I6"/>
    <mergeCell ref="J5:K5"/>
    <mergeCell ref="L5:L6"/>
    <mergeCell ref="D1:P1"/>
    <mergeCell ref="D2:P2"/>
    <mergeCell ref="A3:A6"/>
    <mergeCell ref="B3:B6"/>
    <mergeCell ref="D3:P3"/>
    <mergeCell ref="Q3:R4"/>
    <mergeCell ref="D4:H4"/>
    <mergeCell ref="I4:O4"/>
    <mergeCell ref="P4:P6"/>
    <mergeCell ref="D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Grosa</dc:creator>
  <cp:lastModifiedBy>Regina Grosa</cp:lastModifiedBy>
  <dcterms:created xsi:type="dcterms:W3CDTF">2021-12-01T09:18:40Z</dcterms:created>
  <dcterms:modified xsi:type="dcterms:W3CDTF">2021-12-01T09:18:58Z</dcterms:modified>
</cp:coreProperties>
</file>