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KNAMS\Documents\Projekti\KN\Iepirkums Kulturas centram\Būvnieciba 2 kartas\Projekta izmaiņas\"/>
    </mc:Choice>
  </mc:AlternateContent>
  <bookViews>
    <workbookView xWindow="-15" yWindow="5850" windowWidth="18990" windowHeight="5895" activeTab="4"/>
  </bookViews>
  <sheets>
    <sheet name="kops1"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s>
  <externalReferences>
    <externalReference r:id="rId15"/>
    <externalReference r:id="rId16"/>
    <externalReference r:id="rId17"/>
    <externalReference r:id="rId18"/>
    <externalReference r:id="rId19"/>
    <externalReference r:id="rId20"/>
  </externalReferences>
  <definedNames>
    <definedName name="_xlnm._FilterDatabase" localSheetId="9" hidden="1">'1,9'!$C$1:$C$263</definedName>
    <definedName name="A">'[1]2'!$A$1</definedName>
    <definedName name="P" localSheetId="1">#REF!</definedName>
    <definedName name="P" localSheetId="10">#REF!</definedName>
    <definedName name="P" localSheetId="11">#REF!</definedName>
    <definedName name="P" localSheetId="12">#REF!</definedName>
    <definedName name="P" localSheetId="13">#REF!</definedName>
    <definedName name="P" localSheetId="2">#REF!</definedName>
    <definedName name="P" localSheetId="3">#REF!</definedName>
    <definedName name="P" localSheetId="4">#REF!</definedName>
    <definedName name="P" localSheetId="5">#REF!</definedName>
    <definedName name="P" localSheetId="6">#REF!</definedName>
    <definedName name="P" localSheetId="7">#REF!</definedName>
    <definedName name="P" localSheetId="8">#REF!</definedName>
    <definedName name="P" localSheetId="9">#REF!</definedName>
    <definedName name="P" localSheetId="0">#REF!</definedName>
    <definedName name="P">#REF!</definedName>
    <definedName name="_xlnm.Print_Area" localSheetId="12">'1,12'!$A$1:$P$108</definedName>
    <definedName name="_xlnm.Print_Area" localSheetId="13">'1,13'!$A$1:$P$54</definedName>
    <definedName name="_xlnm.Print_Area" localSheetId="3">'1,3'!$A$1:$P$50</definedName>
    <definedName name="_xlnm.Print_Area" localSheetId="4">'1,4'!$A$1:$P$469</definedName>
    <definedName name="_xlnm.Print_Area" localSheetId="5">'1,5'!$A$1:$P$335</definedName>
    <definedName name="_xlnm.Print_Area" localSheetId="8">'1,8'!$A$1:$P$281</definedName>
    <definedName name="_xlnm.Print_Titles" localSheetId="1">'1,1'!$11:$12</definedName>
    <definedName name="_xlnm.Print_Titles" localSheetId="10">'1,10'!$11:$12</definedName>
    <definedName name="_xlnm.Print_Titles" localSheetId="11">'1,11'!$11:$12</definedName>
    <definedName name="_xlnm.Print_Titles" localSheetId="12">'1,12'!$11:$12</definedName>
    <definedName name="_xlnm.Print_Titles" localSheetId="13">'1,13'!$11:$12</definedName>
    <definedName name="_xlnm.Print_Titles" localSheetId="2">'1,2'!$11:$12</definedName>
    <definedName name="_xlnm.Print_Titles" localSheetId="3">'1,3'!$11:$12</definedName>
    <definedName name="_xlnm.Print_Titles" localSheetId="4">'1,4'!$11:$12</definedName>
    <definedName name="_xlnm.Print_Titles" localSheetId="5">'1,5'!$11:$12</definedName>
    <definedName name="_xlnm.Print_Titles" localSheetId="6">'1,6'!$11:$12</definedName>
    <definedName name="_xlnm.Print_Titles" localSheetId="7">'1,7'!$11:$12</definedName>
    <definedName name="_xlnm.Print_Titles" localSheetId="8">'1,8'!$11:$12</definedName>
    <definedName name="_xlnm.Print_Titles" localSheetId="9">'1,9'!$11:$12</definedName>
    <definedName name="_xlnm.Print_Titles" localSheetId="0">kops1!$18:$19</definedName>
  </definedNames>
  <calcPr calcId="152511"/>
</workbook>
</file>

<file path=xl/calcChain.xml><?xml version="1.0" encoding="utf-8"?>
<calcChain xmlns="http://schemas.openxmlformats.org/spreadsheetml/2006/main">
  <c r="E112" i="5" l="1"/>
  <c r="E79" i="5"/>
  <c r="L47" i="11"/>
  <c r="M47" i="11"/>
  <c r="N47" i="11"/>
  <c r="O47" i="11"/>
  <c r="P47" i="11"/>
  <c r="L80" i="11" l="1"/>
  <c r="M80" i="11"/>
  <c r="N80" i="11"/>
  <c r="O80" i="11"/>
  <c r="P80" i="11"/>
  <c r="L78" i="11"/>
  <c r="M78" i="11"/>
  <c r="N78" i="11"/>
  <c r="O78" i="11"/>
  <c r="P78" i="11"/>
  <c r="E195" i="10" l="1"/>
  <c r="E196" i="10" s="1"/>
  <c r="E202" i="10"/>
  <c r="E168" i="10" l="1"/>
  <c r="E166" i="10"/>
  <c r="E151" i="10"/>
  <c r="E149" i="10"/>
  <c r="E84" i="10"/>
  <c r="E82" i="10"/>
  <c r="E67" i="10"/>
  <c r="E65" i="10"/>
  <c r="E50" i="10"/>
  <c r="E48" i="10"/>
  <c r="E35" i="10"/>
  <c r="E33" i="10"/>
  <c r="E34" i="10" s="1"/>
  <c r="L34" i="10" s="1"/>
  <c r="E22" i="10"/>
  <c r="E23" i="10" s="1"/>
  <c r="E18" i="10" s="1"/>
  <c r="E16" i="10"/>
  <c r="E101" i="10"/>
  <c r="E103" i="10" s="1"/>
  <c r="E99" i="10"/>
  <c r="E100" i="10" s="1"/>
  <c r="E108" i="10"/>
  <c r="E110" i="10"/>
  <c r="E109" i="10"/>
  <c r="E106" i="10"/>
  <c r="E102" i="10"/>
  <c r="E83" i="10"/>
  <c r="E94" i="7"/>
  <c r="E84" i="7"/>
  <c r="E63" i="10"/>
  <c r="M438" i="5"/>
  <c r="N438" i="5"/>
  <c r="O438" i="5"/>
  <c r="L438" i="5"/>
  <c r="K438" i="5"/>
  <c r="M457" i="5"/>
  <c r="N457" i="5"/>
  <c r="O457" i="5"/>
  <c r="L457" i="5"/>
  <c r="K457" i="5"/>
  <c r="E454" i="5"/>
  <c r="K456" i="5"/>
  <c r="K455" i="5"/>
  <c r="M453" i="5"/>
  <c r="E451" i="5"/>
  <c r="O453" i="5"/>
  <c r="L453" i="5"/>
  <c r="K452" i="5"/>
  <c r="K451" i="5"/>
  <c r="M450" i="5"/>
  <c r="N450" i="5"/>
  <c r="O450" i="5"/>
  <c r="L450" i="5"/>
  <c r="K450" i="5"/>
  <c r="M449" i="5"/>
  <c r="P449" i="5"/>
  <c r="N449" i="5"/>
  <c r="O449" i="5"/>
  <c r="L449" i="5"/>
  <c r="K449" i="5"/>
  <c r="M448" i="5"/>
  <c r="N448" i="5"/>
  <c r="O448" i="5"/>
  <c r="L448" i="5"/>
  <c r="K448" i="5"/>
  <c r="E447" i="5"/>
  <c r="O447" i="5" s="1"/>
  <c r="M447" i="5"/>
  <c r="N447" i="5"/>
  <c r="L447" i="5"/>
  <c r="K447" i="5"/>
  <c r="N446" i="5"/>
  <c r="O446" i="5"/>
  <c r="L446" i="5"/>
  <c r="E443" i="5"/>
  <c r="K445" i="5"/>
  <c r="K444" i="5"/>
  <c r="K443" i="5"/>
  <c r="M442" i="5"/>
  <c r="E440" i="5"/>
  <c r="N442" i="5"/>
  <c r="O442" i="5"/>
  <c r="L442" i="5"/>
  <c r="K442" i="5"/>
  <c r="E441" i="5"/>
  <c r="L441" i="5" s="1"/>
  <c r="K441" i="5"/>
  <c r="N440" i="5"/>
  <c r="O440" i="5"/>
  <c r="L440" i="5"/>
  <c r="N439" i="5"/>
  <c r="O439" i="5"/>
  <c r="L439" i="5"/>
  <c r="M437" i="5"/>
  <c r="N437" i="5"/>
  <c r="O437" i="5"/>
  <c r="L437" i="5"/>
  <c r="K437" i="5"/>
  <c r="M399" i="5"/>
  <c r="N399" i="5"/>
  <c r="O399" i="5"/>
  <c r="M85" i="5"/>
  <c r="N85" i="5"/>
  <c r="O85" i="5"/>
  <c r="M100" i="5"/>
  <c r="N100" i="5"/>
  <c r="O100" i="5"/>
  <c r="M13" i="5"/>
  <c r="P13" i="5" s="1"/>
  <c r="N13" i="5"/>
  <c r="O13" i="5"/>
  <c r="M14" i="5"/>
  <c r="P14" i="5" s="1"/>
  <c r="N14" i="5"/>
  <c r="O14" i="5"/>
  <c r="M15" i="5"/>
  <c r="N15" i="5"/>
  <c r="O15" i="5"/>
  <c r="M16" i="5"/>
  <c r="N16" i="5"/>
  <c r="O16" i="5"/>
  <c r="M17" i="5"/>
  <c r="N17" i="5"/>
  <c r="O17" i="5"/>
  <c r="M18" i="5"/>
  <c r="N18" i="5"/>
  <c r="O18" i="5"/>
  <c r="M19" i="5"/>
  <c r="N19" i="5"/>
  <c r="O19" i="5"/>
  <c r="E20" i="5"/>
  <c r="M22" i="5"/>
  <c r="N22" i="5"/>
  <c r="O22" i="5"/>
  <c r="E23" i="5"/>
  <c r="E25" i="5"/>
  <c r="L25" i="5" s="1"/>
  <c r="E26" i="5"/>
  <c r="M26" i="5" s="1"/>
  <c r="P26" i="5" s="1"/>
  <c r="N26" i="5"/>
  <c r="O26" i="5"/>
  <c r="E28" i="5"/>
  <c r="M29" i="5"/>
  <c r="N29" i="5"/>
  <c r="O29" i="5"/>
  <c r="M30" i="5"/>
  <c r="N30" i="5"/>
  <c r="P30" i="5" s="1"/>
  <c r="O30" i="5"/>
  <c r="M31" i="5"/>
  <c r="N31" i="5"/>
  <c r="O31" i="5"/>
  <c r="P31" i="5" s="1"/>
  <c r="M32" i="5"/>
  <c r="P32" i="5" s="1"/>
  <c r="N32" i="5"/>
  <c r="O32" i="5"/>
  <c r="M35" i="5"/>
  <c r="N35" i="5"/>
  <c r="O35" i="5"/>
  <c r="M36" i="5"/>
  <c r="N36" i="5"/>
  <c r="P36" i="5" s="1"/>
  <c r="O36" i="5"/>
  <c r="E37" i="5"/>
  <c r="M37" i="5"/>
  <c r="N37" i="5"/>
  <c r="O37" i="5"/>
  <c r="E38" i="5"/>
  <c r="M39" i="5"/>
  <c r="N39" i="5"/>
  <c r="P39" i="5" s="1"/>
  <c r="O39" i="5"/>
  <c r="E40" i="5"/>
  <c r="N40" i="5"/>
  <c r="M40" i="5"/>
  <c r="O40" i="5"/>
  <c r="E41" i="5"/>
  <c r="M41" i="5"/>
  <c r="N41" i="5"/>
  <c r="P41" i="5" s="1"/>
  <c r="O41" i="5"/>
  <c r="M42" i="5"/>
  <c r="N42" i="5"/>
  <c r="O42" i="5"/>
  <c r="M43" i="5"/>
  <c r="N43" i="5"/>
  <c r="P43" i="5"/>
  <c r="O43" i="5"/>
  <c r="M44" i="5"/>
  <c r="N44" i="5"/>
  <c r="O44" i="5"/>
  <c r="M45" i="5"/>
  <c r="P45" i="5" s="1"/>
  <c r="N45" i="5"/>
  <c r="O45" i="5"/>
  <c r="M46" i="5"/>
  <c r="N46" i="5"/>
  <c r="O46" i="5"/>
  <c r="M47" i="5"/>
  <c r="N47" i="5"/>
  <c r="E48" i="5"/>
  <c r="N48" i="5" s="1"/>
  <c r="M49" i="5"/>
  <c r="O49" i="5"/>
  <c r="M50" i="5"/>
  <c r="N50" i="5"/>
  <c r="P50" i="5" s="1"/>
  <c r="O50" i="5"/>
  <c r="E51" i="5"/>
  <c r="E52" i="5"/>
  <c r="M53" i="5"/>
  <c r="P53" i="5" s="1"/>
  <c r="N53" i="5"/>
  <c r="O53" i="5"/>
  <c r="E54" i="5"/>
  <c r="M54" i="5"/>
  <c r="P54" i="5" s="1"/>
  <c r="N54" i="5"/>
  <c r="O54" i="5"/>
  <c r="E55" i="5"/>
  <c r="O55" i="5"/>
  <c r="P55" i="5" s="1"/>
  <c r="M55" i="5"/>
  <c r="N55" i="5"/>
  <c r="M56" i="5"/>
  <c r="N56" i="5"/>
  <c r="O56" i="5"/>
  <c r="M57" i="5"/>
  <c r="P57" i="5" s="1"/>
  <c r="N57" i="5"/>
  <c r="O57" i="5"/>
  <c r="M58" i="5"/>
  <c r="N58" i="5"/>
  <c r="P58" i="5"/>
  <c r="O58" i="5"/>
  <c r="M59" i="5"/>
  <c r="N59" i="5"/>
  <c r="O59" i="5"/>
  <c r="M60" i="5"/>
  <c r="N60" i="5"/>
  <c r="O60" i="5"/>
  <c r="E61" i="5"/>
  <c r="E62" i="5" s="1"/>
  <c r="O61" i="5"/>
  <c r="M63" i="5"/>
  <c r="N63" i="5"/>
  <c r="O63" i="5"/>
  <c r="M64" i="5"/>
  <c r="N64" i="5"/>
  <c r="O64" i="5"/>
  <c r="E65" i="5"/>
  <c r="E66" i="5"/>
  <c r="M66" i="5"/>
  <c r="P66" i="5" s="1"/>
  <c r="N66" i="5"/>
  <c r="O66" i="5"/>
  <c r="M67" i="5"/>
  <c r="N67" i="5"/>
  <c r="O67" i="5"/>
  <c r="E68" i="5"/>
  <c r="E69" i="5"/>
  <c r="M70" i="5"/>
  <c r="N70" i="5"/>
  <c r="O70" i="5"/>
  <c r="M71" i="5"/>
  <c r="N71" i="5"/>
  <c r="O71" i="5"/>
  <c r="M72" i="5"/>
  <c r="N72" i="5"/>
  <c r="O72" i="5"/>
  <c r="M73" i="5"/>
  <c r="N73" i="5"/>
  <c r="O73" i="5"/>
  <c r="M74" i="5"/>
  <c r="N74" i="5"/>
  <c r="O74" i="5"/>
  <c r="M75" i="5"/>
  <c r="N75" i="5"/>
  <c r="O75" i="5"/>
  <c r="M76" i="5"/>
  <c r="E76" i="5"/>
  <c r="N76" i="5" s="1"/>
  <c r="E77" i="5"/>
  <c r="M78" i="5"/>
  <c r="P78" i="5" s="1"/>
  <c r="N78" i="5"/>
  <c r="O78" i="5"/>
  <c r="M79" i="5"/>
  <c r="O79" i="5"/>
  <c r="E80" i="5"/>
  <c r="O80" i="5" s="1"/>
  <c r="N80" i="5"/>
  <c r="E81" i="5"/>
  <c r="N81" i="5" s="1"/>
  <c r="O81" i="5"/>
  <c r="E82" i="5"/>
  <c r="M82" i="5" s="1"/>
  <c r="N82" i="5"/>
  <c r="O82" i="5"/>
  <c r="E83" i="5"/>
  <c r="M83" i="5" s="1"/>
  <c r="E84" i="5"/>
  <c r="M84" i="5" s="1"/>
  <c r="M86" i="5"/>
  <c r="P86" i="5" s="1"/>
  <c r="N86" i="5"/>
  <c r="O86" i="5"/>
  <c r="M87" i="5"/>
  <c r="N87" i="5"/>
  <c r="O87" i="5"/>
  <c r="M88" i="5"/>
  <c r="N88" i="5"/>
  <c r="O88" i="5"/>
  <c r="M89" i="5"/>
  <c r="N89" i="5"/>
  <c r="O89" i="5"/>
  <c r="M90" i="5"/>
  <c r="P90" i="5"/>
  <c r="N90" i="5"/>
  <c r="O90" i="5"/>
  <c r="E91" i="5"/>
  <c r="M91" i="5"/>
  <c r="P91" i="5" s="1"/>
  <c r="N91" i="5"/>
  <c r="O91" i="5"/>
  <c r="E92" i="5"/>
  <c r="L92" i="5" s="1"/>
  <c r="M93" i="5"/>
  <c r="N93" i="5"/>
  <c r="O93" i="5"/>
  <c r="M94" i="5"/>
  <c r="N94" i="5"/>
  <c r="O94" i="5"/>
  <c r="E95" i="5"/>
  <c r="M95" i="5"/>
  <c r="N95" i="5"/>
  <c r="O95" i="5"/>
  <c r="E96" i="5"/>
  <c r="M97" i="5"/>
  <c r="N97" i="5"/>
  <c r="O97" i="5"/>
  <c r="E98" i="5"/>
  <c r="E99" i="5"/>
  <c r="M101" i="5"/>
  <c r="N101" i="5"/>
  <c r="O101" i="5"/>
  <c r="M102" i="5"/>
  <c r="N102" i="5"/>
  <c r="O102" i="5"/>
  <c r="M103" i="5"/>
  <c r="N103" i="5"/>
  <c r="O103" i="5"/>
  <c r="M104" i="5"/>
  <c r="N104" i="5"/>
  <c r="O104" i="5"/>
  <c r="M105" i="5"/>
  <c r="N105" i="5"/>
  <c r="O105" i="5"/>
  <c r="M106" i="5"/>
  <c r="E106" i="5"/>
  <c r="E107" i="5"/>
  <c r="M108" i="5"/>
  <c r="P108" i="5"/>
  <c r="N108" i="5"/>
  <c r="O108" i="5"/>
  <c r="E109" i="5"/>
  <c r="N109" i="5" s="1"/>
  <c r="E110" i="5"/>
  <c r="M111" i="5"/>
  <c r="N111" i="5"/>
  <c r="O111" i="5"/>
  <c r="P111" i="5"/>
  <c r="M112" i="5"/>
  <c r="O112" i="5"/>
  <c r="E113" i="5"/>
  <c r="O113" i="5" s="1"/>
  <c r="N113" i="5"/>
  <c r="E114" i="5"/>
  <c r="N114" i="5" s="1"/>
  <c r="M114" i="5"/>
  <c r="P114" i="5" s="1"/>
  <c r="O114" i="5"/>
  <c r="E115" i="5"/>
  <c r="M115" i="5"/>
  <c r="N115" i="5"/>
  <c r="O115" i="5"/>
  <c r="E116" i="5"/>
  <c r="O116" i="5"/>
  <c r="M116" i="5"/>
  <c r="N116" i="5"/>
  <c r="E117" i="5"/>
  <c r="N117" i="5"/>
  <c r="M117" i="5"/>
  <c r="O117" i="5"/>
  <c r="M118" i="5"/>
  <c r="N118" i="5"/>
  <c r="P118" i="5" s="1"/>
  <c r="O118" i="5"/>
  <c r="M119" i="5"/>
  <c r="N119" i="5"/>
  <c r="P119" i="5" s="1"/>
  <c r="O119" i="5"/>
  <c r="M120" i="5"/>
  <c r="P120" i="5"/>
  <c r="N120" i="5"/>
  <c r="O120" i="5"/>
  <c r="M121" i="5"/>
  <c r="P121" i="5"/>
  <c r="N121" i="5"/>
  <c r="O121" i="5"/>
  <c r="M122" i="5"/>
  <c r="N122" i="5"/>
  <c r="O122" i="5"/>
  <c r="M123" i="5"/>
  <c r="N123" i="5"/>
  <c r="O123" i="5"/>
  <c r="M124" i="5"/>
  <c r="N124" i="5"/>
  <c r="O124" i="5"/>
  <c r="M125" i="5"/>
  <c r="E125" i="5"/>
  <c r="M127" i="5"/>
  <c r="N127" i="5"/>
  <c r="O127" i="5"/>
  <c r="M128" i="5"/>
  <c r="N128" i="5"/>
  <c r="O128" i="5"/>
  <c r="E129" i="5"/>
  <c r="M129" i="5" s="1"/>
  <c r="M132" i="5"/>
  <c r="E132" i="5"/>
  <c r="O132" i="5" s="1"/>
  <c r="M135" i="5"/>
  <c r="N135" i="5"/>
  <c r="O135" i="5"/>
  <c r="M136" i="5"/>
  <c r="N136" i="5"/>
  <c r="O136" i="5"/>
  <c r="M137" i="5"/>
  <c r="N137" i="5"/>
  <c r="O137" i="5"/>
  <c r="M138" i="5"/>
  <c r="N138" i="5"/>
  <c r="O138" i="5"/>
  <c r="M139" i="5"/>
  <c r="P139" i="5"/>
  <c r="N139" i="5"/>
  <c r="O139" i="5"/>
  <c r="M140" i="5"/>
  <c r="N140" i="5"/>
  <c r="O140" i="5"/>
  <c r="E141" i="5"/>
  <c r="M141" i="5"/>
  <c r="E142" i="5"/>
  <c r="M143" i="5"/>
  <c r="O143" i="5"/>
  <c r="M144" i="5"/>
  <c r="N144" i="5"/>
  <c r="O144" i="5"/>
  <c r="E145" i="5"/>
  <c r="M145" i="5" s="1"/>
  <c r="E146" i="5"/>
  <c r="O146" i="5" s="1"/>
  <c r="M147" i="5"/>
  <c r="N147" i="5"/>
  <c r="O147" i="5"/>
  <c r="E148" i="5"/>
  <c r="O148" i="5" s="1"/>
  <c r="N148" i="5"/>
  <c r="E149" i="5"/>
  <c r="M149" i="5" s="1"/>
  <c r="M150" i="5"/>
  <c r="P150" i="5"/>
  <c r="N150" i="5"/>
  <c r="O150" i="5"/>
  <c r="M151" i="5"/>
  <c r="P151" i="5"/>
  <c r="N151" i="5"/>
  <c r="O151" i="5"/>
  <c r="M152" i="5"/>
  <c r="N152" i="5"/>
  <c r="O152" i="5"/>
  <c r="M153" i="5"/>
  <c r="N153" i="5"/>
  <c r="O153" i="5"/>
  <c r="M154" i="5"/>
  <c r="N154" i="5"/>
  <c r="O154" i="5"/>
  <c r="M155" i="5"/>
  <c r="E155" i="5"/>
  <c r="N155" i="5" s="1"/>
  <c r="E156" i="5"/>
  <c r="N156" i="5" s="1"/>
  <c r="M157" i="5"/>
  <c r="P157" i="5" s="1"/>
  <c r="N157" i="5"/>
  <c r="O157" i="5"/>
  <c r="M158" i="5"/>
  <c r="N158" i="5"/>
  <c r="O158" i="5"/>
  <c r="E159" i="5"/>
  <c r="E160" i="5"/>
  <c r="M161" i="5"/>
  <c r="N161" i="5"/>
  <c r="O161" i="5"/>
  <c r="E162" i="5"/>
  <c r="O162" i="5"/>
  <c r="E163" i="5"/>
  <c r="M163" i="5" s="1"/>
  <c r="O163" i="5"/>
  <c r="M164" i="5"/>
  <c r="N164" i="5"/>
  <c r="O164" i="5"/>
  <c r="M165" i="5"/>
  <c r="N165" i="5"/>
  <c r="O165" i="5"/>
  <c r="M166" i="5"/>
  <c r="P166" i="5"/>
  <c r="N166" i="5"/>
  <c r="O166" i="5"/>
  <c r="M167" i="5"/>
  <c r="P167" i="5"/>
  <c r="N167" i="5"/>
  <c r="O167" i="5"/>
  <c r="M168" i="5"/>
  <c r="N168" i="5"/>
  <c r="O168" i="5"/>
  <c r="M169" i="5"/>
  <c r="N169" i="5"/>
  <c r="O169" i="5"/>
  <c r="E170" i="5"/>
  <c r="M171" i="5"/>
  <c r="N171" i="5"/>
  <c r="P171" i="5" s="1"/>
  <c r="O171" i="5"/>
  <c r="E172" i="5"/>
  <c r="O172" i="5"/>
  <c r="M172" i="5"/>
  <c r="N172" i="5"/>
  <c r="E173" i="5"/>
  <c r="M174" i="5"/>
  <c r="O174" i="5"/>
  <c r="M175" i="5"/>
  <c r="N175" i="5"/>
  <c r="O175" i="5"/>
  <c r="E176" i="5"/>
  <c r="O176" i="5" s="1"/>
  <c r="N176" i="5"/>
  <c r="E177" i="5"/>
  <c r="M177" i="5"/>
  <c r="M178" i="5"/>
  <c r="P178" i="5" s="1"/>
  <c r="N178" i="5"/>
  <c r="O178" i="5"/>
  <c r="E179" i="5"/>
  <c r="E180" i="5"/>
  <c r="M181" i="5"/>
  <c r="N181" i="5"/>
  <c r="O181" i="5"/>
  <c r="M182" i="5"/>
  <c r="N182" i="5"/>
  <c r="O182" i="5"/>
  <c r="M183" i="5"/>
  <c r="N183" i="5"/>
  <c r="O183" i="5"/>
  <c r="M184" i="5"/>
  <c r="P184" i="5" s="1"/>
  <c r="N184" i="5"/>
  <c r="O184" i="5"/>
  <c r="M185" i="5"/>
  <c r="N185" i="5"/>
  <c r="O185" i="5"/>
  <c r="M186" i="5"/>
  <c r="N186" i="5"/>
  <c r="O186" i="5"/>
  <c r="M187" i="5"/>
  <c r="N187" i="5"/>
  <c r="O187" i="5"/>
  <c r="M188" i="5"/>
  <c r="N188" i="5"/>
  <c r="O188" i="5"/>
  <c r="M189" i="5"/>
  <c r="N189" i="5"/>
  <c r="O189" i="5"/>
  <c r="E190" i="5"/>
  <c r="O190" i="5"/>
  <c r="M190" i="5"/>
  <c r="N190" i="5"/>
  <c r="M191" i="5"/>
  <c r="N191" i="5"/>
  <c r="O191" i="5"/>
  <c r="E192" i="5"/>
  <c r="O192" i="5" s="1"/>
  <c r="M193" i="5"/>
  <c r="N193" i="5"/>
  <c r="O193" i="5"/>
  <c r="M194" i="5"/>
  <c r="N194" i="5"/>
  <c r="P194" i="5"/>
  <c r="O194" i="5"/>
  <c r="M195" i="5"/>
  <c r="N195" i="5"/>
  <c r="O195" i="5"/>
  <c r="E196" i="5"/>
  <c r="M196" i="5"/>
  <c r="E197" i="5"/>
  <c r="O197" i="5"/>
  <c r="M198" i="5"/>
  <c r="N198" i="5"/>
  <c r="O198" i="5"/>
  <c r="E199" i="5"/>
  <c r="E200" i="5"/>
  <c r="M201" i="5"/>
  <c r="P201" i="5" s="1"/>
  <c r="N201" i="5"/>
  <c r="O201" i="5"/>
  <c r="M202" i="5"/>
  <c r="P202" i="5" s="1"/>
  <c r="N202" i="5"/>
  <c r="O202" i="5"/>
  <c r="M203" i="5"/>
  <c r="N203" i="5"/>
  <c r="O203" i="5"/>
  <c r="M204" i="5"/>
  <c r="N204" i="5"/>
  <c r="O204" i="5"/>
  <c r="M205" i="5"/>
  <c r="N205" i="5"/>
  <c r="O205" i="5"/>
  <c r="E206" i="5"/>
  <c r="M208" i="5"/>
  <c r="N208" i="5"/>
  <c r="O208" i="5"/>
  <c r="M209" i="5"/>
  <c r="N209" i="5"/>
  <c r="O209" i="5"/>
  <c r="E210" i="5"/>
  <c r="M210" i="5"/>
  <c r="P210" i="5" s="1"/>
  <c r="N210" i="5"/>
  <c r="O210" i="5"/>
  <c r="E211" i="5"/>
  <c r="O211" i="5" s="1"/>
  <c r="M211" i="5"/>
  <c r="N211" i="5"/>
  <c r="M212" i="5"/>
  <c r="N212" i="5"/>
  <c r="O212" i="5"/>
  <c r="E213" i="5"/>
  <c r="O213" i="5" s="1"/>
  <c r="E214" i="5"/>
  <c r="E215" i="5"/>
  <c r="M216" i="5"/>
  <c r="P216" i="5" s="1"/>
  <c r="N216" i="5"/>
  <c r="O216" i="5"/>
  <c r="M217" i="5"/>
  <c r="P217" i="5" s="1"/>
  <c r="N217" i="5"/>
  <c r="O217" i="5"/>
  <c r="M218" i="5"/>
  <c r="N218" i="5"/>
  <c r="O218" i="5"/>
  <c r="M219" i="5"/>
  <c r="N219" i="5"/>
  <c r="O219" i="5"/>
  <c r="M220" i="5"/>
  <c r="E220" i="5"/>
  <c r="N220" i="5"/>
  <c r="O220" i="5"/>
  <c r="E221" i="5"/>
  <c r="E222" i="5" s="1"/>
  <c r="E223" i="5"/>
  <c r="M224" i="5"/>
  <c r="P224" i="5" s="1"/>
  <c r="N224" i="5"/>
  <c r="O224" i="5"/>
  <c r="E225" i="5"/>
  <c r="E226" i="5"/>
  <c r="E228" i="5"/>
  <c r="M231" i="5"/>
  <c r="P231" i="5" s="1"/>
  <c r="N231" i="5"/>
  <c r="O231" i="5"/>
  <c r="M232" i="5"/>
  <c r="P232" i="5" s="1"/>
  <c r="N232" i="5"/>
  <c r="O232" i="5"/>
  <c r="M233" i="5"/>
  <c r="P233" i="5" s="1"/>
  <c r="N233" i="5"/>
  <c r="O233" i="5"/>
  <c r="M234" i="5"/>
  <c r="P234" i="5"/>
  <c r="N234" i="5"/>
  <c r="O234" i="5"/>
  <c r="E235" i="5"/>
  <c r="E236" i="5"/>
  <c r="M236" i="5" s="1"/>
  <c r="N236" i="5"/>
  <c r="E237" i="5"/>
  <c r="N237" i="5" s="1"/>
  <c r="M237" i="5"/>
  <c r="E238" i="5"/>
  <c r="N238" i="5" s="1"/>
  <c r="M238" i="5"/>
  <c r="M239" i="5"/>
  <c r="P239" i="5" s="1"/>
  <c r="N239" i="5"/>
  <c r="O239" i="5"/>
  <c r="E240" i="5"/>
  <c r="E243" i="5"/>
  <c r="M246" i="5"/>
  <c r="N246" i="5"/>
  <c r="O246" i="5"/>
  <c r="M247" i="5"/>
  <c r="N247" i="5"/>
  <c r="O247" i="5"/>
  <c r="E248" i="5"/>
  <c r="E249" i="5"/>
  <c r="M249" i="5"/>
  <c r="E250" i="5"/>
  <c r="E251" i="5"/>
  <c r="E252" i="5" s="1"/>
  <c r="O251" i="5"/>
  <c r="N251" i="5"/>
  <c r="E253" i="5"/>
  <c r="M254" i="5"/>
  <c r="P254" i="5" s="1"/>
  <c r="N254" i="5"/>
  <c r="O254" i="5"/>
  <c r="E255" i="5"/>
  <c r="O255" i="5" s="1"/>
  <c r="M255" i="5"/>
  <c r="E258" i="5"/>
  <c r="E259" i="5" s="1"/>
  <c r="M258" i="5"/>
  <c r="O258" i="5"/>
  <c r="M261" i="5"/>
  <c r="N261" i="5"/>
  <c r="P261" i="5" s="1"/>
  <c r="O261" i="5"/>
  <c r="M262" i="5"/>
  <c r="N262" i="5"/>
  <c r="P262" i="5" s="1"/>
  <c r="O262" i="5"/>
  <c r="M263" i="5"/>
  <c r="P263" i="5" s="1"/>
  <c r="N263" i="5"/>
  <c r="O263" i="5"/>
  <c r="M264" i="5"/>
  <c r="N264" i="5"/>
  <c r="O264" i="5"/>
  <c r="M265" i="5"/>
  <c r="N265" i="5"/>
  <c r="O265" i="5"/>
  <c r="M266" i="5"/>
  <c r="P266" i="5" s="1"/>
  <c r="N266" i="5"/>
  <c r="O266" i="5"/>
  <c r="N267" i="5"/>
  <c r="O267" i="5"/>
  <c r="E268" i="5"/>
  <c r="O268" i="5" s="1"/>
  <c r="N268" i="5"/>
  <c r="E269" i="5"/>
  <c r="O269" i="5" s="1"/>
  <c r="N269" i="5"/>
  <c r="M270" i="5"/>
  <c r="N270" i="5"/>
  <c r="O270" i="5"/>
  <c r="N271" i="5"/>
  <c r="O271" i="5"/>
  <c r="E272" i="5"/>
  <c r="N272" i="5" s="1"/>
  <c r="M272" i="5"/>
  <c r="O272" i="5"/>
  <c r="E273" i="5"/>
  <c r="M273" i="5"/>
  <c r="N273" i="5"/>
  <c r="O273" i="5"/>
  <c r="M274" i="5"/>
  <c r="P274" i="5"/>
  <c r="N274" i="5"/>
  <c r="O274" i="5"/>
  <c r="E275" i="5"/>
  <c r="O275" i="5"/>
  <c r="E276" i="5"/>
  <c r="M276" i="5" s="1"/>
  <c r="M278" i="5"/>
  <c r="N278" i="5"/>
  <c r="O278" i="5"/>
  <c r="M279" i="5"/>
  <c r="N279" i="5"/>
  <c r="O279" i="5"/>
  <c r="M280" i="5"/>
  <c r="N280" i="5"/>
  <c r="O280" i="5"/>
  <c r="E281" i="5"/>
  <c r="O281" i="5"/>
  <c r="M283" i="5"/>
  <c r="O283" i="5"/>
  <c r="E284" i="5"/>
  <c r="M284" i="5" s="1"/>
  <c r="M287" i="5"/>
  <c r="N287" i="5"/>
  <c r="O287" i="5"/>
  <c r="E288" i="5"/>
  <c r="O288" i="5" s="1"/>
  <c r="E289" i="5"/>
  <c r="M289" i="5"/>
  <c r="N289" i="5"/>
  <c r="O289" i="5"/>
  <c r="M290" i="5"/>
  <c r="N290" i="5"/>
  <c r="O290" i="5"/>
  <c r="M291" i="5"/>
  <c r="N291" i="5"/>
  <c r="O291" i="5"/>
  <c r="M292" i="5"/>
  <c r="P292" i="5" s="1"/>
  <c r="N292" i="5"/>
  <c r="O292" i="5"/>
  <c r="M293" i="5"/>
  <c r="N293" i="5"/>
  <c r="O293" i="5"/>
  <c r="M294" i="5"/>
  <c r="N294" i="5"/>
  <c r="O294" i="5"/>
  <c r="M295" i="5"/>
  <c r="N295" i="5"/>
  <c r="O295" i="5"/>
  <c r="M296" i="5"/>
  <c r="P296" i="5"/>
  <c r="N296" i="5"/>
  <c r="O296" i="5"/>
  <c r="M297" i="5"/>
  <c r="N297" i="5"/>
  <c r="O297" i="5"/>
  <c r="M298" i="5"/>
  <c r="N298" i="5"/>
  <c r="O298" i="5"/>
  <c r="E299" i="5"/>
  <c r="N299" i="5"/>
  <c r="E300" i="5"/>
  <c r="M300" i="5" s="1"/>
  <c r="M301" i="5"/>
  <c r="N301" i="5"/>
  <c r="O301" i="5"/>
  <c r="E302" i="5"/>
  <c r="M302" i="5"/>
  <c r="N302" i="5"/>
  <c r="O302" i="5"/>
  <c r="E303" i="5"/>
  <c r="O303" i="5"/>
  <c r="M303" i="5"/>
  <c r="N303" i="5"/>
  <c r="M304" i="5"/>
  <c r="N304" i="5"/>
  <c r="O304" i="5"/>
  <c r="M305" i="5"/>
  <c r="N305" i="5"/>
  <c r="O305" i="5"/>
  <c r="M306" i="5"/>
  <c r="N306" i="5"/>
  <c r="O306" i="5"/>
  <c r="M307" i="5"/>
  <c r="N307" i="5"/>
  <c r="O307" i="5"/>
  <c r="M308" i="5"/>
  <c r="N308" i="5"/>
  <c r="O308" i="5"/>
  <c r="M309" i="5"/>
  <c r="P309" i="5" s="1"/>
  <c r="N309" i="5"/>
  <c r="O309" i="5"/>
  <c r="E310" i="5"/>
  <c r="O310" i="5" s="1"/>
  <c r="E311" i="5"/>
  <c r="O311" i="5" s="1"/>
  <c r="M311" i="5"/>
  <c r="N311" i="5"/>
  <c r="M312" i="5"/>
  <c r="N312" i="5"/>
  <c r="O312" i="5"/>
  <c r="E313" i="5"/>
  <c r="E314" i="5"/>
  <c r="O314" i="5"/>
  <c r="M315" i="5"/>
  <c r="N315" i="5"/>
  <c r="O315" i="5"/>
  <c r="M316" i="5"/>
  <c r="P316" i="5" s="1"/>
  <c r="N316" i="5"/>
  <c r="O316" i="5"/>
  <c r="M317" i="5"/>
  <c r="N317" i="5"/>
  <c r="O317" i="5"/>
  <c r="M318" i="5"/>
  <c r="N318" i="5"/>
  <c r="O318" i="5"/>
  <c r="M319" i="5"/>
  <c r="N319" i="5"/>
  <c r="O319" i="5"/>
  <c r="M320" i="5"/>
  <c r="N320" i="5"/>
  <c r="O320" i="5"/>
  <c r="E321" i="5"/>
  <c r="M322" i="5"/>
  <c r="N322" i="5"/>
  <c r="O322" i="5"/>
  <c r="E323" i="5"/>
  <c r="M323" i="5"/>
  <c r="M324" i="5"/>
  <c r="N324" i="5"/>
  <c r="O324" i="5"/>
  <c r="M325" i="5"/>
  <c r="N325" i="5"/>
  <c r="O325" i="5"/>
  <c r="M326" i="5"/>
  <c r="N326" i="5"/>
  <c r="O326" i="5"/>
  <c r="E327" i="5"/>
  <c r="M327" i="5"/>
  <c r="P327" i="5"/>
  <c r="N327" i="5"/>
  <c r="O327" i="5"/>
  <c r="E328" i="5"/>
  <c r="M328" i="5"/>
  <c r="M329" i="5"/>
  <c r="N329" i="5"/>
  <c r="O329" i="5"/>
  <c r="E330" i="5"/>
  <c r="N330" i="5" s="1"/>
  <c r="E331" i="5"/>
  <c r="M332" i="5"/>
  <c r="N332" i="5"/>
  <c r="O332" i="5"/>
  <c r="M333" i="5"/>
  <c r="N333" i="5"/>
  <c r="O333" i="5"/>
  <c r="M334" i="5"/>
  <c r="N334" i="5"/>
  <c r="O334" i="5"/>
  <c r="M335" i="5"/>
  <c r="P335" i="5" s="1"/>
  <c r="N335" i="5"/>
  <c r="O335" i="5"/>
  <c r="E336" i="5"/>
  <c r="M337" i="5"/>
  <c r="N337" i="5"/>
  <c r="O337" i="5"/>
  <c r="E338" i="5"/>
  <c r="O338" i="5"/>
  <c r="M339" i="5"/>
  <c r="N339" i="5"/>
  <c r="O339" i="5"/>
  <c r="M340" i="5"/>
  <c r="P340" i="5" s="1"/>
  <c r="N340" i="5"/>
  <c r="O340" i="5"/>
  <c r="M341" i="5"/>
  <c r="N341" i="5"/>
  <c r="O341" i="5"/>
  <c r="E342" i="5"/>
  <c r="E343" i="5"/>
  <c r="M344" i="5"/>
  <c r="N344" i="5"/>
  <c r="O344" i="5"/>
  <c r="E345" i="5"/>
  <c r="M345" i="5" s="1"/>
  <c r="N345" i="5"/>
  <c r="O345" i="5"/>
  <c r="E346" i="5"/>
  <c r="M346" i="5" s="1"/>
  <c r="M347" i="5"/>
  <c r="N347" i="5"/>
  <c r="O347" i="5"/>
  <c r="M348" i="5"/>
  <c r="P348" i="5"/>
  <c r="N348" i="5"/>
  <c r="O348" i="5"/>
  <c r="M349" i="5"/>
  <c r="N349" i="5"/>
  <c r="O349" i="5"/>
  <c r="M350" i="5"/>
  <c r="N350" i="5"/>
  <c r="O350" i="5"/>
  <c r="M351" i="5"/>
  <c r="N351" i="5"/>
  <c r="O351" i="5"/>
  <c r="E352" i="5"/>
  <c r="M353" i="5"/>
  <c r="N353" i="5"/>
  <c r="O353" i="5"/>
  <c r="E354" i="5"/>
  <c r="M354" i="5" s="1"/>
  <c r="O354" i="5"/>
  <c r="M355" i="5"/>
  <c r="N355" i="5"/>
  <c r="O355" i="5"/>
  <c r="M356" i="5"/>
  <c r="N356" i="5"/>
  <c r="O356" i="5"/>
  <c r="M357" i="5"/>
  <c r="N357" i="5"/>
  <c r="O357" i="5"/>
  <c r="E358" i="5"/>
  <c r="O358" i="5" s="1"/>
  <c r="E359" i="5"/>
  <c r="M360" i="5"/>
  <c r="N360" i="5"/>
  <c r="O360" i="5"/>
  <c r="E361" i="5"/>
  <c r="E362" i="5"/>
  <c r="M363" i="5"/>
  <c r="P363" i="5" s="1"/>
  <c r="N363" i="5"/>
  <c r="O363" i="5"/>
  <c r="M364" i="5"/>
  <c r="N364" i="5"/>
  <c r="O364" i="5"/>
  <c r="M365" i="5"/>
  <c r="N365" i="5"/>
  <c r="O365" i="5"/>
  <c r="M366" i="5"/>
  <c r="N366" i="5"/>
  <c r="O366" i="5"/>
  <c r="M367" i="5"/>
  <c r="N367" i="5"/>
  <c r="O367" i="5"/>
  <c r="E368" i="5"/>
  <c r="M368" i="5" s="1"/>
  <c r="N368" i="5"/>
  <c r="O368" i="5"/>
  <c r="M369" i="5"/>
  <c r="N369" i="5"/>
  <c r="O369" i="5"/>
  <c r="E370" i="5"/>
  <c r="M370" i="5" s="1"/>
  <c r="O370" i="5"/>
  <c r="M371" i="5"/>
  <c r="N371" i="5"/>
  <c r="O371" i="5"/>
  <c r="M372" i="5"/>
  <c r="P372" i="5" s="1"/>
  <c r="N372" i="5"/>
  <c r="O372" i="5"/>
  <c r="M373" i="5"/>
  <c r="N373" i="5"/>
  <c r="O373" i="5"/>
  <c r="E374" i="5"/>
  <c r="M374" i="5"/>
  <c r="N374" i="5"/>
  <c r="O374" i="5"/>
  <c r="E375" i="5"/>
  <c r="O375" i="5"/>
  <c r="M375" i="5"/>
  <c r="N375" i="5"/>
  <c r="M376" i="5"/>
  <c r="N376" i="5"/>
  <c r="O376" i="5"/>
  <c r="E377" i="5"/>
  <c r="O377" i="5" s="1"/>
  <c r="E378" i="5"/>
  <c r="M379" i="5"/>
  <c r="N379" i="5"/>
  <c r="O379" i="5"/>
  <c r="M380" i="5"/>
  <c r="N380" i="5"/>
  <c r="O380" i="5"/>
  <c r="M381" i="5"/>
  <c r="N381" i="5"/>
  <c r="O381" i="5"/>
  <c r="M382" i="5"/>
  <c r="N382" i="5"/>
  <c r="O382" i="5"/>
  <c r="M383" i="5"/>
  <c r="N383" i="5"/>
  <c r="O383" i="5"/>
  <c r="M384" i="5"/>
  <c r="N384" i="5"/>
  <c r="O384" i="5"/>
  <c r="M385" i="5"/>
  <c r="N385" i="5"/>
  <c r="O385" i="5"/>
  <c r="E386" i="5"/>
  <c r="M386" i="5" s="1"/>
  <c r="O386" i="5"/>
  <c r="M387" i="5"/>
  <c r="N387" i="5"/>
  <c r="O387" i="5"/>
  <c r="M388" i="5"/>
  <c r="N388" i="5"/>
  <c r="O388" i="5"/>
  <c r="M389" i="5"/>
  <c r="P389" i="5"/>
  <c r="N389" i="5"/>
  <c r="O389" i="5"/>
  <c r="E390" i="5"/>
  <c r="M390" i="5"/>
  <c r="N390" i="5"/>
  <c r="O390" i="5"/>
  <c r="E391" i="5"/>
  <c r="O391" i="5"/>
  <c r="M391" i="5"/>
  <c r="N391" i="5"/>
  <c r="M392" i="5"/>
  <c r="N392" i="5"/>
  <c r="O392" i="5"/>
  <c r="E393" i="5"/>
  <c r="E394" i="5"/>
  <c r="M394" i="5"/>
  <c r="N394" i="5"/>
  <c r="O394" i="5"/>
  <c r="M395" i="5"/>
  <c r="N395" i="5"/>
  <c r="O395" i="5"/>
  <c r="M396" i="5"/>
  <c r="N396" i="5"/>
  <c r="O396" i="5"/>
  <c r="M397" i="5"/>
  <c r="N397" i="5"/>
  <c r="O397" i="5"/>
  <c r="M398" i="5"/>
  <c r="P398" i="5" s="1"/>
  <c r="N398" i="5"/>
  <c r="O398" i="5"/>
  <c r="E400" i="5"/>
  <c r="M401" i="5"/>
  <c r="N401" i="5"/>
  <c r="O401" i="5"/>
  <c r="E402" i="5"/>
  <c r="M403" i="5"/>
  <c r="N403" i="5"/>
  <c r="O403" i="5"/>
  <c r="M404" i="5"/>
  <c r="P404" i="5"/>
  <c r="N404" i="5"/>
  <c r="O404" i="5"/>
  <c r="M405" i="5"/>
  <c r="N405" i="5"/>
  <c r="O405" i="5"/>
  <c r="E406" i="5"/>
  <c r="M406" i="5" s="1"/>
  <c r="N406" i="5"/>
  <c r="O406" i="5"/>
  <c r="E407" i="5"/>
  <c r="M407" i="5" s="1"/>
  <c r="N407" i="5"/>
  <c r="O407" i="5"/>
  <c r="M408" i="5"/>
  <c r="N408" i="5"/>
  <c r="O408" i="5"/>
  <c r="E409" i="5"/>
  <c r="O409" i="5" s="1"/>
  <c r="E410" i="5"/>
  <c r="O410" i="5"/>
  <c r="M411" i="5"/>
  <c r="N411" i="5"/>
  <c r="O411" i="5"/>
  <c r="M412" i="5"/>
  <c r="P412" i="5" s="1"/>
  <c r="N412" i="5"/>
  <c r="O412" i="5"/>
  <c r="M413" i="5"/>
  <c r="N413" i="5"/>
  <c r="O413" i="5"/>
  <c r="M414" i="5"/>
  <c r="N414" i="5"/>
  <c r="O414" i="5"/>
  <c r="M415" i="5"/>
  <c r="N415" i="5"/>
  <c r="O415" i="5"/>
  <c r="E416" i="5"/>
  <c r="M416" i="5" s="1"/>
  <c r="M417" i="5"/>
  <c r="N417" i="5"/>
  <c r="P417" i="5" s="1"/>
  <c r="O417" i="5"/>
  <c r="M418" i="5"/>
  <c r="N418" i="5"/>
  <c r="P418" i="5" s="1"/>
  <c r="O418" i="5"/>
  <c r="M419" i="5"/>
  <c r="N419" i="5"/>
  <c r="O419" i="5"/>
  <c r="E420" i="5"/>
  <c r="O420" i="5" s="1"/>
  <c r="M420" i="5"/>
  <c r="N420" i="5"/>
  <c r="E421" i="5"/>
  <c r="M421" i="5" s="1"/>
  <c r="M422" i="5"/>
  <c r="N422" i="5"/>
  <c r="O422" i="5"/>
  <c r="M423" i="5"/>
  <c r="N423" i="5"/>
  <c r="O423" i="5"/>
  <c r="M424" i="5"/>
  <c r="N424" i="5"/>
  <c r="O424" i="5"/>
  <c r="M425" i="5"/>
  <c r="P425" i="5" s="1"/>
  <c r="N425" i="5"/>
  <c r="O425" i="5"/>
  <c r="M426" i="5"/>
  <c r="N426" i="5"/>
  <c r="O426" i="5"/>
  <c r="M427" i="5"/>
  <c r="N427" i="5"/>
  <c r="O427" i="5"/>
  <c r="E428" i="5"/>
  <c r="M429" i="5"/>
  <c r="P429" i="5" s="1"/>
  <c r="N429" i="5"/>
  <c r="O429" i="5"/>
  <c r="M430" i="5"/>
  <c r="P430" i="5" s="1"/>
  <c r="N430" i="5"/>
  <c r="O430" i="5"/>
  <c r="M431" i="5"/>
  <c r="N431" i="5"/>
  <c r="O431" i="5"/>
  <c r="E432" i="5"/>
  <c r="O432" i="5"/>
  <c r="N432" i="5"/>
  <c r="E433" i="5"/>
  <c r="N433" i="5" s="1"/>
  <c r="M433" i="5"/>
  <c r="O433" i="5"/>
  <c r="M434" i="5"/>
  <c r="N434" i="5"/>
  <c r="O434" i="5"/>
  <c r="M435" i="5"/>
  <c r="N435" i="5"/>
  <c r="O435" i="5"/>
  <c r="M436" i="5"/>
  <c r="P436" i="5" s="1"/>
  <c r="N436" i="5"/>
  <c r="O436" i="5"/>
  <c r="B201" i="9"/>
  <c r="B192" i="9"/>
  <c r="E191" i="9"/>
  <c r="B191" i="9"/>
  <c r="E190" i="9"/>
  <c r="O190" i="9" s="1"/>
  <c r="B190" i="9"/>
  <c r="B189" i="9"/>
  <c r="E187" i="9"/>
  <c r="E188" i="9"/>
  <c r="B188" i="9"/>
  <c r="B187" i="9"/>
  <c r="E174" i="8"/>
  <c r="E17" i="14"/>
  <c r="M102" i="8"/>
  <c r="N102" i="8"/>
  <c r="O102" i="8"/>
  <c r="L102" i="8"/>
  <c r="K102" i="8"/>
  <c r="N101" i="8"/>
  <c r="O101" i="8"/>
  <c r="L101" i="8"/>
  <c r="K97" i="8"/>
  <c r="K96" i="8"/>
  <c r="K95" i="8"/>
  <c r="E24" i="7"/>
  <c r="E18" i="7"/>
  <c r="E27" i="7"/>
  <c r="K29" i="7"/>
  <c r="E258" i="9"/>
  <c r="E134" i="8"/>
  <c r="E314" i="6"/>
  <c r="E235" i="9"/>
  <c r="K237" i="9"/>
  <c r="E230" i="9"/>
  <c r="E217" i="9"/>
  <c r="E73" i="9"/>
  <c r="E74" i="9" s="1"/>
  <c r="E122" i="8"/>
  <c r="E123" i="8" s="1"/>
  <c r="B195" i="9"/>
  <c r="M213" i="9"/>
  <c r="N213" i="9"/>
  <c r="O213" i="9"/>
  <c r="L213" i="9"/>
  <c r="K213" i="9"/>
  <c r="E209" i="9"/>
  <c r="M206" i="9"/>
  <c r="N206" i="9"/>
  <c r="P206" i="9" s="1"/>
  <c r="O206" i="9"/>
  <c r="L206" i="9"/>
  <c r="K206" i="9"/>
  <c r="E205" i="9"/>
  <c r="L205" i="9"/>
  <c r="K205" i="9"/>
  <c r="N204" i="9"/>
  <c r="O204" i="9"/>
  <c r="L204" i="9"/>
  <c r="M203" i="9"/>
  <c r="O203" i="9"/>
  <c r="L203" i="9"/>
  <c r="E202" i="9"/>
  <c r="L202" i="9"/>
  <c r="K202" i="9"/>
  <c r="M201" i="9"/>
  <c r="N201" i="9"/>
  <c r="O201" i="9"/>
  <c r="L201" i="9"/>
  <c r="K201" i="9"/>
  <c r="E195" i="9"/>
  <c r="M200" i="9"/>
  <c r="N200" i="9"/>
  <c r="O200" i="9"/>
  <c r="L200" i="9"/>
  <c r="K200" i="9"/>
  <c r="B200" i="9"/>
  <c r="M199" i="9"/>
  <c r="N199" i="9"/>
  <c r="O199" i="9"/>
  <c r="L199" i="9"/>
  <c r="K199" i="9"/>
  <c r="B199" i="9"/>
  <c r="M198" i="9"/>
  <c r="N198" i="9"/>
  <c r="O198" i="9"/>
  <c r="L198" i="9"/>
  <c r="K198" i="9"/>
  <c r="B198" i="9"/>
  <c r="M197" i="9"/>
  <c r="O197" i="9"/>
  <c r="L197" i="9"/>
  <c r="B197" i="9"/>
  <c r="K196" i="9"/>
  <c r="B196" i="9"/>
  <c r="K195" i="9"/>
  <c r="O195" i="9"/>
  <c r="M194" i="9"/>
  <c r="N194" i="9"/>
  <c r="O194" i="9"/>
  <c r="L194" i="9"/>
  <c r="K194" i="9"/>
  <c r="B194" i="9"/>
  <c r="M191" i="9"/>
  <c r="P191" i="9" s="1"/>
  <c r="N191" i="9"/>
  <c r="O191" i="9"/>
  <c r="L191" i="9"/>
  <c r="K191" i="9"/>
  <c r="M192" i="9"/>
  <c r="N192" i="9"/>
  <c r="O192" i="9"/>
  <c r="L192" i="9"/>
  <c r="K192" i="9"/>
  <c r="K190" i="9"/>
  <c r="M189" i="9"/>
  <c r="N189" i="9"/>
  <c r="O189" i="9"/>
  <c r="P189" i="9"/>
  <c r="L189" i="9"/>
  <c r="K189" i="9"/>
  <c r="K188" i="9"/>
  <c r="M187" i="9"/>
  <c r="N187" i="9"/>
  <c r="O187" i="9"/>
  <c r="L187" i="9"/>
  <c r="K187" i="9"/>
  <c r="M186" i="9"/>
  <c r="P186" i="9" s="1"/>
  <c r="N186" i="9"/>
  <c r="O186" i="9"/>
  <c r="L186" i="9"/>
  <c r="K186" i="9"/>
  <c r="B186" i="9"/>
  <c r="L276" i="5"/>
  <c r="K276" i="5"/>
  <c r="L275" i="5"/>
  <c r="K275" i="5"/>
  <c r="L274" i="5"/>
  <c r="K274" i="5"/>
  <c r="L273" i="5"/>
  <c r="K273" i="5"/>
  <c r="L272" i="5"/>
  <c r="K272" i="5"/>
  <c r="L271" i="5"/>
  <c r="L270" i="5"/>
  <c r="K270" i="5"/>
  <c r="L269" i="5"/>
  <c r="K269" i="5"/>
  <c r="L268" i="5"/>
  <c r="K268" i="5"/>
  <c r="L267" i="5"/>
  <c r="L266" i="5"/>
  <c r="K266" i="5"/>
  <c r="L265" i="5"/>
  <c r="K265" i="5"/>
  <c r="L264" i="5"/>
  <c r="K264" i="5"/>
  <c r="L263" i="5"/>
  <c r="K263" i="5"/>
  <c r="B164" i="9"/>
  <c r="B163" i="9"/>
  <c r="B162" i="9"/>
  <c r="B161" i="9"/>
  <c r="B160" i="9"/>
  <c r="B159"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185" i="9"/>
  <c r="B184" i="9"/>
  <c r="B183" i="9"/>
  <c r="B182" i="9"/>
  <c r="B181" i="9"/>
  <c r="B180" i="9"/>
  <c r="B179" i="9"/>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0" i="8"/>
  <c r="B99" i="8"/>
  <c r="B98" i="8"/>
  <c r="B94" i="8"/>
  <c r="B93" i="8"/>
  <c r="B92" i="8"/>
  <c r="B91" i="8"/>
  <c r="B90" i="8"/>
  <c r="B89" i="8"/>
  <c r="B88" i="8"/>
  <c r="B87" i="8"/>
  <c r="B86" i="8"/>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17" i="7"/>
  <c r="M253" i="9"/>
  <c r="N253" i="9"/>
  <c r="O253" i="9"/>
  <c r="L253" i="9"/>
  <c r="K253" i="9"/>
  <c r="M252" i="9"/>
  <c r="P252" i="9"/>
  <c r="N252" i="9"/>
  <c r="O252" i="9"/>
  <c r="L252" i="9"/>
  <c r="K252" i="9"/>
  <c r="M214" i="9"/>
  <c r="N214" i="9"/>
  <c r="O214" i="9"/>
  <c r="L214" i="9"/>
  <c r="K214" i="9"/>
  <c r="N159" i="9"/>
  <c r="O159" i="9"/>
  <c r="L159" i="9"/>
  <c r="M77" i="9"/>
  <c r="N77" i="9"/>
  <c r="O77" i="9"/>
  <c r="L77" i="9"/>
  <c r="K77" i="9"/>
  <c r="M33" i="9"/>
  <c r="L33" i="9"/>
  <c r="N33" i="9"/>
  <c r="P33" i="9" s="1"/>
  <c r="O33" i="9"/>
  <c r="K25" i="9"/>
  <c r="L25" i="9"/>
  <c r="M25" i="9"/>
  <c r="N25" i="9"/>
  <c r="O25" i="9"/>
  <c r="N268" i="9"/>
  <c r="O268" i="9"/>
  <c r="L268" i="9"/>
  <c r="B102" i="9"/>
  <c r="B101" i="9"/>
  <c r="B100" i="9"/>
  <c r="B99" i="9"/>
  <c r="B98" i="9"/>
  <c r="B97" i="9"/>
  <c r="B96" i="9"/>
  <c r="B95" i="9"/>
  <c r="B94" i="9"/>
  <c r="B93" i="9"/>
  <c r="B92" i="9"/>
  <c r="B91" i="9"/>
  <c r="B90" i="9"/>
  <c r="B89" i="9"/>
  <c r="B88" i="9"/>
  <c r="B87" i="9"/>
  <c r="B86" i="9"/>
  <c r="B85" i="9"/>
  <c r="B84" i="9"/>
  <c r="B83" i="9"/>
  <c r="B82" i="9"/>
  <c r="B81" i="9"/>
  <c r="B80" i="9"/>
  <c r="B79" i="9"/>
  <c r="B78" i="9"/>
  <c r="B76" i="9"/>
  <c r="B75" i="9"/>
  <c r="B74" i="9"/>
  <c r="B73" i="9"/>
  <c r="B72" i="9"/>
  <c r="B71" i="9"/>
  <c r="B70" i="9"/>
  <c r="B69" i="9"/>
  <c r="B68" i="9"/>
  <c r="B67" i="9"/>
  <c r="B66" i="9"/>
  <c r="B65" i="9"/>
  <c r="B64" i="9"/>
  <c r="B63" i="9"/>
  <c r="B62" i="9"/>
  <c r="B61" i="9"/>
  <c r="B60" i="9"/>
  <c r="B59" i="9"/>
  <c r="B58" i="9"/>
  <c r="B57" i="9"/>
  <c r="B56" i="9"/>
  <c r="B23" i="9"/>
  <c r="B22" i="9"/>
  <c r="B21" i="9"/>
  <c r="B20" i="9"/>
  <c r="B19" i="9"/>
  <c r="B18" i="9"/>
  <c r="E31" i="14"/>
  <c r="E34" i="14"/>
  <c r="N34" i="14" s="1"/>
  <c r="E35" i="14"/>
  <c r="E37" i="14"/>
  <c r="L37" i="14" s="1"/>
  <c r="E38" i="14"/>
  <c r="M38" i="14" s="1"/>
  <c r="E40" i="14"/>
  <c r="N267" i="9"/>
  <c r="O267" i="9"/>
  <c r="L267" i="9"/>
  <c r="M267" i="9"/>
  <c r="K266" i="9"/>
  <c r="E266" i="9"/>
  <c r="N266" i="9"/>
  <c r="K265" i="9"/>
  <c r="E265" i="9"/>
  <c r="O264" i="9"/>
  <c r="N264" i="9"/>
  <c r="L264" i="9"/>
  <c r="M264" i="9"/>
  <c r="K263" i="9"/>
  <c r="E263" i="9"/>
  <c r="K262" i="9"/>
  <c r="E262" i="9"/>
  <c r="N262" i="9" s="1"/>
  <c r="O261" i="9"/>
  <c r="N261" i="9"/>
  <c r="L261" i="9"/>
  <c r="M261" i="9"/>
  <c r="O260" i="9"/>
  <c r="M260" i="9"/>
  <c r="L260" i="9"/>
  <c r="K260" i="9"/>
  <c r="K259" i="9"/>
  <c r="E259" i="9"/>
  <c r="N259" i="9" s="1"/>
  <c r="O258" i="9"/>
  <c r="N258" i="9"/>
  <c r="P258" i="9" s="1"/>
  <c r="L258" i="9"/>
  <c r="M258" i="9"/>
  <c r="O257" i="9"/>
  <c r="L257" i="9"/>
  <c r="N257" i="9"/>
  <c r="M257" i="9"/>
  <c r="O256" i="9"/>
  <c r="N256" i="9"/>
  <c r="L256" i="9"/>
  <c r="M256" i="9"/>
  <c r="O255" i="9"/>
  <c r="N255" i="9"/>
  <c r="L255" i="9"/>
  <c r="M255" i="9"/>
  <c r="K251" i="9"/>
  <c r="E251" i="9"/>
  <c r="N251" i="9" s="1"/>
  <c r="K250" i="9"/>
  <c r="E250" i="9"/>
  <c r="O249" i="9"/>
  <c r="N249" i="9"/>
  <c r="P249" i="9" s="1"/>
  <c r="L249" i="9"/>
  <c r="M249" i="9"/>
  <c r="O248" i="9"/>
  <c r="M248" i="9"/>
  <c r="L248" i="9"/>
  <c r="K247" i="9"/>
  <c r="N246" i="9"/>
  <c r="L246" i="9"/>
  <c r="M246" i="9"/>
  <c r="E247" i="9"/>
  <c r="O245" i="9"/>
  <c r="N245" i="9"/>
  <c r="L245" i="9"/>
  <c r="M245" i="9"/>
  <c r="P245" i="9"/>
  <c r="E241" i="9"/>
  <c r="O241" i="9" s="1"/>
  <c r="K244" i="9"/>
  <c r="N244" i="9"/>
  <c r="O243" i="9"/>
  <c r="M243" i="9"/>
  <c r="L243" i="9"/>
  <c r="K242" i="9"/>
  <c r="K241" i="9"/>
  <c r="N243" i="9"/>
  <c r="K249" i="9"/>
  <c r="K256" i="9"/>
  <c r="O259" i="9"/>
  <c r="K264" i="9"/>
  <c r="K267" i="9"/>
  <c r="M266" i="9"/>
  <c r="P266" i="9" s="1"/>
  <c r="O266" i="9"/>
  <c r="O262" i="9"/>
  <c r="M262" i="9"/>
  <c r="L262" i="9"/>
  <c r="M265" i="9"/>
  <c r="L266" i="9"/>
  <c r="N260" i="9"/>
  <c r="K258" i="9"/>
  <c r="K257" i="9"/>
  <c r="K255" i="9"/>
  <c r="O251" i="9"/>
  <c r="N247" i="9"/>
  <c r="L247" i="9"/>
  <c r="O247" i="9"/>
  <c r="M247" i="9"/>
  <c r="P247" i="9" s="1"/>
  <c r="K245" i="9"/>
  <c r="K246" i="9"/>
  <c r="O246" i="9"/>
  <c r="K243" i="9"/>
  <c r="M241" i="9"/>
  <c r="E242" i="9"/>
  <c r="M244" i="9"/>
  <c r="O244" i="9"/>
  <c r="N241" i="9"/>
  <c r="L244" i="9"/>
  <c r="O14" i="13"/>
  <c r="N14" i="13"/>
  <c r="L14" i="13"/>
  <c r="E131" i="9"/>
  <c r="E133" i="9"/>
  <c r="O25" i="6"/>
  <c r="N25" i="6"/>
  <c r="L25" i="6"/>
  <c r="K25" i="6"/>
  <c r="M25" i="6"/>
  <c r="P25" i="6" s="1"/>
  <c r="K36" i="14"/>
  <c r="M33" i="14"/>
  <c r="K32" i="14"/>
  <c r="M30" i="14"/>
  <c r="P30" i="14" s="1"/>
  <c r="N29" i="14"/>
  <c r="K29" i="14"/>
  <c r="M28" i="14"/>
  <c r="N27" i="14"/>
  <c r="M27" i="14"/>
  <c r="M26" i="14"/>
  <c r="M25" i="14"/>
  <c r="K24" i="14"/>
  <c r="E22" i="14"/>
  <c r="E21" i="14"/>
  <c r="L21" i="14"/>
  <c r="K20" i="14"/>
  <c r="K17" i="14"/>
  <c r="K16" i="14"/>
  <c r="G14" i="14"/>
  <c r="F14" i="14" s="1"/>
  <c r="L14" i="14" s="1"/>
  <c r="E96" i="13"/>
  <c r="E93" i="13"/>
  <c r="E92" i="13"/>
  <c r="E91" i="13"/>
  <c r="E85" i="13"/>
  <c r="E83" i="13"/>
  <c r="E81" i="13"/>
  <c r="E79" i="13"/>
  <c r="E77" i="13"/>
  <c r="E76" i="13"/>
  <c r="E75" i="13"/>
  <c r="E73" i="13"/>
  <c r="E72" i="13"/>
  <c r="E69" i="13"/>
  <c r="E67" i="13"/>
  <c r="E65" i="13"/>
  <c r="E63" i="13"/>
  <c r="E61" i="13"/>
  <c r="E60" i="13"/>
  <c r="E58" i="13"/>
  <c r="E57" i="13"/>
  <c r="E56" i="13"/>
  <c r="E54" i="13"/>
  <c r="E53" i="13"/>
  <c r="E52" i="13"/>
  <c r="E50" i="13"/>
  <c r="E46" i="13"/>
  <c r="E42" i="13"/>
  <c r="E41" i="13"/>
  <c r="E39" i="13"/>
  <c r="E35" i="13"/>
  <c r="E33" i="13"/>
  <c r="E30" i="13"/>
  <c r="E26" i="13"/>
  <c r="E24" i="13"/>
  <c r="E22" i="13"/>
  <c r="E20" i="13"/>
  <c r="E17" i="13"/>
  <c r="C13" i="14"/>
  <c r="A47" i="14"/>
  <c r="O42" i="14"/>
  <c r="N42" i="14"/>
  <c r="M42" i="14"/>
  <c r="P42" i="14" s="1"/>
  <c r="L42" i="14"/>
  <c r="K42" i="14"/>
  <c r="O41" i="14"/>
  <c r="P41" i="14"/>
  <c r="M41" i="14"/>
  <c r="L41" i="14"/>
  <c r="K40" i="14"/>
  <c r="L39" i="14"/>
  <c r="K38" i="14"/>
  <c r="O37" i="14"/>
  <c r="K37" i="14"/>
  <c r="O36" i="14"/>
  <c r="P36" i="14" s="1"/>
  <c r="N36" i="14"/>
  <c r="M36" i="14"/>
  <c r="L36" i="14"/>
  <c r="K35" i="14"/>
  <c r="K34" i="14"/>
  <c r="O33" i="14"/>
  <c r="N33" i="14"/>
  <c r="L33" i="14"/>
  <c r="K33" i="14"/>
  <c r="O32" i="14"/>
  <c r="M32" i="14"/>
  <c r="L32" i="14"/>
  <c r="K31" i="14"/>
  <c r="N30" i="14"/>
  <c r="O29" i="14"/>
  <c r="M29" i="14"/>
  <c r="P29" i="14" s="1"/>
  <c r="L29" i="14"/>
  <c r="O28" i="14"/>
  <c r="N28" i="14"/>
  <c r="L28" i="14"/>
  <c r="O27" i="14"/>
  <c r="L27" i="14"/>
  <c r="O26" i="14"/>
  <c r="P26" i="14" s="1"/>
  <c r="N26" i="14"/>
  <c r="L26" i="14"/>
  <c r="O25" i="14"/>
  <c r="N25" i="14"/>
  <c r="L25" i="14"/>
  <c r="O24" i="14"/>
  <c r="N24" i="14"/>
  <c r="M24" i="14"/>
  <c r="L24" i="14"/>
  <c r="O23" i="14"/>
  <c r="N23" i="14"/>
  <c r="M23" i="14"/>
  <c r="L23" i="14"/>
  <c r="K23" i="14"/>
  <c r="K22" i="14"/>
  <c r="M21" i="14"/>
  <c r="K21" i="14"/>
  <c r="O20" i="14"/>
  <c r="N20" i="14"/>
  <c r="L20" i="14"/>
  <c r="O19" i="14"/>
  <c r="M19" i="14"/>
  <c r="L19" i="14"/>
  <c r="K18" i="14"/>
  <c r="O16" i="14"/>
  <c r="P16" i="14"/>
  <c r="N16" i="14"/>
  <c r="M16" i="14"/>
  <c r="L16" i="14"/>
  <c r="O15" i="14"/>
  <c r="N15" i="14"/>
  <c r="M15" i="14"/>
  <c r="L15" i="14"/>
  <c r="K15" i="14"/>
  <c r="O14" i="14"/>
  <c r="N14" i="14"/>
  <c r="M14" i="14"/>
  <c r="K14" i="14"/>
  <c r="O13" i="14"/>
  <c r="N13" i="14"/>
  <c r="M13" i="14"/>
  <c r="L13" i="14"/>
  <c r="K13" i="14"/>
  <c r="A2" i="14"/>
  <c r="O90" i="12"/>
  <c r="E79" i="12"/>
  <c r="B79" i="12"/>
  <c r="E78" i="12"/>
  <c r="B78" i="12"/>
  <c r="E77" i="12"/>
  <c r="B77" i="12"/>
  <c r="B76" i="12"/>
  <c r="E74" i="12"/>
  <c r="B74" i="12"/>
  <c r="B73" i="12"/>
  <c r="E72" i="12"/>
  <c r="B72" i="12"/>
  <c r="B71" i="12"/>
  <c r="B70" i="12"/>
  <c r="E69" i="12"/>
  <c r="E70" i="12"/>
  <c r="B69" i="12"/>
  <c r="E68" i="12"/>
  <c r="B68" i="12"/>
  <c r="E67" i="12"/>
  <c r="B67" i="12"/>
  <c r="E66" i="12"/>
  <c r="B66" i="12"/>
  <c r="E65" i="12"/>
  <c r="B65" i="12"/>
  <c r="B64" i="12"/>
  <c r="B63" i="12"/>
  <c r="B62" i="12"/>
  <c r="B61" i="12"/>
  <c r="E60" i="12"/>
  <c r="E61" i="12" s="1"/>
  <c r="N61" i="12" s="1"/>
  <c r="B60" i="12"/>
  <c r="E59" i="12"/>
  <c r="E56" i="12"/>
  <c r="B56" i="12"/>
  <c r="B55" i="12"/>
  <c r="E54" i="12"/>
  <c r="B54" i="12"/>
  <c r="B53" i="12"/>
  <c r="E52" i="12"/>
  <c r="B52" i="12"/>
  <c r="B51" i="12"/>
  <c r="E50" i="12"/>
  <c r="E49" i="12"/>
  <c r="E48" i="12"/>
  <c r="E46" i="12"/>
  <c r="E45" i="12"/>
  <c r="E44" i="12"/>
  <c r="E43" i="12"/>
  <c r="E41" i="12"/>
  <c r="E39" i="12"/>
  <c r="E38" i="12"/>
  <c r="E36" i="12"/>
  <c r="E35" i="12"/>
  <c r="E33" i="12"/>
  <c r="E32" i="12"/>
  <c r="E31" i="12"/>
  <c r="E30" i="12"/>
  <c r="E29" i="12"/>
  <c r="E28" i="12"/>
  <c r="E27" i="12"/>
  <c r="E26" i="12"/>
  <c r="H14" i="12"/>
  <c r="E81" i="11"/>
  <c r="O81" i="11" s="1"/>
  <c r="E52" i="11"/>
  <c r="O52" i="11" s="1"/>
  <c r="E42" i="11"/>
  <c r="E34" i="11"/>
  <c r="E33" i="11"/>
  <c r="E31" i="11"/>
  <c r="E30" i="11"/>
  <c r="E28" i="11"/>
  <c r="L18" i="10"/>
  <c r="N18" i="10"/>
  <c r="O18" i="10"/>
  <c r="K20" i="10"/>
  <c r="L20" i="10"/>
  <c r="M20" i="10"/>
  <c r="N20" i="10"/>
  <c r="O20" i="10"/>
  <c r="K21" i="10"/>
  <c r="L24" i="10"/>
  <c r="N24" i="10"/>
  <c r="O24" i="10"/>
  <c r="L26" i="10"/>
  <c r="O26" i="10"/>
  <c r="L27" i="10"/>
  <c r="N27" i="10"/>
  <c r="O27" i="10"/>
  <c r="K30" i="10"/>
  <c r="L30" i="10"/>
  <c r="M30" i="10"/>
  <c r="N30" i="10"/>
  <c r="O30" i="10"/>
  <c r="K31" i="10"/>
  <c r="L32" i="10"/>
  <c r="N32" i="10"/>
  <c r="O32" i="10"/>
  <c r="K37" i="10"/>
  <c r="K38" i="10"/>
  <c r="L41" i="10"/>
  <c r="N41" i="10"/>
  <c r="O41" i="10"/>
  <c r="L43" i="10"/>
  <c r="O43" i="10"/>
  <c r="L47" i="10"/>
  <c r="N47" i="10"/>
  <c r="O47" i="10"/>
  <c r="K52" i="10"/>
  <c r="K53" i="10"/>
  <c r="L58" i="10"/>
  <c r="O58" i="10"/>
  <c r="L62" i="10"/>
  <c r="N62" i="10"/>
  <c r="O62" i="10"/>
  <c r="L64" i="10"/>
  <c r="N64" i="10"/>
  <c r="O64" i="10"/>
  <c r="K69" i="10"/>
  <c r="K70" i="10"/>
  <c r="L75" i="10"/>
  <c r="O75" i="10"/>
  <c r="K79" i="10"/>
  <c r="L79" i="10"/>
  <c r="M79" i="10"/>
  <c r="P79" i="10" s="1"/>
  <c r="N79" i="10"/>
  <c r="O79" i="10"/>
  <c r="K80" i="10"/>
  <c r="L81" i="10"/>
  <c r="N81" i="10"/>
  <c r="O81" i="10"/>
  <c r="K86" i="10"/>
  <c r="E86" i="10"/>
  <c r="O86" i="10" s="1"/>
  <c r="K87" i="10"/>
  <c r="L90" i="10"/>
  <c r="N90" i="10"/>
  <c r="O90" i="10"/>
  <c r="L92" i="10"/>
  <c r="O92" i="10"/>
  <c r="K111" i="10"/>
  <c r="L111" i="10"/>
  <c r="N111" i="10"/>
  <c r="O111" i="10"/>
  <c r="L116" i="10"/>
  <c r="O116" i="10"/>
  <c r="E117" i="10"/>
  <c r="N117" i="10"/>
  <c r="K120" i="10"/>
  <c r="L120" i="10"/>
  <c r="M120" i="10"/>
  <c r="N120" i="10"/>
  <c r="O120" i="10"/>
  <c r="K121" i="10"/>
  <c r="L122" i="10"/>
  <c r="N122" i="10"/>
  <c r="O122" i="10"/>
  <c r="L127" i="10"/>
  <c r="O127" i="10"/>
  <c r="L131" i="10"/>
  <c r="N131" i="10"/>
  <c r="O131" i="10"/>
  <c r="L133" i="10"/>
  <c r="N133" i="10"/>
  <c r="O133" i="10"/>
  <c r="L138" i="10"/>
  <c r="O138" i="10"/>
  <c r="E139" i="10"/>
  <c r="L145" i="10"/>
  <c r="N145" i="10"/>
  <c r="O145" i="10"/>
  <c r="L148" i="10"/>
  <c r="N148" i="10"/>
  <c r="O148" i="10"/>
  <c r="K151" i="10"/>
  <c r="K153" i="10"/>
  <c r="K154" i="10"/>
  <c r="L159" i="10"/>
  <c r="O159" i="10"/>
  <c r="K163" i="10"/>
  <c r="L163" i="10"/>
  <c r="M163" i="10"/>
  <c r="N163" i="10"/>
  <c r="P163" i="10" s="1"/>
  <c r="O163" i="10"/>
  <c r="K164" i="10"/>
  <c r="E164" i="10"/>
  <c r="O164" i="10"/>
  <c r="P164" i="10" s="1"/>
  <c r="L165" i="10"/>
  <c r="N165" i="10"/>
  <c r="O165" i="10"/>
  <c r="L166" i="10"/>
  <c r="K170" i="10"/>
  <c r="K171" i="10"/>
  <c r="L176" i="10"/>
  <c r="O176" i="10"/>
  <c r="P176" i="10" s="1"/>
  <c r="L180" i="10"/>
  <c r="N180" i="10"/>
  <c r="O180" i="10"/>
  <c r="L182" i="10"/>
  <c r="N182" i="10"/>
  <c r="O182" i="10"/>
  <c r="L183" i="10"/>
  <c r="N183" i="10"/>
  <c r="O183" i="10"/>
  <c r="K185" i="10"/>
  <c r="L188" i="10"/>
  <c r="O188" i="10"/>
  <c r="K192" i="10"/>
  <c r="L192" i="10"/>
  <c r="M192" i="10"/>
  <c r="N192" i="10"/>
  <c r="O192" i="10"/>
  <c r="K193" i="10"/>
  <c r="L194" i="10"/>
  <c r="N194" i="10"/>
  <c r="P194" i="10" s="1"/>
  <c r="O194" i="10"/>
  <c r="N195" i="10"/>
  <c r="E197" i="10"/>
  <c r="L200" i="10"/>
  <c r="N200" i="10"/>
  <c r="O200" i="10"/>
  <c r="L202" i="10"/>
  <c r="L203" i="10"/>
  <c r="N203" i="10"/>
  <c r="O203" i="10"/>
  <c r="E204" i="10"/>
  <c r="E205" i="10"/>
  <c r="L206" i="10"/>
  <c r="N206" i="10"/>
  <c r="O206" i="10"/>
  <c r="L207" i="10"/>
  <c r="M207" i="10"/>
  <c r="N207" i="10"/>
  <c r="O207" i="10"/>
  <c r="E209" i="10"/>
  <c r="L209" i="10" s="1"/>
  <c r="L210" i="10"/>
  <c r="N210" i="10"/>
  <c r="P210" i="10" s="1"/>
  <c r="M210" i="10"/>
  <c r="O210" i="10"/>
  <c r="E211" i="10"/>
  <c r="L215" i="10"/>
  <c r="N215" i="10"/>
  <c r="O215" i="10"/>
  <c r="L216" i="10"/>
  <c r="N216" i="10"/>
  <c r="O216" i="10"/>
  <c r="L217" i="10"/>
  <c r="N217" i="10"/>
  <c r="O217" i="10"/>
  <c r="E219" i="10"/>
  <c r="O219" i="10" s="1"/>
  <c r="E220" i="10"/>
  <c r="L221" i="10"/>
  <c r="N221" i="10"/>
  <c r="O221" i="10"/>
  <c r="L222" i="10"/>
  <c r="N222" i="10"/>
  <c r="O222" i="10"/>
  <c r="L223" i="10"/>
  <c r="N223" i="10"/>
  <c r="O223" i="10"/>
  <c r="K224" i="10"/>
  <c r="E224" i="10"/>
  <c r="E226" i="10"/>
  <c r="L226" i="10"/>
  <c r="L227" i="10"/>
  <c r="N227" i="10"/>
  <c r="O227" i="10"/>
  <c r="E228" i="10"/>
  <c r="N228" i="10"/>
  <c r="E229" i="10"/>
  <c r="L229" i="10" s="1"/>
  <c r="E230" i="10"/>
  <c r="L231" i="10"/>
  <c r="N231" i="10"/>
  <c r="O231" i="10"/>
  <c r="E232" i="10"/>
  <c r="O232" i="10"/>
  <c r="E234" i="10"/>
  <c r="L234" i="10" s="1"/>
  <c r="L235" i="10"/>
  <c r="N235" i="10"/>
  <c r="P235" i="10" s="1"/>
  <c r="O235" i="10"/>
  <c r="E236" i="10"/>
  <c r="E237" i="10"/>
  <c r="E238" i="10"/>
  <c r="L239" i="10"/>
  <c r="N239" i="10"/>
  <c r="O239" i="10"/>
  <c r="K240" i="10"/>
  <c r="E240" i="10"/>
  <c r="O240" i="10" s="1"/>
  <c r="E241" i="10"/>
  <c r="N241" i="10" s="1"/>
  <c r="E242" i="10"/>
  <c r="L242" i="10"/>
  <c r="N242" i="10"/>
  <c r="L243" i="10"/>
  <c r="N243" i="10"/>
  <c r="O243" i="10"/>
  <c r="K244" i="10"/>
  <c r="E245" i="10"/>
  <c r="L245" i="10" s="1"/>
  <c r="K246" i="10"/>
  <c r="L247" i="10"/>
  <c r="N247" i="10"/>
  <c r="O247" i="10"/>
  <c r="K248" i="10"/>
  <c r="L248" i="10"/>
  <c r="N248" i="10"/>
  <c r="O248" i="10"/>
  <c r="L249" i="10"/>
  <c r="N249" i="10"/>
  <c r="P249" i="10" s="1"/>
  <c r="O249" i="10"/>
  <c r="L250" i="10"/>
  <c r="M250" i="10"/>
  <c r="N250" i="10"/>
  <c r="P250" i="10" s="1"/>
  <c r="O250" i="10"/>
  <c r="K251" i="10"/>
  <c r="L251" i="10"/>
  <c r="N251" i="10"/>
  <c r="P251" i="10" s="1"/>
  <c r="O251" i="10"/>
  <c r="M251" i="10"/>
  <c r="K250" i="10"/>
  <c r="K249" i="10"/>
  <c r="M248" i="10"/>
  <c r="E246" i="10"/>
  <c r="M246" i="10"/>
  <c r="O246" i="10"/>
  <c r="M245" i="10"/>
  <c r="N245" i="10"/>
  <c r="E244" i="10"/>
  <c r="N244" i="10"/>
  <c r="P244" i="10" s="1"/>
  <c r="M242" i="10"/>
  <c r="O242" i="10"/>
  <c r="K241" i="10"/>
  <c r="O241" i="10"/>
  <c r="M240" i="10"/>
  <c r="L240" i="10"/>
  <c r="K239" i="10"/>
  <c r="O238" i="10"/>
  <c r="M237" i="10"/>
  <c r="N236" i="10"/>
  <c r="M235" i="10"/>
  <c r="M234" i="10"/>
  <c r="P234" i="10" s="1"/>
  <c r="N234" i="10"/>
  <c r="K233" i="10"/>
  <c r="E233" i="10"/>
  <c r="O233" i="10"/>
  <c r="L232" i="10"/>
  <c r="K231" i="10"/>
  <c r="M229" i="10"/>
  <c r="N229" i="10"/>
  <c r="P229" i="10" s="1"/>
  <c r="K228" i="10"/>
  <c r="M227" i="10"/>
  <c r="P227" i="10" s="1"/>
  <c r="M226" i="10"/>
  <c r="N226" i="10"/>
  <c r="K225" i="10"/>
  <c r="E225" i="10"/>
  <c r="O225" i="10"/>
  <c r="K222" i="10"/>
  <c r="M221" i="10"/>
  <c r="P221" i="10" s="1"/>
  <c r="M219" i="10"/>
  <c r="L219" i="10"/>
  <c r="E218" i="10"/>
  <c r="N218" i="10" s="1"/>
  <c r="P218" i="10" s="1"/>
  <c r="K217" i="10"/>
  <c r="M216" i="10"/>
  <c r="K215" i="10"/>
  <c r="K214" i="10"/>
  <c r="K212" i="10"/>
  <c r="K211" i="10"/>
  <c r="K209" i="10"/>
  <c r="O209" i="10"/>
  <c r="E208" i="10"/>
  <c r="N208" i="10"/>
  <c r="K207" i="10"/>
  <c r="K206" i="10"/>
  <c r="K204" i="10"/>
  <c r="O204" i="10"/>
  <c r="M203" i="10"/>
  <c r="M202" i="10"/>
  <c r="N202" i="10"/>
  <c r="K201" i="10"/>
  <c r="E201" i="10"/>
  <c r="O201" i="10"/>
  <c r="M200" i="10"/>
  <c r="P200" i="10" s="1"/>
  <c r="K199" i="10"/>
  <c r="K198" i="10"/>
  <c r="E198" i="10"/>
  <c r="L198" i="10" s="1"/>
  <c r="L197" i="10"/>
  <c r="K196" i="10"/>
  <c r="L196" i="10"/>
  <c r="K195" i="10"/>
  <c r="O195" i="10"/>
  <c r="K194" i="10"/>
  <c r="E193" i="10"/>
  <c r="L193" i="10" s="1"/>
  <c r="K189" i="10"/>
  <c r="E189" i="10"/>
  <c r="E190" i="10" s="1"/>
  <c r="M188" i="10"/>
  <c r="K186" i="10"/>
  <c r="E186" i="10"/>
  <c r="K184" i="10"/>
  <c r="E184" i="10"/>
  <c r="E185" i="10" s="1"/>
  <c r="M183" i="10"/>
  <c r="E181" i="10"/>
  <c r="N181" i="10" s="1"/>
  <c r="M180" i="10"/>
  <c r="K179" i="10"/>
  <c r="E177" i="10"/>
  <c r="E174" i="10"/>
  <c r="E170" i="10"/>
  <c r="E171" i="10" s="1"/>
  <c r="K168" i="10"/>
  <c r="K160" i="10"/>
  <c r="E160" i="10"/>
  <c r="E157" i="10"/>
  <c r="M159" i="10"/>
  <c r="K155" i="10"/>
  <c r="E153" i="10"/>
  <c r="E154" i="10" s="1"/>
  <c r="K147" i="10"/>
  <c r="E147" i="10"/>
  <c r="K146" i="10"/>
  <c r="E146" i="10"/>
  <c r="K144" i="10"/>
  <c r="E144" i="10"/>
  <c r="E142" i="10"/>
  <c r="N142" i="10" s="1"/>
  <c r="K136" i="10"/>
  <c r="E136" i="10"/>
  <c r="E134" i="10"/>
  <c r="M134" i="10" s="1"/>
  <c r="K133" i="10"/>
  <c r="K132" i="10"/>
  <c r="E132" i="10"/>
  <c r="E128" i="10"/>
  <c r="E129" i="10"/>
  <c r="K128" i="10"/>
  <c r="M127" i="10"/>
  <c r="E125" i="10"/>
  <c r="E123" i="10"/>
  <c r="E121" i="10"/>
  <c r="K115" i="10"/>
  <c r="E114" i="10"/>
  <c r="E115" i="10"/>
  <c r="K113" i="10"/>
  <c r="K112" i="10"/>
  <c r="E112" i="10"/>
  <c r="M112" i="10"/>
  <c r="M111" i="10"/>
  <c r="E93" i="10"/>
  <c r="E94" i="10"/>
  <c r="N92" i="10"/>
  <c r="P92" i="10" s="1"/>
  <c r="E91" i="10"/>
  <c r="N91" i="10" s="1"/>
  <c r="K89" i="10"/>
  <c r="K82" i="10"/>
  <c r="E80" i="10"/>
  <c r="K78" i="10"/>
  <c r="E76" i="10"/>
  <c r="M75" i="10"/>
  <c r="E73" i="10"/>
  <c r="E74" i="10" s="1"/>
  <c r="E69" i="10"/>
  <c r="E68" i="10"/>
  <c r="M68" i="10" s="1"/>
  <c r="M63" i="10"/>
  <c r="K60" i="10"/>
  <c r="E59" i="10"/>
  <c r="O59" i="10"/>
  <c r="E56" i="10"/>
  <c r="K54" i="10"/>
  <c r="E52" i="10"/>
  <c r="E53" i="10"/>
  <c r="M50" i="10"/>
  <c r="N48" i="10"/>
  <c r="E44" i="10"/>
  <c r="E45" i="10"/>
  <c r="N43" i="10"/>
  <c r="E42" i="10"/>
  <c r="M41" i="10"/>
  <c r="P41" i="10"/>
  <c r="E37" i="10"/>
  <c r="E36" i="10"/>
  <c r="E31" i="10"/>
  <c r="E29" i="10"/>
  <c r="M29" i="10"/>
  <c r="E28" i="10"/>
  <c r="M27" i="10"/>
  <c r="P27" i="10" s="1"/>
  <c r="N26" i="10"/>
  <c r="K25" i="10"/>
  <c r="E25" i="10"/>
  <c r="M22" i="10"/>
  <c r="E21" i="10"/>
  <c r="E19" i="10"/>
  <c r="M19" i="10" s="1"/>
  <c r="E17" i="10"/>
  <c r="N17" i="10"/>
  <c r="H15" i="10"/>
  <c r="E227" i="9"/>
  <c r="E226" i="9"/>
  <c r="E223" i="9"/>
  <c r="E210" i="9"/>
  <c r="E178" i="9"/>
  <c r="E177" i="9"/>
  <c r="E175" i="9"/>
  <c r="E174" i="9"/>
  <c r="E170" i="9"/>
  <c r="E158" i="9"/>
  <c r="E157" i="9"/>
  <c r="E155" i="9"/>
  <c r="E154" i="9"/>
  <c r="E150" i="9"/>
  <c r="E141" i="9"/>
  <c r="E140" i="9"/>
  <c r="E138" i="9"/>
  <c r="E137" i="9"/>
  <c r="E134" i="9"/>
  <c r="E124" i="9"/>
  <c r="E123" i="9"/>
  <c r="E121" i="9"/>
  <c r="E120" i="9"/>
  <c r="E118" i="9"/>
  <c r="E117" i="9"/>
  <c r="E114" i="9"/>
  <c r="E100" i="9"/>
  <c r="E99" i="9"/>
  <c r="E97" i="9"/>
  <c r="E96" i="9"/>
  <c r="E94" i="9"/>
  <c r="E93" i="9"/>
  <c r="E90" i="9"/>
  <c r="L78" i="9"/>
  <c r="E72" i="9"/>
  <c r="E71" i="9"/>
  <c r="E68" i="9"/>
  <c r="E62" i="9"/>
  <c r="E61" i="9"/>
  <c r="E57" i="9"/>
  <c r="E58" i="9" s="1"/>
  <c r="L54" i="9"/>
  <c r="E46" i="9"/>
  <c r="E44" i="9"/>
  <c r="E41" i="9"/>
  <c r="E39" i="9"/>
  <c r="E180" i="8"/>
  <c r="E181" i="8" s="1"/>
  <c r="E179" i="8"/>
  <c r="E178" i="8"/>
  <c r="E175" i="8"/>
  <c r="E170" i="8"/>
  <c r="E169" i="8"/>
  <c r="E165" i="8"/>
  <c r="E166" i="8" s="1"/>
  <c r="E158" i="8"/>
  <c r="K160" i="8"/>
  <c r="E157" i="8"/>
  <c r="E156" i="8"/>
  <c r="E154" i="8"/>
  <c r="E153" i="8"/>
  <c r="E149" i="8"/>
  <c r="E139" i="8"/>
  <c r="E138" i="8"/>
  <c r="E135" i="8"/>
  <c r="E131" i="8"/>
  <c r="E130" i="8"/>
  <c r="E127" i="8"/>
  <c r="E117" i="8"/>
  <c r="E116" i="8"/>
  <c r="E112" i="8"/>
  <c r="E113" i="8"/>
  <c r="E110" i="8"/>
  <c r="E109" i="8"/>
  <c r="E105" i="8"/>
  <c r="E106" i="8"/>
  <c r="E100" i="8"/>
  <c r="E91" i="8"/>
  <c r="E90" i="8"/>
  <c r="E86" i="8"/>
  <c r="E80" i="8"/>
  <c r="E76" i="8"/>
  <c r="E68" i="8"/>
  <c r="E67" i="8"/>
  <c r="E65" i="8"/>
  <c r="E64" i="8"/>
  <c r="E62" i="8"/>
  <c r="E61" i="8"/>
  <c r="E58" i="8"/>
  <c r="E59" i="8" s="1"/>
  <c r="E55" i="8"/>
  <c r="E54" i="8"/>
  <c r="E52" i="8"/>
  <c r="E51" i="8"/>
  <c r="E44" i="8"/>
  <c r="E45" i="8"/>
  <c r="E48" i="8"/>
  <c r="E49" i="8" s="1"/>
  <c r="E42" i="8"/>
  <c r="E43" i="8"/>
  <c r="E46" i="8"/>
  <c r="E47" i="8" s="1"/>
  <c r="E41" i="8"/>
  <c r="E38" i="8"/>
  <c r="E37" i="8"/>
  <c r="E34" i="8"/>
  <c r="E32" i="8"/>
  <c r="E29" i="8"/>
  <c r="E30" i="8" s="1"/>
  <c r="E27" i="8"/>
  <c r="E28" i="8" s="1"/>
  <c r="E21" i="8"/>
  <c r="E19" i="8"/>
  <c r="E18" i="8"/>
  <c r="H15" i="8"/>
  <c r="E108" i="7"/>
  <c r="E107" i="7"/>
  <c r="E106" i="7"/>
  <c r="E102" i="7"/>
  <c r="E104" i="7" s="1"/>
  <c r="E99" i="7"/>
  <c r="E100" i="7"/>
  <c r="E97" i="7"/>
  <c r="E96" i="7"/>
  <c r="E98" i="7" s="1"/>
  <c r="E95" i="7"/>
  <c r="E92" i="7"/>
  <c r="E91" i="7"/>
  <c r="E89" i="7"/>
  <c r="E86" i="7"/>
  <c r="E87" i="7" s="1"/>
  <c r="E85" i="7"/>
  <c r="E80" i="7"/>
  <c r="E83" i="7"/>
  <c r="E79" i="7"/>
  <c r="E75" i="7"/>
  <c r="E74" i="7"/>
  <c r="E70" i="7"/>
  <c r="E71" i="7" s="1"/>
  <c r="E66" i="7"/>
  <c r="E65" i="7"/>
  <c r="E61" i="7"/>
  <c r="E62" i="7" s="1"/>
  <c r="L58" i="7"/>
  <c r="E54" i="7"/>
  <c r="E50" i="7"/>
  <c r="E51" i="7" s="1"/>
  <c r="E44" i="7"/>
  <c r="E45" i="7" s="1"/>
  <c r="E40" i="7"/>
  <c r="E41" i="7" s="1"/>
  <c r="N42" i="7"/>
  <c r="E39" i="7"/>
  <c r="E38" i="7"/>
  <c r="E35" i="7"/>
  <c r="E26" i="7"/>
  <c r="E323" i="6"/>
  <c r="E322" i="6"/>
  <c r="E319" i="6"/>
  <c r="E315" i="6"/>
  <c r="E309" i="6"/>
  <c r="E289" i="6"/>
  <c r="E288" i="6"/>
  <c r="E284" i="6"/>
  <c r="N286" i="6"/>
  <c r="E278" i="6"/>
  <c r="L276" i="6"/>
  <c r="E274" i="6"/>
  <c r="E273" i="6"/>
  <c r="E269" i="6"/>
  <c r="K271" i="6"/>
  <c r="E262" i="6"/>
  <c r="N262" i="6" s="1"/>
  <c r="E261" i="6"/>
  <c r="E257" i="6"/>
  <c r="K259" i="6"/>
  <c r="E253" i="6"/>
  <c r="E252" i="6"/>
  <c r="E248" i="6"/>
  <c r="N250" i="6"/>
  <c r="E242" i="6"/>
  <c r="E243" i="6"/>
  <c r="M243" i="6" s="1"/>
  <c r="E239" i="6"/>
  <c r="E240" i="6" s="1"/>
  <c r="N240" i="6" s="1"/>
  <c r="E233" i="6"/>
  <c r="E235" i="6"/>
  <c r="E230" i="6"/>
  <c r="E225" i="6"/>
  <c r="N227" i="6"/>
  <c r="L223" i="6"/>
  <c r="E219" i="6"/>
  <c r="E218" i="6"/>
  <c r="K216" i="6"/>
  <c r="L212" i="6"/>
  <c r="E210" i="6"/>
  <c r="E207" i="6"/>
  <c r="E202" i="6"/>
  <c r="E201" i="6"/>
  <c r="M201" i="6" s="1"/>
  <c r="E197" i="6"/>
  <c r="E198" i="6" s="1"/>
  <c r="L198" i="6" s="1"/>
  <c r="E193" i="6"/>
  <c r="E192" i="6"/>
  <c r="E191" i="6"/>
  <c r="E189" i="6"/>
  <c r="N189" i="6" s="1"/>
  <c r="E188" i="6"/>
  <c r="E187" i="6"/>
  <c r="E184" i="6"/>
  <c r="E180" i="6"/>
  <c r="E176" i="6"/>
  <c r="E175" i="6"/>
  <c r="M175" i="6" s="1"/>
  <c r="E173" i="6"/>
  <c r="E170" i="6"/>
  <c r="E169" i="6"/>
  <c r="E168" i="6"/>
  <c r="E164" i="6"/>
  <c r="E162" i="6"/>
  <c r="E161" i="6"/>
  <c r="E160" i="6"/>
  <c r="E159" i="6"/>
  <c r="E158" i="6"/>
  <c r="N158" i="6" s="1"/>
  <c r="E156" i="6"/>
  <c r="E155" i="6"/>
  <c r="E154" i="6"/>
  <c r="E150" i="6"/>
  <c r="E148" i="6"/>
  <c r="E147" i="6"/>
  <c r="E146" i="6"/>
  <c r="E145" i="6"/>
  <c r="M145" i="6" s="1"/>
  <c r="E144" i="6"/>
  <c r="E141" i="6"/>
  <c r="E139" i="6"/>
  <c r="E140" i="6" s="1"/>
  <c r="M140" i="6" s="1"/>
  <c r="E133" i="6"/>
  <c r="E138" i="6"/>
  <c r="M138" i="6" s="1"/>
  <c r="E131" i="6"/>
  <c r="E130" i="6"/>
  <c r="E128" i="6"/>
  <c r="E124" i="6"/>
  <c r="E123" i="6"/>
  <c r="E121" i="6"/>
  <c r="E119" i="6"/>
  <c r="E118" i="6"/>
  <c r="E117" i="6"/>
  <c r="E116" i="6"/>
  <c r="E115" i="6"/>
  <c r="E114" i="6"/>
  <c r="E113" i="6"/>
  <c r="E109" i="6"/>
  <c r="E108" i="6"/>
  <c r="E107" i="6"/>
  <c r="N107" i="6" s="1"/>
  <c r="E105" i="6"/>
  <c r="E104" i="6"/>
  <c r="E103" i="6"/>
  <c r="E101" i="6"/>
  <c r="E99" i="6"/>
  <c r="E98" i="6"/>
  <c r="E97" i="6"/>
  <c r="E96" i="6"/>
  <c r="E95" i="6"/>
  <c r="E89" i="6"/>
  <c r="E92" i="6" s="1"/>
  <c r="E84" i="6"/>
  <c r="E79" i="6"/>
  <c r="E82" i="6" s="1"/>
  <c r="E74" i="6"/>
  <c r="N74" i="6" s="1"/>
  <c r="E72" i="6"/>
  <c r="E71" i="6"/>
  <c r="E70" i="6"/>
  <c r="E67" i="6"/>
  <c r="E65" i="6"/>
  <c r="E63" i="6"/>
  <c r="E61" i="6"/>
  <c r="E60" i="6"/>
  <c r="E57" i="6"/>
  <c r="E55" i="6"/>
  <c r="E53" i="6"/>
  <c r="E51" i="6"/>
  <c r="E50" i="6"/>
  <c r="E47" i="6"/>
  <c r="E46" i="6"/>
  <c r="E45" i="6"/>
  <c r="E42" i="6"/>
  <c r="E41" i="6"/>
  <c r="E40" i="6"/>
  <c r="E37" i="6"/>
  <c r="E35" i="6"/>
  <c r="E34" i="6"/>
  <c r="E30" i="6"/>
  <c r="E28" i="6"/>
  <c r="E27" i="6"/>
  <c r="E19" i="6"/>
  <c r="E18" i="6"/>
  <c r="E17" i="6"/>
  <c r="K18" i="5"/>
  <c r="L18" i="5"/>
  <c r="K19" i="5"/>
  <c r="L19" i="5"/>
  <c r="K20" i="5"/>
  <c r="L20" i="5"/>
  <c r="K21" i="5"/>
  <c r="K22" i="5"/>
  <c r="L22" i="5"/>
  <c r="K23" i="5"/>
  <c r="L23" i="5"/>
  <c r="K24" i="5"/>
  <c r="K25" i="5"/>
  <c r="K26" i="5"/>
  <c r="L26" i="5"/>
  <c r="K27" i="5"/>
  <c r="K28" i="5"/>
  <c r="L28" i="5"/>
  <c r="K29" i="5"/>
  <c r="L29" i="5"/>
  <c r="K30" i="5"/>
  <c r="L30" i="5"/>
  <c r="K31" i="5"/>
  <c r="L31" i="5"/>
  <c r="K32" i="5"/>
  <c r="L32" i="5"/>
  <c r="K33" i="5"/>
  <c r="L33" i="5"/>
  <c r="K34" i="5"/>
  <c r="K35" i="5"/>
  <c r="L35" i="5"/>
  <c r="K36" i="5"/>
  <c r="L36" i="5"/>
  <c r="K37" i="5"/>
  <c r="L37" i="5"/>
  <c r="K38" i="5"/>
  <c r="L38" i="5"/>
  <c r="K39" i="5"/>
  <c r="L39" i="5"/>
  <c r="K40" i="5"/>
  <c r="L40" i="5"/>
  <c r="K41" i="5"/>
  <c r="L41" i="5"/>
  <c r="K42" i="5"/>
  <c r="L42" i="5"/>
  <c r="K43" i="5"/>
  <c r="L43" i="5"/>
  <c r="K44" i="5"/>
  <c r="L44" i="5"/>
  <c r="K45" i="5"/>
  <c r="L45" i="5"/>
  <c r="K46" i="5"/>
  <c r="L46" i="5"/>
  <c r="K47" i="5"/>
  <c r="L47" i="5"/>
  <c r="K48" i="5"/>
  <c r="L49" i="5"/>
  <c r="K50" i="5"/>
  <c r="L50" i="5"/>
  <c r="K51" i="5"/>
  <c r="K52" i="5"/>
  <c r="L52" i="5"/>
  <c r="K53" i="5"/>
  <c r="L53" i="5"/>
  <c r="K54" i="5"/>
  <c r="L54" i="5"/>
  <c r="K55" i="5"/>
  <c r="L55" i="5"/>
  <c r="K56" i="5"/>
  <c r="L56" i="5"/>
  <c r="K57" i="5"/>
  <c r="L57" i="5"/>
  <c r="K58" i="5"/>
  <c r="L58" i="5"/>
  <c r="K59" i="5"/>
  <c r="L59" i="5"/>
  <c r="K60" i="5"/>
  <c r="L60" i="5"/>
  <c r="K61" i="5"/>
  <c r="L61" i="5"/>
  <c r="K62" i="5"/>
  <c r="L62" i="5"/>
  <c r="K63" i="5"/>
  <c r="L63" i="5"/>
  <c r="K64" i="5"/>
  <c r="L64" i="5"/>
  <c r="K65" i="5"/>
  <c r="L65" i="5"/>
  <c r="K66" i="5"/>
  <c r="L66" i="5"/>
  <c r="K67" i="5"/>
  <c r="L67" i="5"/>
  <c r="K68" i="5"/>
  <c r="L68" i="5"/>
  <c r="K69" i="5"/>
  <c r="L69" i="5"/>
  <c r="K70" i="5"/>
  <c r="L70" i="5"/>
  <c r="K71" i="5"/>
  <c r="L71" i="5"/>
  <c r="K72" i="5"/>
  <c r="L72" i="5"/>
  <c r="K73" i="5"/>
  <c r="L73" i="5"/>
  <c r="K74" i="5"/>
  <c r="L74" i="5"/>
  <c r="K75" i="5"/>
  <c r="L75" i="5"/>
  <c r="K76" i="5"/>
  <c r="L76" i="5"/>
  <c r="K77" i="5"/>
  <c r="L77" i="5"/>
  <c r="K78" i="5"/>
  <c r="L78" i="5"/>
  <c r="K79" i="5"/>
  <c r="L79" i="5"/>
  <c r="K80" i="5"/>
  <c r="L80" i="5"/>
  <c r="K81" i="5"/>
  <c r="L81" i="5"/>
  <c r="K82" i="5"/>
  <c r="L82" i="5"/>
  <c r="K83" i="5"/>
  <c r="L83" i="5"/>
  <c r="K84" i="5"/>
  <c r="L84" i="5"/>
  <c r="K85" i="5"/>
  <c r="L85" i="5"/>
  <c r="K86" i="5"/>
  <c r="L86" i="5"/>
  <c r="K87" i="5"/>
  <c r="L87" i="5"/>
  <c r="K88" i="5"/>
  <c r="L88" i="5"/>
  <c r="K89" i="5"/>
  <c r="L89" i="5"/>
  <c r="K90" i="5"/>
  <c r="L90" i="5"/>
  <c r="K91" i="5"/>
  <c r="L91" i="5"/>
  <c r="K92" i="5"/>
  <c r="K93" i="5"/>
  <c r="L93" i="5"/>
  <c r="K94" i="5"/>
  <c r="L94" i="5"/>
  <c r="K95" i="5"/>
  <c r="L95" i="5"/>
  <c r="K96" i="5"/>
  <c r="L96" i="5"/>
  <c r="K97" i="5"/>
  <c r="L97" i="5"/>
  <c r="K98" i="5"/>
  <c r="L98" i="5"/>
  <c r="K99" i="5"/>
  <c r="K100" i="5"/>
  <c r="L100" i="5"/>
  <c r="K101" i="5"/>
  <c r="L101" i="5"/>
  <c r="K102" i="5"/>
  <c r="L102" i="5"/>
  <c r="K103" i="5"/>
  <c r="L103" i="5"/>
  <c r="K104" i="5"/>
  <c r="L104" i="5"/>
  <c r="K105" i="5"/>
  <c r="L105" i="5"/>
  <c r="K106" i="5"/>
  <c r="L106" i="5"/>
  <c r="K107" i="5"/>
  <c r="L107" i="5"/>
  <c r="K108" i="5"/>
  <c r="L108" i="5"/>
  <c r="K109" i="5"/>
  <c r="L109" i="5"/>
  <c r="K110" i="5"/>
  <c r="L110" i="5"/>
  <c r="K111" i="5"/>
  <c r="L111" i="5"/>
  <c r="K112" i="5"/>
  <c r="L112" i="5"/>
  <c r="K113" i="5"/>
  <c r="L113" i="5"/>
  <c r="K114" i="5"/>
  <c r="L114" i="5"/>
  <c r="K115" i="5"/>
  <c r="L115" i="5"/>
  <c r="K116" i="5"/>
  <c r="L116" i="5"/>
  <c r="K117" i="5"/>
  <c r="L117" i="5"/>
  <c r="K118" i="5"/>
  <c r="L118" i="5"/>
  <c r="K119" i="5"/>
  <c r="L119" i="5"/>
  <c r="K120" i="5"/>
  <c r="L120" i="5"/>
  <c r="K121" i="5"/>
  <c r="L121" i="5"/>
  <c r="K122" i="5"/>
  <c r="L122" i="5"/>
  <c r="K123" i="5"/>
  <c r="L123" i="5"/>
  <c r="K124" i="5"/>
  <c r="L124" i="5"/>
  <c r="K125" i="5"/>
  <c r="L125" i="5"/>
  <c r="K126" i="5"/>
  <c r="K127" i="5"/>
  <c r="L127" i="5"/>
  <c r="K128" i="5"/>
  <c r="L128" i="5"/>
  <c r="K129" i="5"/>
  <c r="L129" i="5"/>
  <c r="K130" i="5"/>
  <c r="K131" i="5"/>
  <c r="K132" i="5"/>
  <c r="L132" i="5"/>
  <c r="K133" i="5"/>
  <c r="K134" i="5"/>
  <c r="K135" i="5"/>
  <c r="L135" i="5"/>
  <c r="K136" i="5"/>
  <c r="L136" i="5"/>
  <c r="K137" i="5"/>
  <c r="L137" i="5"/>
  <c r="K138" i="5"/>
  <c r="L138" i="5"/>
  <c r="L139" i="5"/>
  <c r="K140" i="5"/>
  <c r="L140" i="5"/>
  <c r="K141" i="5"/>
  <c r="L141" i="5"/>
  <c r="K142" i="5"/>
  <c r="L142" i="5"/>
  <c r="L143" i="5"/>
  <c r="K144" i="5"/>
  <c r="L144" i="5"/>
  <c r="K145" i="5"/>
  <c r="L145" i="5"/>
  <c r="K146" i="5"/>
  <c r="L146" i="5"/>
  <c r="K147" i="5"/>
  <c r="L147" i="5"/>
  <c r="K148" i="5"/>
  <c r="L148" i="5"/>
  <c r="K149" i="5"/>
  <c r="L149" i="5"/>
  <c r="K150" i="5"/>
  <c r="L150" i="5"/>
  <c r="K151" i="5"/>
  <c r="L151" i="5"/>
  <c r="K152" i="5"/>
  <c r="L152" i="5"/>
  <c r="K153" i="5"/>
  <c r="L153" i="5"/>
  <c r="K154" i="5"/>
  <c r="L154" i="5"/>
  <c r="K155" i="5"/>
  <c r="L155" i="5"/>
  <c r="K156" i="5"/>
  <c r="L156" i="5"/>
  <c r="K157" i="5"/>
  <c r="L157" i="5"/>
  <c r="K158" i="5"/>
  <c r="L158" i="5"/>
  <c r="K159" i="5"/>
  <c r="L159" i="5"/>
  <c r="K160" i="5"/>
  <c r="L160" i="5"/>
  <c r="K161" i="5"/>
  <c r="L161" i="5"/>
  <c r="K162" i="5"/>
  <c r="L162" i="5"/>
  <c r="K163" i="5"/>
  <c r="L163" i="5"/>
  <c r="K164" i="5"/>
  <c r="L164" i="5"/>
  <c r="K165" i="5"/>
  <c r="L165" i="5"/>
  <c r="K166" i="5"/>
  <c r="L166" i="5"/>
  <c r="K167" i="5"/>
  <c r="L167" i="5"/>
  <c r="K168" i="5"/>
  <c r="L168" i="5"/>
  <c r="K169" i="5"/>
  <c r="L169" i="5"/>
  <c r="K170" i="5"/>
  <c r="L170" i="5"/>
  <c r="K171" i="5"/>
  <c r="L171" i="5"/>
  <c r="K172" i="5"/>
  <c r="L172" i="5"/>
  <c r="K173" i="5"/>
  <c r="L173" i="5"/>
  <c r="L174" i="5"/>
  <c r="K175" i="5"/>
  <c r="L175" i="5"/>
  <c r="K176" i="5"/>
  <c r="L176" i="5"/>
  <c r="K177" i="5"/>
  <c r="L177" i="5"/>
  <c r="K178" i="5"/>
  <c r="L178" i="5"/>
  <c r="K179" i="5"/>
  <c r="L179" i="5"/>
  <c r="K180" i="5"/>
  <c r="L180" i="5"/>
  <c r="K181" i="5"/>
  <c r="L181" i="5"/>
  <c r="K182" i="5"/>
  <c r="L182" i="5"/>
  <c r="K183" i="5"/>
  <c r="L183" i="5"/>
  <c r="K184" i="5"/>
  <c r="L184" i="5"/>
  <c r="K185" i="5"/>
  <c r="L185" i="5"/>
  <c r="K186" i="5"/>
  <c r="L186" i="5"/>
  <c r="K187" i="5"/>
  <c r="L187" i="5"/>
  <c r="K188" i="5"/>
  <c r="L188" i="5"/>
  <c r="K189" i="5"/>
  <c r="L189" i="5"/>
  <c r="K190" i="5"/>
  <c r="L190" i="5"/>
  <c r="K191" i="5"/>
  <c r="L191" i="5"/>
  <c r="K192" i="5"/>
  <c r="L192" i="5"/>
  <c r="K193" i="5"/>
  <c r="L193" i="5"/>
  <c r="K194" i="5"/>
  <c r="L194" i="5"/>
  <c r="K195" i="5"/>
  <c r="L195" i="5"/>
  <c r="K196" i="5"/>
  <c r="L196" i="5"/>
  <c r="K197" i="5"/>
  <c r="L197" i="5"/>
  <c r="K198" i="5"/>
  <c r="L198" i="5"/>
  <c r="K199" i="5"/>
  <c r="L199" i="5"/>
  <c r="K200" i="5"/>
  <c r="K201" i="5"/>
  <c r="L201" i="5"/>
  <c r="K202" i="5"/>
  <c r="L202" i="5"/>
  <c r="K203" i="5"/>
  <c r="L203" i="5"/>
  <c r="K204" i="5"/>
  <c r="L204" i="5"/>
  <c r="K205" i="5"/>
  <c r="L205" i="5"/>
  <c r="K206" i="5"/>
  <c r="K207" i="5"/>
  <c r="K208" i="5"/>
  <c r="L208" i="5"/>
  <c r="K209" i="5"/>
  <c r="L209" i="5"/>
  <c r="K210" i="5"/>
  <c r="L210" i="5"/>
  <c r="K211" i="5"/>
  <c r="L211" i="5"/>
  <c r="K212" i="5"/>
  <c r="L212" i="5"/>
  <c r="K213" i="5"/>
  <c r="L213" i="5"/>
  <c r="K214" i="5"/>
  <c r="L214" i="5"/>
  <c r="K215" i="5"/>
  <c r="K216" i="5"/>
  <c r="L216" i="5"/>
  <c r="K217" i="5"/>
  <c r="L217" i="5"/>
  <c r="K218" i="5"/>
  <c r="L218" i="5"/>
  <c r="K219" i="5"/>
  <c r="L219" i="5"/>
  <c r="K220" i="5"/>
  <c r="L220" i="5"/>
  <c r="K221" i="5"/>
  <c r="L221" i="5"/>
  <c r="K222" i="5"/>
  <c r="K223" i="5"/>
  <c r="L223" i="5"/>
  <c r="K224" i="5"/>
  <c r="L224" i="5"/>
  <c r="K225" i="5"/>
  <c r="L225" i="5"/>
  <c r="K226" i="5"/>
  <c r="K227" i="5"/>
  <c r="K228" i="5"/>
  <c r="L228" i="5"/>
  <c r="K229" i="5"/>
  <c r="K230" i="5"/>
  <c r="K231" i="5"/>
  <c r="L231" i="5"/>
  <c r="K232" i="5"/>
  <c r="L232" i="5"/>
  <c r="K233" i="5"/>
  <c r="L233" i="5"/>
  <c r="K234" i="5"/>
  <c r="L234" i="5"/>
  <c r="K235" i="5"/>
  <c r="L235" i="5"/>
  <c r="K236" i="5"/>
  <c r="L236" i="5"/>
  <c r="K237" i="5"/>
  <c r="L237" i="5"/>
  <c r="K238" i="5"/>
  <c r="L238" i="5"/>
  <c r="K239" i="5"/>
  <c r="L239" i="5"/>
  <c r="K240" i="5"/>
  <c r="L240" i="5"/>
  <c r="K241" i="5"/>
  <c r="K242" i="5"/>
  <c r="K243" i="5"/>
  <c r="L243" i="5"/>
  <c r="K244" i="5"/>
  <c r="K245" i="5"/>
  <c r="K246" i="5"/>
  <c r="L246" i="5"/>
  <c r="K247" i="5"/>
  <c r="L247" i="5"/>
  <c r="K248" i="5"/>
  <c r="L248" i="5"/>
  <c r="K249" i="5"/>
  <c r="L249" i="5"/>
  <c r="K250" i="5"/>
  <c r="L250" i="5"/>
  <c r="K251" i="5"/>
  <c r="L251" i="5"/>
  <c r="K252" i="5"/>
  <c r="L252" i="5"/>
  <c r="K253" i="5"/>
  <c r="K254" i="5"/>
  <c r="L254" i="5"/>
  <c r="K255" i="5"/>
  <c r="L255" i="5"/>
  <c r="K256" i="5"/>
  <c r="K257" i="5"/>
  <c r="K258" i="5"/>
  <c r="L258" i="5"/>
  <c r="K259" i="5"/>
  <c r="L259" i="5"/>
  <c r="K260" i="5"/>
  <c r="K261" i="5"/>
  <c r="L261" i="5"/>
  <c r="K262" i="5"/>
  <c r="L262" i="5"/>
  <c r="K278" i="5"/>
  <c r="L278" i="5"/>
  <c r="K279" i="5"/>
  <c r="L279" i="5"/>
  <c r="K280" i="5"/>
  <c r="L280" i="5"/>
  <c r="K281" i="5"/>
  <c r="L281" i="5"/>
  <c r="K282" i="5"/>
  <c r="L283" i="5"/>
  <c r="K284" i="5"/>
  <c r="L284" i="5"/>
  <c r="K285" i="5"/>
  <c r="K286" i="5"/>
  <c r="K287" i="5"/>
  <c r="L287" i="5"/>
  <c r="K288" i="5"/>
  <c r="L288" i="5"/>
  <c r="K289" i="5"/>
  <c r="L289" i="5"/>
  <c r="K290" i="5"/>
  <c r="L290" i="5"/>
  <c r="K291" i="5"/>
  <c r="L291" i="5"/>
  <c r="K292" i="5"/>
  <c r="L292" i="5"/>
  <c r="K293" i="5"/>
  <c r="L293" i="5"/>
  <c r="K294" i="5"/>
  <c r="L294" i="5"/>
  <c r="K295" i="5"/>
  <c r="L295" i="5"/>
  <c r="K296" i="5"/>
  <c r="L296" i="5"/>
  <c r="K297" i="5"/>
  <c r="L297" i="5"/>
  <c r="K298" i="5"/>
  <c r="L298" i="5"/>
  <c r="K299" i="5"/>
  <c r="L299" i="5"/>
  <c r="K300" i="5"/>
  <c r="L300" i="5"/>
  <c r="K301" i="5"/>
  <c r="L301" i="5"/>
  <c r="K302" i="5"/>
  <c r="L302" i="5"/>
  <c r="K303" i="5"/>
  <c r="L303" i="5"/>
  <c r="K304" i="5"/>
  <c r="L304" i="5"/>
  <c r="K305" i="5"/>
  <c r="L305" i="5"/>
  <c r="K306" i="5"/>
  <c r="L306" i="5"/>
  <c r="K307" i="5"/>
  <c r="L307" i="5"/>
  <c r="K308" i="5"/>
  <c r="L308" i="5"/>
  <c r="K309" i="5"/>
  <c r="L309" i="5"/>
  <c r="K310" i="5"/>
  <c r="L310" i="5"/>
  <c r="K311" i="5"/>
  <c r="L311" i="5"/>
  <c r="K312" i="5"/>
  <c r="L312" i="5"/>
  <c r="K313" i="5"/>
  <c r="L313" i="5"/>
  <c r="K314" i="5"/>
  <c r="L314" i="5"/>
  <c r="K315" i="5"/>
  <c r="L315" i="5"/>
  <c r="K316" i="5"/>
  <c r="L316" i="5"/>
  <c r="K317" i="5"/>
  <c r="L317" i="5"/>
  <c r="K318" i="5"/>
  <c r="L318" i="5"/>
  <c r="K319" i="5"/>
  <c r="L319" i="5"/>
  <c r="K320" i="5"/>
  <c r="L320" i="5"/>
  <c r="K321" i="5"/>
  <c r="K322" i="5"/>
  <c r="L322" i="5"/>
  <c r="K323" i="5"/>
  <c r="L323" i="5"/>
  <c r="K324" i="5"/>
  <c r="L324" i="5"/>
  <c r="K325" i="5"/>
  <c r="L325" i="5"/>
  <c r="K326" i="5"/>
  <c r="L326" i="5"/>
  <c r="K327" i="5"/>
  <c r="L327" i="5"/>
  <c r="K328" i="5"/>
  <c r="L328" i="5"/>
  <c r="K329" i="5"/>
  <c r="L329" i="5"/>
  <c r="K330" i="5"/>
  <c r="L330" i="5"/>
  <c r="K331" i="5"/>
  <c r="K332" i="5"/>
  <c r="L332" i="5"/>
  <c r="K333" i="5"/>
  <c r="L333" i="5"/>
  <c r="K334" i="5"/>
  <c r="L334" i="5"/>
  <c r="K335" i="5"/>
  <c r="L335" i="5"/>
  <c r="K336" i="5"/>
  <c r="K337" i="5"/>
  <c r="L337" i="5"/>
  <c r="K338" i="5"/>
  <c r="L338" i="5"/>
  <c r="K339" i="5"/>
  <c r="L339" i="5"/>
  <c r="K340" i="5"/>
  <c r="L340" i="5"/>
  <c r="K341" i="5"/>
  <c r="L341" i="5"/>
  <c r="K342" i="5"/>
  <c r="K343" i="5"/>
  <c r="K344" i="5"/>
  <c r="L344" i="5"/>
  <c r="K345" i="5"/>
  <c r="L345" i="5"/>
  <c r="K346" i="5"/>
  <c r="L346" i="5"/>
  <c r="K348" i="5"/>
  <c r="L348" i="5"/>
  <c r="K349" i="5"/>
  <c r="L349" i="5"/>
  <c r="K350" i="5"/>
  <c r="L350" i="5"/>
  <c r="K351" i="5"/>
  <c r="L351" i="5"/>
  <c r="K352" i="5"/>
  <c r="K353" i="5"/>
  <c r="L353" i="5"/>
  <c r="K354" i="5"/>
  <c r="L354" i="5"/>
  <c r="K355" i="5"/>
  <c r="L355" i="5"/>
  <c r="K356" i="5"/>
  <c r="L356" i="5"/>
  <c r="K357" i="5"/>
  <c r="L357" i="5"/>
  <c r="K358" i="5"/>
  <c r="L358" i="5"/>
  <c r="K359" i="5"/>
  <c r="L359" i="5"/>
  <c r="K360" i="5"/>
  <c r="L360" i="5"/>
  <c r="K361" i="5"/>
  <c r="L361" i="5"/>
  <c r="K362" i="5"/>
  <c r="K363" i="5"/>
  <c r="L363" i="5"/>
  <c r="K364" i="5"/>
  <c r="L364" i="5"/>
  <c r="K365" i="5"/>
  <c r="L365" i="5"/>
  <c r="K366" i="5"/>
  <c r="L366" i="5"/>
  <c r="K367" i="5"/>
  <c r="L367" i="5"/>
  <c r="K368" i="5"/>
  <c r="L368" i="5"/>
  <c r="K369" i="5"/>
  <c r="L369" i="5"/>
  <c r="K370" i="5"/>
  <c r="L370" i="5"/>
  <c r="K371" i="5"/>
  <c r="L371" i="5"/>
  <c r="K372" i="5"/>
  <c r="L372" i="5"/>
  <c r="K373" i="5"/>
  <c r="L373" i="5"/>
  <c r="K374" i="5"/>
  <c r="L374" i="5"/>
  <c r="K375" i="5"/>
  <c r="L375" i="5"/>
  <c r="K376" i="5"/>
  <c r="L376" i="5"/>
  <c r="K377" i="5"/>
  <c r="L377" i="5"/>
  <c r="K378" i="5"/>
  <c r="K379" i="5"/>
  <c r="L379" i="5"/>
  <c r="K380" i="5"/>
  <c r="L380" i="5"/>
  <c r="K381" i="5"/>
  <c r="L381" i="5"/>
  <c r="K382" i="5"/>
  <c r="L382" i="5"/>
  <c r="K383" i="5"/>
  <c r="L383" i="5"/>
  <c r="K384" i="5"/>
  <c r="L384" i="5"/>
  <c r="K385" i="5"/>
  <c r="L385" i="5"/>
  <c r="K386" i="5"/>
  <c r="L386" i="5"/>
  <c r="K387" i="5"/>
  <c r="L387" i="5"/>
  <c r="K388" i="5"/>
  <c r="L388" i="5"/>
  <c r="K389" i="5"/>
  <c r="L389" i="5"/>
  <c r="K390" i="5"/>
  <c r="L390" i="5"/>
  <c r="K391" i="5"/>
  <c r="L391" i="5"/>
  <c r="K392" i="5"/>
  <c r="L392" i="5"/>
  <c r="K393" i="5"/>
  <c r="K394" i="5"/>
  <c r="L394" i="5"/>
  <c r="K395" i="5"/>
  <c r="L395" i="5"/>
  <c r="K396" i="5"/>
  <c r="L396" i="5"/>
  <c r="K397" i="5"/>
  <c r="L397" i="5"/>
  <c r="K398" i="5"/>
  <c r="L398" i="5"/>
  <c r="K399" i="5"/>
  <c r="L399" i="5"/>
  <c r="K400" i="5"/>
  <c r="L400" i="5"/>
  <c r="K401" i="5"/>
  <c r="L401" i="5"/>
  <c r="K402" i="5"/>
  <c r="L402" i="5"/>
  <c r="K403" i="5"/>
  <c r="L403" i="5"/>
  <c r="K404" i="5"/>
  <c r="L404" i="5"/>
  <c r="K405" i="5"/>
  <c r="L405" i="5"/>
  <c r="K406" i="5"/>
  <c r="L406" i="5"/>
  <c r="K407" i="5"/>
  <c r="L407" i="5"/>
  <c r="K408" i="5"/>
  <c r="L408" i="5"/>
  <c r="K409" i="5"/>
  <c r="L409" i="5"/>
  <c r="K410" i="5"/>
  <c r="L410" i="5"/>
  <c r="K411" i="5"/>
  <c r="L411" i="5"/>
  <c r="K412" i="5"/>
  <c r="L412" i="5"/>
  <c r="K413" i="5"/>
  <c r="L413" i="5"/>
  <c r="K414" i="5"/>
  <c r="L414" i="5"/>
  <c r="K415" i="5"/>
  <c r="L415" i="5"/>
  <c r="K416" i="5"/>
  <c r="L416" i="5"/>
  <c r="K417" i="5"/>
  <c r="L417" i="5"/>
  <c r="K418" i="5"/>
  <c r="L418" i="5"/>
  <c r="K419" i="5"/>
  <c r="L419" i="5"/>
  <c r="K420" i="5"/>
  <c r="L420" i="5"/>
  <c r="K421" i="5"/>
  <c r="L421" i="5"/>
  <c r="K422" i="5"/>
  <c r="L422" i="5"/>
  <c r="K423" i="5"/>
  <c r="L423" i="5"/>
  <c r="K424" i="5"/>
  <c r="L424" i="5"/>
  <c r="K425" i="5"/>
  <c r="L425" i="5"/>
  <c r="K426" i="5"/>
  <c r="L426" i="5"/>
  <c r="L427" i="5"/>
  <c r="K428" i="5"/>
  <c r="L428" i="5"/>
  <c r="K429" i="5"/>
  <c r="L429" i="5"/>
  <c r="K430" i="5"/>
  <c r="L430" i="5"/>
  <c r="K431" i="5"/>
  <c r="L431" i="5"/>
  <c r="K432" i="5"/>
  <c r="L432" i="5"/>
  <c r="K433" i="5"/>
  <c r="L433" i="5"/>
  <c r="K434" i="5"/>
  <c r="L434" i="5"/>
  <c r="K435" i="5"/>
  <c r="L435" i="5"/>
  <c r="K436" i="5"/>
  <c r="L436" i="5"/>
  <c r="G14" i="5"/>
  <c r="F14" i="5" s="1"/>
  <c r="G14" i="4"/>
  <c r="F14" i="4" s="1"/>
  <c r="L14" i="4" s="1"/>
  <c r="L26" i="3"/>
  <c r="M26" i="3"/>
  <c r="N26" i="3"/>
  <c r="O26" i="3"/>
  <c r="K27" i="3"/>
  <c r="L27" i="3"/>
  <c r="O27" i="3"/>
  <c r="L28" i="3"/>
  <c r="N28" i="3"/>
  <c r="O28" i="3"/>
  <c r="K28" i="3"/>
  <c r="E27" i="3"/>
  <c r="M27" i="3"/>
  <c r="N27" i="3"/>
  <c r="K26" i="3"/>
  <c r="E218" i="9"/>
  <c r="M20" i="14"/>
  <c r="P23" i="14"/>
  <c r="P13" i="14"/>
  <c r="K25" i="14"/>
  <c r="O38" i="14"/>
  <c r="P38" i="14"/>
  <c r="N38" i="14"/>
  <c r="L38" i="14"/>
  <c r="N37" i="14"/>
  <c r="L34" i="14"/>
  <c r="O34" i="14"/>
  <c r="L35" i="14"/>
  <c r="M34" i="14"/>
  <c r="P34" i="14"/>
  <c r="P28" i="14"/>
  <c r="M35" i="14"/>
  <c r="P15" i="14"/>
  <c r="N21" i="14"/>
  <c r="K26" i="14"/>
  <c r="K28" i="14"/>
  <c r="N35" i="14"/>
  <c r="N39" i="14"/>
  <c r="M39" i="14"/>
  <c r="O39" i="14"/>
  <c r="O21" i="14"/>
  <c r="P24" i="14"/>
  <c r="K27" i="14"/>
  <c r="K30" i="14"/>
  <c r="O35" i="14"/>
  <c r="K19" i="14"/>
  <c r="P33" i="14"/>
  <c r="P14" i="14"/>
  <c r="L17" i="14"/>
  <c r="P20" i="14"/>
  <c r="K39" i="14"/>
  <c r="P25" i="14"/>
  <c r="N41" i="14"/>
  <c r="K41" i="14"/>
  <c r="N31" i="14"/>
  <c r="O31" i="14"/>
  <c r="M31" i="14"/>
  <c r="L31" i="14"/>
  <c r="N32" i="14"/>
  <c r="P32" i="14"/>
  <c r="M17" i="14"/>
  <c r="O30" i="14"/>
  <c r="M37" i="14"/>
  <c r="P37" i="14"/>
  <c r="N17" i="14"/>
  <c r="L30" i="14"/>
  <c r="E62" i="12"/>
  <c r="E63" i="12"/>
  <c r="N190" i="10"/>
  <c r="O190" i="10"/>
  <c r="L190" i="10"/>
  <c r="K230" i="10"/>
  <c r="O237" i="10"/>
  <c r="K213" i="10"/>
  <c r="O236" i="10"/>
  <c r="M232" i="10"/>
  <c r="N232" i="10"/>
  <c r="P232" i="10"/>
  <c r="K232" i="10"/>
  <c r="O23" i="10"/>
  <c r="L23" i="10"/>
  <c r="N23" i="10"/>
  <c r="M23" i="10"/>
  <c r="P23" i="10" s="1"/>
  <c r="L115" i="10"/>
  <c r="K238" i="10"/>
  <c r="K27" i="10"/>
  <c r="K35" i="10"/>
  <c r="K48" i="10"/>
  <c r="E51" i="10"/>
  <c r="K51" i="10"/>
  <c r="K57" i="10"/>
  <c r="M67" i="10"/>
  <c r="K67" i="10"/>
  <c r="K77" i="10"/>
  <c r="K84" i="10"/>
  <c r="M84" i="10"/>
  <c r="N84" i="10"/>
  <c r="O84" i="10"/>
  <c r="O94" i="10"/>
  <c r="L94" i="10"/>
  <c r="N94" i="10"/>
  <c r="M116" i="10"/>
  <c r="K123" i="10"/>
  <c r="M123" i="10"/>
  <c r="K126" i="10"/>
  <c r="L132" i="10"/>
  <c r="N132" i="10"/>
  <c r="M132" i="10"/>
  <c r="O132" i="10"/>
  <c r="P132" i="10"/>
  <c r="E137" i="10"/>
  <c r="L137" i="10" s="1"/>
  <c r="N147" i="10"/>
  <c r="O147" i="10"/>
  <c r="L147" i="10"/>
  <c r="K149" i="10"/>
  <c r="K158" i="10"/>
  <c r="K165" i="10"/>
  <c r="M165" i="10"/>
  <c r="P165" i="10"/>
  <c r="E169" i="10"/>
  <c r="N168" i="10"/>
  <c r="M168" i="10"/>
  <c r="O168" i="10"/>
  <c r="L168" i="10"/>
  <c r="N171" i="10"/>
  <c r="O171" i="10"/>
  <c r="L171" i="10"/>
  <c r="K174" i="10"/>
  <c r="M176" i="10"/>
  <c r="K181" i="10"/>
  <c r="M181" i="10"/>
  <c r="E187" i="10"/>
  <c r="M187" i="10" s="1"/>
  <c r="K187" i="10"/>
  <c r="N246" i="10"/>
  <c r="M244" i="10"/>
  <c r="O244" i="10"/>
  <c r="M239" i="10"/>
  <c r="P239" i="10" s="1"/>
  <c r="K235" i="10"/>
  <c r="N233" i="10"/>
  <c r="M231" i="10"/>
  <c r="P231" i="10" s="1"/>
  <c r="K227" i="10"/>
  <c r="N225" i="10"/>
  <c r="L218" i="10"/>
  <c r="L208" i="10"/>
  <c r="K203" i="10"/>
  <c r="L201" i="10"/>
  <c r="M198" i="10"/>
  <c r="N196" i="10"/>
  <c r="O193" i="10"/>
  <c r="K137" i="10"/>
  <c r="L17" i="10"/>
  <c r="M25" i="10"/>
  <c r="L28" i="10"/>
  <c r="N28" i="10"/>
  <c r="O28" i="10"/>
  <c r="O31" i="10"/>
  <c r="L31" i="10"/>
  <c r="M31" i="10"/>
  <c r="P31" i="10" s="1"/>
  <c r="N31" i="10"/>
  <c r="N42" i="10"/>
  <c r="O42" i="10"/>
  <c r="L42" i="10"/>
  <c r="N44" i="10"/>
  <c r="K46" i="10"/>
  <c r="K49" i="10"/>
  <c r="E54" i="10"/>
  <c r="O54" i="10" s="1"/>
  <c r="O52" i="10"/>
  <c r="L52" i="10"/>
  <c r="M52" i="10"/>
  <c r="N52" i="10"/>
  <c r="M58" i="10"/>
  <c r="K65" i="10"/>
  <c r="N75" i="10"/>
  <c r="O73" i="10"/>
  <c r="L73" i="10"/>
  <c r="K75" i="10"/>
  <c r="K85" i="10"/>
  <c r="K90" i="10"/>
  <c r="M90" i="10"/>
  <c r="P90" i="10"/>
  <c r="K94" i="10"/>
  <c r="M94" i="10"/>
  <c r="K114" i="10"/>
  <c r="M114" i="10"/>
  <c r="E119" i="10"/>
  <c r="L119" i="10" s="1"/>
  <c r="O117" i="10"/>
  <c r="L117" i="10"/>
  <c r="M121" i="10"/>
  <c r="N121" i="10"/>
  <c r="O121" i="10"/>
  <c r="L121" i="10"/>
  <c r="K129" i="10"/>
  <c r="E135" i="10"/>
  <c r="M135" i="10" s="1"/>
  <c r="M138" i="10"/>
  <c r="M142" i="10"/>
  <c r="P142" i="10" s="1"/>
  <c r="O142" i="10"/>
  <c r="K142" i="10"/>
  <c r="M145" i="10"/>
  <c r="K145" i="10"/>
  <c r="E155" i="10"/>
  <c r="O155" i="10"/>
  <c r="M153" i="10"/>
  <c r="L153" i="10"/>
  <c r="N153" i="10"/>
  <c r="O153" i="10"/>
  <c r="P153" i="10" s="1"/>
  <c r="O157" i="10"/>
  <c r="L157" i="10"/>
  <c r="E161" i="10"/>
  <c r="N161" i="10" s="1"/>
  <c r="O161" i="10"/>
  <c r="K161" i="10"/>
  <c r="E167" i="10"/>
  <c r="N166" i="10"/>
  <c r="O166" i="10"/>
  <c r="E178" i="10"/>
  <c r="N178" i="10" s="1"/>
  <c r="N177" i="10"/>
  <c r="O177" i="10"/>
  <c r="M182" i="10"/>
  <c r="K182" i="10"/>
  <c r="M208" i="10"/>
  <c r="E214" i="10"/>
  <c r="N214" i="10" s="1"/>
  <c r="M249" i="10"/>
  <c r="P248" i="10"/>
  <c r="O245" i="10"/>
  <c r="K245" i="10"/>
  <c r="L244" i="10"/>
  <c r="K242" i="10"/>
  <c r="M241" i="10"/>
  <c r="N240" i="10"/>
  <c r="P240" i="10"/>
  <c r="K237" i="10"/>
  <c r="L236" i="10"/>
  <c r="O234" i="10"/>
  <c r="M233" i="10"/>
  <c r="O229" i="10"/>
  <c r="K229" i="10"/>
  <c r="L228" i="10"/>
  <c r="O226" i="10"/>
  <c r="P226" i="10"/>
  <c r="K226" i="10"/>
  <c r="M225" i="10"/>
  <c r="N224" i="10"/>
  <c r="M222" i="10"/>
  <c r="P222" i="10" s="1"/>
  <c r="K221" i="10"/>
  <c r="N219" i="10"/>
  <c r="K218" i="10"/>
  <c r="M217" i="10"/>
  <c r="P217" i="10"/>
  <c r="K216" i="10"/>
  <c r="M215" i="10"/>
  <c r="P215" i="10" s="1"/>
  <c r="K210" i="10"/>
  <c r="K208" i="10"/>
  <c r="M206" i="10"/>
  <c r="P206" i="10" s="1"/>
  <c r="N204" i="10"/>
  <c r="P203" i="10"/>
  <c r="K202" i="10"/>
  <c r="K200" i="10"/>
  <c r="M196" i="10"/>
  <c r="L195" i="10"/>
  <c r="N193" i="10"/>
  <c r="M193" i="10"/>
  <c r="P193" i="10"/>
  <c r="M189" i="10"/>
  <c r="N189" i="10"/>
  <c r="O189" i="10"/>
  <c r="P189" i="10"/>
  <c r="M184" i="10"/>
  <c r="K183" i="10"/>
  <c r="K180" i="10"/>
  <c r="L177" i="10"/>
  <c r="K156" i="10"/>
  <c r="K150" i="10"/>
  <c r="N19" i="10"/>
  <c r="O19" i="10"/>
  <c r="L19" i="10"/>
  <c r="L25" i="10"/>
  <c r="N25" i="10"/>
  <c r="O25" i="10"/>
  <c r="K29" i="10"/>
  <c r="K41" i="10"/>
  <c r="K45" i="10"/>
  <c r="K55" i="10"/>
  <c r="N63" i="10"/>
  <c r="O63" i="10"/>
  <c r="L63" i="10"/>
  <c r="K72" i="10"/>
  <c r="N112" i="10"/>
  <c r="O112" i="10"/>
  <c r="L112" i="10"/>
  <c r="K119" i="10"/>
  <c r="E143" i="10"/>
  <c r="L142" i="10"/>
  <c r="K17" i="10"/>
  <c r="M17" i="10"/>
  <c r="N21" i="10"/>
  <c r="O21" i="10"/>
  <c r="L21" i="10"/>
  <c r="M21" i="10"/>
  <c r="K23" i="10"/>
  <c r="K26" i="10"/>
  <c r="M26" i="10"/>
  <c r="P26" i="10" s="1"/>
  <c r="M28" i="10"/>
  <c r="K28" i="10"/>
  <c r="K32" i="10"/>
  <c r="M32" i="10"/>
  <c r="P32" i="10" s="1"/>
  <c r="K34" i="10"/>
  <c r="K36" i="10"/>
  <c r="K39" i="10"/>
  <c r="K42" i="10"/>
  <c r="M42" i="10"/>
  <c r="P42" i="10" s="1"/>
  <c r="K44" i="10"/>
  <c r="K47" i="10"/>
  <c r="M47" i="10"/>
  <c r="P47" i="10"/>
  <c r="N50" i="10"/>
  <c r="O50" i="10"/>
  <c r="L50" i="10"/>
  <c r="M53" i="10"/>
  <c r="P53" i="10" s="1"/>
  <c r="N53" i="10"/>
  <c r="O53" i="10"/>
  <c r="L53" i="10"/>
  <c r="K56" i="10"/>
  <c r="K61" i="10"/>
  <c r="K63" i="10"/>
  <c r="K66" i="10"/>
  <c r="E71" i="10"/>
  <c r="M71" i="10" s="1"/>
  <c r="M69" i="10"/>
  <c r="N69" i="10"/>
  <c r="O69" i="10"/>
  <c r="L69" i="10"/>
  <c r="K73" i="10"/>
  <c r="N73" i="10"/>
  <c r="E77" i="10"/>
  <c r="L77" i="10" s="1"/>
  <c r="N76" i="10"/>
  <c r="O76" i="10"/>
  <c r="L76" i="10"/>
  <c r="O80" i="10"/>
  <c r="L80" i="10"/>
  <c r="M80" i="10"/>
  <c r="P80" i="10" s="1"/>
  <c r="N80" i="10"/>
  <c r="M83" i="10"/>
  <c r="K83" i="10"/>
  <c r="E88" i="10"/>
  <c r="M86" i="10"/>
  <c r="N86" i="10"/>
  <c r="P86" i="10"/>
  <c r="L86" i="10"/>
  <c r="L91" i="10"/>
  <c r="E95" i="10"/>
  <c r="N93" i="10"/>
  <c r="L93" i="10"/>
  <c r="O93" i="10"/>
  <c r="M95" i="10"/>
  <c r="K95" i="10"/>
  <c r="E113" i="10"/>
  <c r="N113" i="10" s="1"/>
  <c r="K117" i="10"/>
  <c r="M117" i="10"/>
  <c r="K122" i="10"/>
  <c r="M122" i="10"/>
  <c r="P122" i="10" s="1"/>
  <c r="E126" i="10"/>
  <c r="O126" i="10" s="1"/>
  <c r="O125" i="10"/>
  <c r="L125" i="10"/>
  <c r="N125" i="10"/>
  <c r="E130" i="10"/>
  <c r="N130" i="10"/>
  <c r="N128" i="10"/>
  <c r="P128" i="10" s="1"/>
  <c r="M128" i="10"/>
  <c r="O128" i="10"/>
  <c r="L128" i="10"/>
  <c r="K130" i="10"/>
  <c r="N136" i="10"/>
  <c r="M136" i="10"/>
  <c r="O136" i="10"/>
  <c r="L136" i="10"/>
  <c r="N138" i="10"/>
  <c r="P138" i="10"/>
  <c r="K140" i="10"/>
  <c r="K143" i="10"/>
  <c r="O146" i="10"/>
  <c r="N146" i="10"/>
  <c r="M146" i="10"/>
  <c r="L146" i="10"/>
  <c r="M148" i="10"/>
  <c r="P148" i="10" s="1"/>
  <c r="K148" i="10"/>
  <c r="E152" i="10"/>
  <c r="O152" i="10" s="1"/>
  <c r="L152" i="10"/>
  <c r="L151" i="10"/>
  <c r="N151" i="10"/>
  <c r="O151" i="10"/>
  <c r="O154" i="10"/>
  <c r="L154" i="10"/>
  <c r="M154" i="10"/>
  <c r="K157" i="10"/>
  <c r="M157" i="10"/>
  <c r="P157" i="10" s="1"/>
  <c r="N157" i="10"/>
  <c r="K162" i="10"/>
  <c r="M166" i="10"/>
  <c r="K166" i="10"/>
  <c r="K169" i="10"/>
  <c r="K173" i="10"/>
  <c r="M177" i="10"/>
  <c r="P177" i="10" s="1"/>
  <c r="K177" i="10"/>
  <c r="O181" i="10"/>
  <c r="L181" i="10"/>
  <c r="O186" i="10"/>
  <c r="L186" i="10"/>
  <c r="M190" i="10"/>
  <c r="P190" i="10"/>
  <c r="K190" i="10"/>
  <c r="E199" i="10"/>
  <c r="L199" i="10" s="1"/>
  <c r="N197" i="10"/>
  <c r="O197" i="10"/>
  <c r="L246" i="10"/>
  <c r="L241" i="10"/>
  <c r="L233" i="10"/>
  <c r="O228" i="10"/>
  <c r="L225" i="10"/>
  <c r="M211" i="10"/>
  <c r="N209" i="10"/>
  <c r="O208" i="10"/>
  <c r="M204" i="10"/>
  <c r="P204" i="10"/>
  <c r="O202" i="10"/>
  <c r="P202" i="10" s="1"/>
  <c r="N201" i="10"/>
  <c r="M201" i="10"/>
  <c r="O198" i="10"/>
  <c r="M194" i="10"/>
  <c r="N186" i="10"/>
  <c r="K175" i="10"/>
  <c r="K172" i="10"/>
  <c r="M160" i="10"/>
  <c r="M147" i="10"/>
  <c r="K135" i="10"/>
  <c r="K124" i="10"/>
  <c r="K33" i="10"/>
  <c r="M59" i="10"/>
  <c r="K59" i="10"/>
  <c r="K74" i="10"/>
  <c r="N82" i="10"/>
  <c r="L82" i="10"/>
  <c r="O82" i="10"/>
  <c r="M92" i="10"/>
  <c r="K92" i="10"/>
  <c r="N116" i="10"/>
  <c r="P116" i="10" s="1"/>
  <c r="O114" i="10"/>
  <c r="N114" i="10"/>
  <c r="L114" i="10"/>
  <c r="K139" i="10"/>
  <c r="M139" i="10"/>
  <c r="K18" i="10"/>
  <c r="M18" i="10"/>
  <c r="N22" i="10"/>
  <c r="O22" i="10"/>
  <c r="L22" i="10"/>
  <c r="K24" i="10"/>
  <c r="M24" i="10"/>
  <c r="P24" i="10"/>
  <c r="N29" i="10"/>
  <c r="O29" i="10"/>
  <c r="L29" i="10"/>
  <c r="L35" i="10"/>
  <c r="N37" i="10"/>
  <c r="O37" i="10"/>
  <c r="L37" i="10"/>
  <c r="M37" i="10"/>
  <c r="P37" i="10" s="1"/>
  <c r="K40" i="10"/>
  <c r="M43" i="10"/>
  <c r="P43" i="10" s="1"/>
  <c r="K43" i="10"/>
  <c r="K50" i="10"/>
  <c r="E60" i="10"/>
  <c r="L59" i="10"/>
  <c r="N59" i="10"/>
  <c r="M62" i="10"/>
  <c r="P62" i="10"/>
  <c r="K62" i="10"/>
  <c r="M64" i="10"/>
  <c r="P64" i="10"/>
  <c r="K64" i="10"/>
  <c r="L67" i="10"/>
  <c r="N67" i="10"/>
  <c r="O67" i="10"/>
  <c r="P67" i="10"/>
  <c r="K71" i="10"/>
  <c r="K76" i="10"/>
  <c r="M76" i="10"/>
  <c r="P76" i="10" s="1"/>
  <c r="K81" i="10"/>
  <c r="M81" i="10"/>
  <c r="E85" i="10"/>
  <c r="O85" i="10" s="1"/>
  <c r="L84" i="10"/>
  <c r="K88" i="10"/>
  <c r="K91" i="10"/>
  <c r="K93" i="10"/>
  <c r="M93" i="10"/>
  <c r="E118" i="10"/>
  <c r="M118" i="10" s="1"/>
  <c r="K118" i="10"/>
  <c r="N123" i="10"/>
  <c r="K125" i="10"/>
  <c r="M125" i="10"/>
  <c r="K131" i="10"/>
  <c r="M131" i="10"/>
  <c r="L134" i="10"/>
  <c r="N134" i="10"/>
  <c r="P134" i="10" s="1"/>
  <c r="O134" i="10"/>
  <c r="E141" i="10"/>
  <c r="N141" i="10" s="1"/>
  <c r="N139" i="10"/>
  <c r="L139" i="10"/>
  <c r="K141" i="10"/>
  <c r="M141" i="10"/>
  <c r="N144" i="10"/>
  <c r="M144" i="10"/>
  <c r="O144" i="10"/>
  <c r="L144" i="10"/>
  <c r="M151" i="10"/>
  <c r="P151" i="10" s="1"/>
  <c r="N160" i="10"/>
  <c r="O160" i="10"/>
  <c r="L160" i="10"/>
  <c r="L164" i="10"/>
  <c r="M164" i="10"/>
  <c r="N164" i="10"/>
  <c r="M167" i="10"/>
  <c r="E172" i="10"/>
  <c r="O170" i="10"/>
  <c r="L170" i="10"/>
  <c r="M170" i="10"/>
  <c r="N174" i="10"/>
  <c r="K178" i="10"/>
  <c r="N184" i="10"/>
  <c r="M186" i="10"/>
  <c r="P186" i="10" s="1"/>
  <c r="E191" i="10"/>
  <c r="L191" i="10" s="1"/>
  <c r="L189" i="10"/>
  <c r="K191" i="10"/>
  <c r="M209" i="10"/>
  <c r="P209" i="10"/>
  <c r="K205" i="10"/>
  <c r="L204" i="10"/>
  <c r="N198" i="10"/>
  <c r="O196" i="10"/>
  <c r="M171" i="10"/>
  <c r="K167" i="10"/>
  <c r="N154" i="10"/>
  <c r="K152" i="10"/>
  <c r="K134" i="10"/>
  <c r="P180" i="10"/>
  <c r="P182" i="10"/>
  <c r="P20" i="10"/>
  <c r="P18" i="10"/>
  <c r="E61" i="10"/>
  <c r="E70" i="10"/>
  <c r="M70" i="10" s="1"/>
  <c r="E87" i="10"/>
  <c r="L87" i="10" s="1"/>
  <c r="N127" i="10"/>
  <c r="P127" i="10" s="1"/>
  <c r="E162" i="10"/>
  <c r="E179" i="10"/>
  <c r="N179" i="10"/>
  <c r="E78" i="10"/>
  <c r="N78" i="10" s="1"/>
  <c r="E171" i="9"/>
  <c r="N171" i="9"/>
  <c r="E231" i="9"/>
  <c r="E87" i="8"/>
  <c r="N87" i="8"/>
  <c r="E94" i="8"/>
  <c r="E159" i="8"/>
  <c r="N159" i="8"/>
  <c r="E103" i="7"/>
  <c r="E19" i="7"/>
  <c r="N19" i="7" s="1"/>
  <c r="E25" i="7"/>
  <c r="E28" i="7"/>
  <c r="E82" i="7"/>
  <c r="E88" i="7"/>
  <c r="N88" i="7"/>
  <c r="E81" i="7"/>
  <c r="E285" i="6"/>
  <c r="N311" i="6"/>
  <c r="E135" i="6"/>
  <c r="E137" i="6"/>
  <c r="E134" i="6"/>
  <c r="E136" i="6"/>
  <c r="E215" i="6"/>
  <c r="E231" i="6"/>
  <c r="L40" i="14"/>
  <c r="N40" i="14"/>
  <c r="M40" i="14"/>
  <c r="P40" i="14"/>
  <c r="O40" i="14"/>
  <c r="O162" i="10"/>
  <c r="L162" i="10"/>
  <c r="N162" i="10"/>
  <c r="O191" i="10"/>
  <c r="N85" i="10"/>
  <c r="L85" i="10"/>
  <c r="N60" i="10"/>
  <c r="N199" i="10"/>
  <c r="N152" i="10"/>
  <c r="L130" i="10"/>
  <c r="N126" i="10"/>
  <c r="L126" i="10"/>
  <c r="L143" i="10"/>
  <c r="O143" i="10"/>
  <c r="N143" i="10"/>
  <c r="N155" i="10"/>
  <c r="L155" i="10"/>
  <c r="O135" i="10"/>
  <c r="N54" i="10"/>
  <c r="M126" i="10"/>
  <c r="N118" i="10"/>
  <c r="O118" i="10"/>
  <c r="O141" i="10"/>
  <c r="L141" i="10"/>
  <c r="O68" i="10"/>
  <c r="L68" i="10"/>
  <c r="N68" i="10"/>
  <c r="M54" i="10"/>
  <c r="P112" i="10"/>
  <c r="P52" i="10"/>
  <c r="O78" i="10"/>
  <c r="L78" i="10"/>
  <c r="O87" i="10"/>
  <c r="N87" i="10"/>
  <c r="M113" i="10"/>
  <c r="L83" i="10"/>
  <c r="N187" i="10"/>
  <c r="O187" i="10"/>
  <c r="L187" i="10"/>
  <c r="M162" i="10"/>
  <c r="M143" i="10"/>
  <c r="N137" i="10"/>
  <c r="N88" i="10"/>
  <c r="L178" i="10"/>
  <c r="L167" i="10"/>
  <c r="N167" i="10"/>
  <c r="O167" i="10"/>
  <c r="L70" i="10"/>
  <c r="N70" i="10"/>
  <c r="E173" i="10"/>
  <c r="L172" i="10"/>
  <c r="N172" i="10"/>
  <c r="O172" i="10"/>
  <c r="M179" i="10"/>
  <c r="N188" i="10"/>
  <c r="K188" i="10"/>
  <c r="M169" i="10"/>
  <c r="P117" i="10"/>
  <c r="N95" i="10"/>
  <c r="O95" i="10"/>
  <c r="L95" i="10"/>
  <c r="E72" i="10"/>
  <c r="N71" i="10"/>
  <c r="O71" i="10"/>
  <c r="L71" i="10"/>
  <c r="P208" i="10"/>
  <c r="M172" i="10"/>
  <c r="O119" i="10"/>
  <c r="K25" i="3"/>
  <c r="K24" i="3"/>
  <c r="E24" i="3"/>
  <c r="N24" i="3" s="1"/>
  <c r="N29" i="3" s="1"/>
  <c r="M22" i="3"/>
  <c r="K21" i="3"/>
  <c r="M18" i="3"/>
  <c r="M17" i="3"/>
  <c r="P17" i="3" s="1"/>
  <c r="M14" i="3"/>
  <c r="M24" i="2"/>
  <c r="M23" i="2"/>
  <c r="O20" i="2"/>
  <c r="P20" i="2" s="1"/>
  <c r="O19" i="2"/>
  <c r="K18" i="2"/>
  <c r="O17" i="2"/>
  <c r="K15" i="2"/>
  <c r="K14" i="2"/>
  <c r="A101" i="13"/>
  <c r="O96" i="13"/>
  <c r="N96" i="13"/>
  <c r="M96" i="13"/>
  <c r="L96" i="13"/>
  <c r="K96" i="13"/>
  <c r="O95" i="13"/>
  <c r="N95" i="13"/>
  <c r="M95" i="13"/>
  <c r="L95" i="13"/>
  <c r="K95" i="13"/>
  <c r="O94" i="13"/>
  <c r="N94" i="13"/>
  <c r="M94" i="13"/>
  <c r="K94" i="13"/>
  <c r="L94" i="13"/>
  <c r="O93" i="13"/>
  <c r="N93" i="13"/>
  <c r="M93" i="13"/>
  <c r="K93" i="13"/>
  <c r="L93" i="13"/>
  <c r="O92" i="13"/>
  <c r="N92" i="13"/>
  <c r="M92" i="13"/>
  <c r="L92" i="13"/>
  <c r="K92" i="13"/>
  <c r="O91" i="13"/>
  <c r="N91" i="13"/>
  <c r="M91" i="13"/>
  <c r="L91" i="13"/>
  <c r="K91" i="13"/>
  <c r="O90" i="13"/>
  <c r="N90" i="13"/>
  <c r="M90" i="13"/>
  <c r="K90" i="13"/>
  <c r="L90" i="13"/>
  <c r="O89" i="13"/>
  <c r="N89" i="13"/>
  <c r="P89" i="13" s="1"/>
  <c r="M89" i="13"/>
  <c r="K89" i="13"/>
  <c r="L89" i="13"/>
  <c r="O88" i="13"/>
  <c r="N88" i="13"/>
  <c r="M88" i="13"/>
  <c r="P88" i="13"/>
  <c r="L88" i="13"/>
  <c r="K88" i="13"/>
  <c r="O87" i="13"/>
  <c r="N87" i="13"/>
  <c r="M87" i="13"/>
  <c r="P87" i="13" s="1"/>
  <c r="L87" i="13"/>
  <c r="K87" i="13"/>
  <c r="O86" i="13"/>
  <c r="M86" i="13"/>
  <c r="N86" i="13"/>
  <c r="P86" i="13" s="1"/>
  <c r="K86" i="13"/>
  <c r="L86" i="13"/>
  <c r="O85" i="13"/>
  <c r="P85" i="13"/>
  <c r="N85" i="13"/>
  <c r="M85" i="13"/>
  <c r="K85" i="13"/>
  <c r="L85" i="13"/>
  <c r="O84" i="13"/>
  <c r="N84" i="13"/>
  <c r="M84" i="13"/>
  <c r="L84" i="13"/>
  <c r="K84" i="13"/>
  <c r="O83" i="13"/>
  <c r="N83" i="13"/>
  <c r="M83" i="13"/>
  <c r="P83" i="13" s="1"/>
  <c r="L83" i="13"/>
  <c r="K83" i="13"/>
  <c r="O82" i="13"/>
  <c r="N82" i="13"/>
  <c r="M82" i="13"/>
  <c r="P82" i="13" s="1"/>
  <c r="K82" i="13"/>
  <c r="L82" i="13"/>
  <c r="O81" i="13"/>
  <c r="N81" i="13"/>
  <c r="P81" i="13" s="1"/>
  <c r="M81" i="13"/>
  <c r="K81" i="13"/>
  <c r="L81" i="13"/>
  <c r="O80" i="13"/>
  <c r="N80" i="13"/>
  <c r="M80" i="13"/>
  <c r="L80" i="13"/>
  <c r="K80" i="13"/>
  <c r="O79" i="13"/>
  <c r="N79" i="13"/>
  <c r="M79" i="13"/>
  <c r="L79" i="13"/>
  <c r="K79" i="13"/>
  <c r="O78" i="13"/>
  <c r="N78" i="13"/>
  <c r="P78" i="13"/>
  <c r="M78" i="13"/>
  <c r="K78" i="13"/>
  <c r="L78" i="13"/>
  <c r="O77" i="13"/>
  <c r="N77" i="13"/>
  <c r="M77" i="13"/>
  <c r="K77" i="13"/>
  <c r="L77" i="13"/>
  <c r="O76" i="13"/>
  <c r="N76" i="13"/>
  <c r="M76" i="13"/>
  <c r="P76" i="13" s="1"/>
  <c r="L76" i="13"/>
  <c r="K76" i="13"/>
  <c r="O75" i="13"/>
  <c r="N75" i="13"/>
  <c r="M75" i="13"/>
  <c r="L75" i="13"/>
  <c r="K75" i="13"/>
  <c r="O74" i="13"/>
  <c r="N74" i="13"/>
  <c r="M74" i="13"/>
  <c r="P74" i="13" s="1"/>
  <c r="K74" i="13"/>
  <c r="L74" i="13"/>
  <c r="O73" i="13"/>
  <c r="N73" i="13"/>
  <c r="M73" i="13"/>
  <c r="K73" i="13"/>
  <c r="L73" i="13"/>
  <c r="O72" i="13"/>
  <c r="N72" i="13"/>
  <c r="M72" i="13"/>
  <c r="L72" i="13"/>
  <c r="K72" i="13"/>
  <c r="O71" i="13"/>
  <c r="N71" i="13"/>
  <c r="M71" i="13"/>
  <c r="L71" i="13"/>
  <c r="K71" i="13"/>
  <c r="O70" i="13"/>
  <c r="N70" i="13"/>
  <c r="M70" i="13"/>
  <c r="K70" i="13"/>
  <c r="L70" i="13"/>
  <c r="O69" i="13"/>
  <c r="N69" i="13"/>
  <c r="M69" i="13"/>
  <c r="K69" i="13"/>
  <c r="L69" i="13"/>
  <c r="O68" i="13"/>
  <c r="N68" i="13"/>
  <c r="M68" i="13"/>
  <c r="L68" i="13"/>
  <c r="K68" i="13"/>
  <c r="O67" i="13"/>
  <c r="M67" i="13"/>
  <c r="N67" i="13"/>
  <c r="P67" i="13"/>
  <c r="L67" i="13"/>
  <c r="K67" i="13"/>
  <c r="O66" i="13"/>
  <c r="N66" i="13"/>
  <c r="P66" i="13" s="1"/>
  <c r="M66" i="13"/>
  <c r="K66" i="13"/>
  <c r="L66" i="13"/>
  <c r="O65" i="13"/>
  <c r="N65" i="13"/>
  <c r="M65" i="13"/>
  <c r="K65" i="13"/>
  <c r="L65" i="13"/>
  <c r="O64" i="13"/>
  <c r="N64" i="13"/>
  <c r="M64" i="13"/>
  <c r="L64" i="13"/>
  <c r="K64" i="13"/>
  <c r="O63" i="13"/>
  <c r="N63" i="13"/>
  <c r="M63" i="13"/>
  <c r="L63" i="13"/>
  <c r="K63" i="13"/>
  <c r="O62" i="13"/>
  <c r="N62" i="13"/>
  <c r="M62" i="13"/>
  <c r="P62" i="13" s="1"/>
  <c r="K62" i="13"/>
  <c r="L62" i="13"/>
  <c r="O61" i="13"/>
  <c r="N61" i="13"/>
  <c r="M61" i="13"/>
  <c r="K61" i="13"/>
  <c r="L61" i="13"/>
  <c r="O60" i="13"/>
  <c r="P60" i="13" s="1"/>
  <c r="M60" i="13"/>
  <c r="N60" i="13"/>
  <c r="L60" i="13"/>
  <c r="K60" i="13"/>
  <c r="O59" i="13"/>
  <c r="N59" i="13"/>
  <c r="M59" i="13"/>
  <c r="P59" i="13" s="1"/>
  <c r="L59" i="13"/>
  <c r="K59" i="13"/>
  <c r="O58" i="13"/>
  <c r="N58" i="13"/>
  <c r="M58" i="13"/>
  <c r="K58" i="13"/>
  <c r="L58" i="13"/>
  <c r="O57" i="13"/>
  <c r="N57" i="13"/>
  <c r="P57" i="13" s="1"/>
  <c r="M57" i="13"/>
  <c r="K57" i="13"/>
  <c r="L57" i="13"/>
  <c r="O56" i="13"/>
  <c r="N56" i="13"/>
  <c r="M56" i="13"/>
  <c r="L56" i="13"/>
  <c r="K56" i="13"/>
  <c r="O55" i="13"/>
  <c r="N55" i="13"/>
  <c r="M55" i="13"/>
  <c r="P55" i="13"/>
  <c r="L55" i="13"/>
  <c r="K55" i="13"/>
  <c r="O54" i="13"/>
  <c r="N54" i="13"/>
  <c r="P54" i="13" s="1"/>
  <c r="M54" i="13"/>
  <c r="K54" i="13"/>
  <c r="L54" i="13"/>
  <c r="O53" i="13"/>
  <c r="N53" i="13"/>
  <c r="M53" i="13"/>
  <c r="K53" i="13"/>
  <c r="L53" i="13"/>
  <c r="O52" i="13"/>
  <c r="N52" i="13"/>
  <c r="M52" i="13"/>
  <c r="L52" i="13"/>
  <c r="K52" i="13"/>
  <c r="O51" i="13"/>
  <c r="N51" i="13"/>
  <c r="M51" i="13"/>
  <c r="P51" i="13" s="1"/>
  <c r="L51" i="13"/>
  <c r="K51" i="13"/>
  <c r="O50" i="13"/>
  <c r="N50" i="13"/>
  <c r="M50" i="13"/>
  <c r="K50" i="13"/>
  <c r="L50" i="13"/>
  <c r="O49" i="13"/>
  <c r="N49" i="13"/>
  <c r="M49" i="13"/>
  <c r="K49" i="13"/>
  <c r="L49" i="13"/>
  <c r="O48" i="13"/>
  <c r="M48" i="13"/>
  <c r="P48" i="13" s="1"/>
  <c r="N48" i="13"/>
  <c r="L48" i="13"/>
  <c r="K48" i="13"/>
  <c r="O47" i="13"/>
  <c r="N47" i="13"/>
  <c r="M47" i="13"/>
  <c r="L47" i="13"/>
  <c r="K47" i="13"/>
  <c r="O46" i="13"/>
  <c r="N46" i="13"/>
  <c r="P46" i="13"/>
  <c r="M46" i="13"/>
  <c r="K46" i="13"/>
  <c r="L46" i="13"/>
  <c r="O45" i="13"/>
  <c r="P45" i="13" s="1"/>
  <c r="N45" i="13"/>
  <c r="M45" i="13"/>
  <c r="K45" i="13"/>
  <c r="L45" i="13"/>
  <c r="M44" i="13"/>
  <c r="N44" i="13"/>
  <c r="O44" i="13"/>
  <c r="P44" i="13"/>
  <c r="L44" i="13"/>
  <c r="K44" i="13"/>
  <c r="O43" i="13"/>
  <c r="N43" i="13"/>
  <c r="P43" i="13" s="1"/>
  <c r="M43" i="13"/>
  <c r="L43" i="13"/>
  <c r="K43" i="13"/>
  <c r="O42" i="13"/>
  <c r="P42" i="13" s="1"/>
  <c r="N42" i="13"/>
  <c r="M42" i="13"/>
  <c r="K42" i="13"/>
  <c r="L42" i="13"/>
  <c r="O41" i="13"/>
  <c r="N41" i="13"/>
  <c r="M41" i="13"/>
  <c r="K41" i="13"/>
  <c r="L41" i="13"/>
  <c r="O40" i="13"/>
  <c r="N40" i="13"/>
  <c r="M40" i="13"/>
  <c r="K40" i="13"/>
  <c r="L40" i="13"/>
  <c r="O39" i="13"/>
  <c r="N39" i="13"/>
  <c r="P39" i="13" s="1"/>
  <c r="M39" i="13"/>
  <c r="K39" i="13"/>
  <c r="L39" i="13"/>
  <c r="O38" i="13"/>
  <c r="N38" i="13"/>
  <c r="M38" i="13"/>
  <c r="P38" i="13" s="1"/>
  <c r="K38" i="13"/>
  <c r="L38" i="13"/>
  <c r="O37" i="13"/>
  <c r="N37" i="13"/>
  <c r="M37" i="13"/>
  <c r="K37" i="13"/>
  <c r="L37" i="13"/>
  <c r="O36" i="13"/>
  <c r="P36" i="13" s="1"/>
  <c r="N36" i="13"/>
  <c r="M36" i="13"/>
  <c r="K36" i="13"/>
  <c r="L36" i="13"/>
  <c r="O35" i="13"/>
  <c r="N35" i="13"/>
  <c r="M35" i="13"/>
  <c r="K35" i="13"/>
  <c r="L35" i="13"/>
  <c r="O34" i="13"/>
  <c r="P34" i="13"/>
  <c r="N34" i="13"/>
  <c r="M34" i="13"/>
  <c r="K34" i="13"/>
  <c r="L34" i="13"/>
  <c r="O33" i="13"/>
  <c r="N33" i="13"/>
  <c r="M33" i="13"/>
  <c r="K33" i="13"/>
  <c r="L33" i="13"/>
  <c r="O32" i="13"/>
  <c r="N32" i="13"/>
  <c r="M32" i="13"/>
  <c r="P32" i="13" s="1"/>
  <c r="K32" i="13"/>
  <c r="L32" i="13"/>
  <c r="O31" i="13"/>
  <c r="N31" i="13"/>
  <c r="M31" i="13"/>
  <c r="K31" i="13"/>
  <c r="L31" i="13"/>
  <c r="O30" i="13"/>
  <c r="N30" i="13"/>
  <c r="P30" i="13" s="1"/>
  <c r="M30" i="13"/>
  <c r="K30" i="13"/>
  <c r="L30" i="13"/>
  <c r="O29" i="13"/>
  <c r="N29" i="13"/>
  <c r="M29" i="13"/>
  <c r="K29" i="13"/>
  <c r="L29" i="13"/>
  <c r="O28" i="13"/>
  <c r="N28" i="13"/>
  <c r="M28" i="13"/>
  <c r="P28" i="13"/>
  <c r="K28" i="13"/>
  <c r="L28" i="13"/>
  <c r="O27" i="13"/>
  <c r="N27" i="13"/>
  <c r="M27" i="13"/>
  <c r="K27" i="13"/>
  <c r="L27" i="13"/>
  <c r="O26" i="13"/>
  <c r="N26" i="13"/>
  <c r="M26" i="13"/>
  <c r="K26" i="13"/>
  <c r="L26" i="13"/>
  <c r="O25" i="13"/>
  <c r="N25" i="13"/>
  <c r="M25" i="13"/>
  <c r="P25" i="13"/>
  <c r="K25" i="13"/>
  <c r="L25" i="13"/>
  <c r="O24" i="13"/>
  <c r="N24" i="13"/>
  <c r="M24" i="13"/>
  <c r="K24" i="13"/>
  <c r="L24" i="13"/>
  <c r="O23" i="13"/>
  <c r="N23" i="13"/>
  <c r="M23" i="13"/>
  <c r="K23" i="13"/>
  <c r="L23" i="13"/>
  <c r="O22" i="13"/>
  <c r="N22" i="13"/>
  <c r="M22" i="13"/>
  <c r="P22" i="13" s="1"/>
  <c r="K22" i="13"/>
  <c r="L22" i="13"/>
  <c r="O21" i="13"/>
  <c r="N21" i="13"/>
  <c r="M21" i="13"/>
  <c r="K21" i="13"/>
  <c r="L21" i="13"/>
  <c r="O20" i="13"/>
  <c r="N20" i="13"/>
  <c r="M20" i="13"/>
  <c r="P20" i="13" s="1"/>
  <c r="K20" i="13"/>
  <c r="L20" i="13"/>
  <c r="O19" i="13"/>
  <c r="N19" i="13"/>
  <c r="M19" i="13"/>
  <c r="K19" i="13"/>
  <c r="L19" i="13"/>
  <c r="O18" i="13"/>
  <c r="N18" i="13"/>
  <c r="M18" i="13"/>
  <c r="K18" i="13"/>
  <c r="L18" i="13"/>
  <c r="L98" i="13" s="1"/>
  <c r="I32" i="1" s="1"/>
  <c r="O17" i="13"/>
  <c r="N17" i="13"/>
  <c r="M17" i="13"/>
  <c r="K17" i="13"/>
  <c r="L17" i="13"/>
  <c r="O16" i="13"/>
  <c r="N16" i="13"/>
  <c r="M16" i="13"/>
  <c r="P16" i="13" s="1"/>
  <c r="K16" i="13"/>
  <c r="L16" i="13"/>
  <c r="O15" i="13"/>
  <c r="N15" i="13"/>
  <c r="M15" i="13"/>
  <c r="P15" i="13" s="1"/>
  <c r="K15" i="13"/>
  <c r="L15" i="13"/>
  <c r="O13" i="13"/>
  <c r="N13" i="13"/>
  <c r="M13" i="13"/>
  <c r="L13" i="13"/>
  <c r="K13" i="13"/>
  <c r="C13" i="13"/>
  <c r="A2" i="13"/>
  <c r="H1" i="13"/>
  <c r="A98" i="12"/>
  <c r="O93" i="12"/>
  <c r="P93" i="12"/>
  <c r="N93" i="12"/>
  <c r="M93" i="12"/>
  <c r="K93" i="12"/>
  <c r="L93" i="12"/>
  <c r="O92" i="12"/>
  <c r="N92" i="12"/>
  <c r="M92" i="12"/>
  <c r="K92" i="12"/>
  <c r="L92" i="12"/>
  <c r="O91" i="12"/>
  <c r="N91" i="12"/>
  <c r="M91" i="12"/>
  <c r="P91" i="12" s="1"/>
  <c r="K91" i="12"/>
  <c r="L91" i="12"/>
  <c r="N90" i="12"/>
  <c r="M90" i="12"/>
  <c r="K90" i="12"/>
  <c r="L90" i="12"/>
  <c r="O89" i="12"/>
  <c r="N89" i="12"/>
  <c r="M89" i="12"/>
  <c r="K89" i="12"/>
  <c r="L89" i="12"/>
  <c r="O88" i="12"/>
  <c r="N88" i="12"/>
  <c r="M88" i="12"/>
  <c r="P88" i="12" s="1"/>
  <c r="K88" i="12"/>
  <c r="L88" i="12"/>
  <c r="O87" i="12"/>
  <c r="N87" i="12"/>
  <c r="P87" i="12" s="1"/>
  <c r="M87" i="12"/>
  <c r="K87" i="12"/>
  <c r="L87" i="12"/>
  <c r="O86" i="12"/>
  <c r="P86" i="12" s="1"/>
  <c r="N86" i="12"/>
  <c r="M86" i="12"/>
  <c r="K86" i="12"/>
  <c r="L86" i="12"/>
  <c r="O85" i="12"/>
  <c r="N85" i="12"/>
  <c r="P85" i="12"/>
  <c r="M85" i="12"/>
  <c r="K85" i="12"/>
  <c r="L85" i="12"/>
  <c r="O84" i="12"/>
  <c r="N84" i="12"/>
  <c r="M84" i="12"/>
  <c r="K84" i="12"/>
  <c r="L84" i="12"/>
  <c r="O83" i="12"/>
  <c r="N83" i="12"/>
  <c r="M83" i="12"/>
  <c r="K83" i="12"/>
  <c r="L83" i="12"/>
  <c r="O82" i="12"/>
  <c r="N82" i="12"/>
  <c r="M82" i="12"/>
  <c r="P82" i="12" s="1"/>
  <c r="K82" i="12"/>
  <c r="L82" i="12"/>
  <c r="O81" i="12"/>
  <c r="N81" i="12"/>
  <c r="M81" i="12"/>
  <c r="P81" i="12" s="1"/>
  <c r="K81" i="12"/>
  <c r="L81" i="12"/>
  <c r="O80" i="12"/>
  <c r="N80" i="12"/>
  <c r="P80" i="12" s="1"/>
  <c r="M80" i="12"/>
  <c r="K80" i="12"/>
  <c r="L80" i="12"/>
  <c r="O79" i="12"/>
  <c r="P79" i="12" s="1"/>
  <c r="N79" i="12"/>
  <c r="M79" i="12"/>
  <c r="K79" i="12"/>
  <c r="L79" i="12"/>
  <c r="O78" i="12"/>
  <c r="N78" i="12"/>
  <c r="M78" i="12"/>
  <c r="P78" i="12"/>
  <c r="K78" i="12"/>
  <c r="L78" i="12"/>
  <c r="O77" i="12"/>
  <c r="N77" i="12"/>
  <c r="P77" i="12" s="1"/>
  <c r="M77" i="12"/>
  <c r="K77" i="12"/>
  <c r="L77" i="12"/>
  <c r="O76" i="12"/>
  <c r="N76" i="12"/>
  <c r="M76" i="12"/>
  <c r="P76" i="12" s="1"/>
  <c r="K76" i="12"/>
  <c r="L76" i="12"/>
  <c r="O75" i="12"/>
  <c r="N75" i="12"/>
  <c r="M75" i="12"/>
  <c r="K75" i="12"/>
  <c r="L75" i="12"/>
  <c r="O74" i="12"/>
  <c r="N74" i="12"/>
  <c r="M74" i="12"/>
  <c r="K74" i="12"/>
  <c r="L74" i="12"/>
  <c r="O73" i="12"/>
  <c r="N73" i="12"/>
  <c r="M73" i="12"/>
  <c r="K73" i="12"/>
  <c r="L73" i="12"/>
  <c r="O72" i="12"/>
  <c r="N72" i="12"/>
  <c r="P72" i="12" s="1"/>
  <c r="M72" i="12"/>
  <c r="K72" i="12"/>
  <c r="L72" i="12"/>
  <c r="O71" i="12"/>
  <c r="N71" i="12"/>
  <c r="M71" i="12"/>
  <c r="K71" i="12"/>
  <c r="L71" i="12"/>
  <c r="O70" i="12"/>
  <c r="N70" i="12"/>
  <c r="M70" i="12"/>
  <c r="P70" i="12"/>
  <c r="K70" i="12"/>
  <c r="L70" i="12"/>
  <c r="O69" i="12"/>
  <c r="N69" i="12"/>
  <c r="P69" i="12" s="1"/>
  <c r="M69" i="12"/>
  <c r="K69" i="12"/>
  <c r="L69" i="12"/>
  <c r="O68" i="12"/>
  <c r="N68" i="12"/>
  <c r="M68" i="12"/>
  <c r="K68" i="12"/>
  <c r="L68" i="12"/>
  <c r="O67" i="12"/>
  <c r="N67" i="12"/>
  <c r="M67" i="12"/>
  <c r="P67" i="12" s="1"/>
  <c r="K67" i="12"/>
  <c r="L67" i="12"/>
  <c r="O66" i="12"/>
  <c r="N66" i="12"/>
  <c r="M66" i="12"/>
  <c r="K66" i="12"/>
  <c r="L66" i="12"/>
  <c r="O65" i="12"/>
  <c r="N65" i="12"/>
  <c r="M65" i="12"/>
  <c r="P65" i="12" s="1"/>
  <c r="K65" i="12"/>
  <c r="L65" i="12"/>
  <c r="O64" i="12"/>
  <c r="P64" i="12"/>
  <c r="N64" i="12"/>
  <c r="M64" i="12"/>
  <c r="K64" i="12"/>
  <c r="L64" i="12"/>
  <c r="K63" i="12"/>
  <c r="O62" i="12"/>
  <c r="N62" i="12"/>
  <c r="P62" i="12" s="1"/>
  <c r="M62" i="12"/>
  <c r="K62" i="12"/>
  <c r="L62" i="12"/>
  <c r="O61" i="12"/>
  <c r="M61" i="12"/>
  <c r="P61" i="12" s="1"/>
  <c r="K61" i="12"/>
  <c r="L61" i="12"/>
  <c r="O60" i="12"/>
  <c r="N60" i="12"/>
  <c r="P60" i="12" s="1"/>
  <c r="M60" i="12"/>
  <c r="K60" i="12"/>
  <c r="L60" i="12"/>
  <c r="O59" i="12"/>
  <c r="N59" i="12"/>
  <c r="M59" i="12"/>
  <c r="K59" i="12"/>
  <c r="L59" i="12"/>
  <c r="O58" i="12"/>
  <c r="N58" i="12"/>
  <c r="M58" i="12"/>
  <c r="K58" i="12"/>
  <c r="L58" i="12"/>
  <c r="O57" i="12"/>
  <c r="N57" i="12"/>
  <c r="M57" i="12"/>
  <c r="K57" i="12"/>
  <c r="L57" i="12"/>
  <c r="O56" i="12"/>
  <c r="P56" i="12"/>
  <c r="N56" i="12"/>
  <c r="M56" i="12"/>
  <c r="K56" i="12"/>
  <c r="L56" i="12"/>
  <c r="O55" i="12"/>
  <c r="N55" i="12"/>
  <c r="M55" i="12"/>
  <c r="K55" i="12"/>
  <c r="L55" i="12"/>
  <c r="O54" i="12"/>
  <c r="N54" i="12"/>
  <c r="M54" i="12"/>
  <c r="P54" i="12" s="1"/>
  <c r="K54" i="12"/>
  <c r="L54" i="12"/>
  <c r="O53" i="12"/>
  <c r="N53" i="12"/>
  <c r="M53" i="12"/>
  <c r="K53" i="12"/>
  <c r="L53" i="12"/>
  <c r="O52" i="12"/>
  <c r="N52" i="12"/>
  <c r="M52" i="12"/>
  <c r="P52" i="12" s="1"/>
  <c r="K52" i="12"/>
  <c r="L52" i="12"/>
  <c r="O51" i="12"/>
  <c r="N51" i="12"/>
  <c r="P51" i="12" s="1"/>
  <c r="M51" i="12"/>
  <c r="K51" i="12"/>
  <c r="L51" i="12"/>
  <c r="O50" i="12"/>
  <c r="P50" i="12" s="1"/>
  <c r="N50" i="12"/>
  <c r="M50" i="12"/>
  <c r="K50" i="12"/>
  <c r="L50" i="12"/>
  <c r="O49" i="12"/>
  <c r="N49" i="12"/>
  <c r="P49" i="12"/>
  <c r="M49" i="12"/>
  <c r="K49" i="12"/>
  <c r="L49" i="12"/>
  <c r="O48" i="12"/>
  <c r="N48" i="12"/>
  <c r="M48" i="12"/>
  <c r="P48" i="12" s="1"/>
  <c r="K48" i="12"/>
  <c r="L48" i="12"/>
  <c r="O47" i="12"/>
  <c r="N47" i="12"/>
  <c r="M47" i="12"/>
  <c r="K47" i="12"/>
  <c r="L47" i="12"/>
  <c r="O46" i="12"/>
  <c r="N46" i="12"/>
  <c r="M46" i="12"/>
  <c r="P46" i="12" s="1"/>
  <c r="K46" i="12"/>
  <c r="L46" i="12"/>
  <c r="O45" i="12"/>
  <c r="N45" i="12"/>
  <c r="M45" i="12"/>
  <c r="P45" i="12" s="1"/>
  <c r="K45" i="12"/>
  <c r="L45" i="12"/>
  <c r="O44" i="12"/>
  <c r="P44" i="12"/>
  <c r="N44" i="12"/>
  <c r="M44" i="12"/>
  <c r="K44" i="12"/>
  <c r="L44" i="12"/>
  <c r="O43" i="12"/>
  <c r="N43" i="12"/>
  <c r="M43" i="12"/>
  <c r="K43" i="12"/>
  <c r="L43" i="12"/>
  <c r="O42" i="12"/>
  <c r="N42" i="12"/>
  <c r="M42" i="12"/>
  <c r="P42" i="12" s="1"/>
  <c r="K42" i="12"/>
  <c r="L42" i="12"/>
  <c r="O41" i="12"/>
  <c r="N41" i="12"/>
  <c r="P41" i="12" s="1"/>
  <c r="M41" i="12"/>
  <c r="K41" i="12"/>
  <c r="L41" i="12"/>
  <c r="O40" i="12"/>
  <c r="N40" i="12"/>
  <c r="M40" i="12"/>
  <c r="K40" i="12"/>
  <c r="L40" i="12"/>
  <c r="O39" i="12"/>
  <c r="N39" i="12"/>
  <c r="M39" i="12"/>
  <c r="K39" i="12"/>
  <c r="L39" i="12"/>
  <c r="O38" i="12"/>
  <c r="N38" i="12"/>
  <c r="M38" i="12"/>
  <c r="P38" i="12" s="1"/>
  <c r="K38" i="12"/>
  <c r="L38" i="12"/>
  <c r="O37" i="12"/>
  <c r="N37" i="12"/>
  <c r="M37" i="12"/>
  <c r="K37" i="12"/>
  <c r="L37" i="12"/>
  <c r="O36" i="12"/>
  <c r="N36" i="12"/>
  <c r="P36" i="12" s="1"/>
  <c r="M36" i="12"/>
  <c r="K36" i="12"/>
  <c r="L36" i="12"/>
  <c r="O35" i="12"/>
  <c r="N35" i="12"/>
  <c r="M35" i="12"/>
  <c r="K35" i="12"/>
  <c r="L35" i="12"/>
  <c r="O34" i="12"/>
  <c r="N34" i="12"/>
  <c r="M34" i="12"/>
  <c r="P34" i="12"/>
  <c r="K34" i="12"/>
  <c r="L34" i="12"/>
  <c r="O33" i="12"/>
  <c r="N33" i="12"/>
  <c r="P33" i="12" s="1"/>
  <c r="M33" i="12"/>
  <c r="K33" i="12"/>
  <c r="L33" i="12"/>
  <c r="O32" i="12"/>
  <c r="N32" i="12"/>
  <c r="M32" i="12"/>
  <c r="K32" i="12"/>
  <c r="L32" i="12"/>
  <c r="O31" i="12"/>
  <c r="N31" i="12"/>
  <c r="M31" i="12"/>
  <c r="P31" i="12" s="1"/>
  <c r="K31" i="12"/>
  <c r="L31" i="12"/>
  <c r="O30" i="12"/>
  <c r="N30" i="12"/>
  <c r="P30" i="12" s="1"/>
  <c r="M30" i="12"/>
  <c r="K30" i="12"/>
  <c r="L30" i="12"/>
  <c r="O29" i="12"/>
  <c r="N29" i="12"/>
  <c r="M29" i="12"/>
  <c r="P29" i="12" s="1"/>
  <c r="K29" i="12"/>
  <c r="L29" i="12"/>
  <c r="O28" i="12"/>
  <c r="P28" i="12"/>
  <c r="N28" i="12"/>
  <c r="M28" i="12"/>
  <c r="K28" i="12"/>
  <c r="L28" i="12"/>
  <c r="O27" i="12"/>
  <c r="N27" i="12"/>
  <c r="M27" i="12"/>
  <c r="K27" i="12"/>
  <c r="L27" i="12"/>
  <c r="O26" i="12"/>
  <c r="N26" i="12"/>
  <c r="M26" i="12"/>
  <c r="K26" i="12"/>
  <c r="L26" i="12"/>
  <c r="O25" i="12"/>
  <c r="N25" i="12"/>
  <c r="M25" i="12"/>
  <c r="K25" i="12"/>
  <c r="L25" i="12"/>
  <c r="O24" i="12"/>
  <c r="N24" i="12"/>
  <c r="M24" i="12"/>
  <c r="P24" i="12" s="1"/>
  <c r="K24" i="12"/>
  <c r="L24" i="12"/>
  <c r="O23" i="12"/>
  <c r="N23" i="12"/>
  <c r="P23" i="12" s="1"/>
  <c r="M23" i="12"/>
  <c r="K23" i="12"/>
  <c r="L23" i="12"/>
  <c r="O22" i="12"/>
  <c r="P22" i="12" s="1"/>
  <c r="N22" i="12"/>
  <c r="M22" i="12"/>
  <c r="K22" i="12"/>
  <c r="L22" i="12"/>
  <c r="O21" i="12"/>
  <c r="N21" i="12"/>
  <c r="M21" i="12"/>
  <c r="K21" i="12"/>
  <c r="L21" i="12"/>
  <c r="O20" i="12"/>
  <c r="P20" i="12"/>
  <c r="N20" i="12"/>
  <c r="M20" i="12"/>
  <c r="K20" i="12"/>
  <c r="L20" i="12"/>
  <c r="O19" i="12"/>
  <c r="N19" i="12"/>
  <c r="M19" i="12"/>
  <c r="K19" i="12"/>
  <c r="L19" i="12"/>
  <c r="O18" i="12"/>
  <c r="N18" i="12"/>
  <c r="M18" i="12"/>
  <c r="P18" i="12" s="1"/>
  <c r="K18" i="12"/>
  <c r="L18" i="12"/>
  <c r="O17" i="12"/>
  <c r="N17" i="12"/>
  <c r="M17" i="12"/>
  <c r="P17" i="12" s="1"/>
  <c r="K17" i="12"/>
  <c r="L17" i="12"/>
  <c r="O16" i="12"/>
  <c r="N16" i="12"/>
  <c r="M16" i="12"/>
  <c r="K16" i="12"/>
  <c r="L16" i="12"/>
  <c r="O15" i="12"/>
  <c r="N15" i="12"/>
  <c r="M15" i="12"/>
  <c r="K15" i="12"/>
  <c r="L15" i="12"/>
  <c r="O14" i="12"/>
  <c r="N14" i="12"/>
  <c r="M14" i="12"/>
  <c r="K14" i="12"/>
  <c r="L14" i="12"/>
  <c r="O13" i="12"/>
  <c r="N13" i="12"/>
  <c r="M13" i="12"/>
  <c r="L13" i="12"/>
  <c r="K13" i="12"/>
  <c r="C13" i="12"/>
  <c r="A2" i="12"/>
  <c r="H1" i="12"/>
  <c r="A89" i="11"/>
  <c r="O84" i="11"/>
  <c r="N84" i="11"/>
  <c r="P84" i="11" s="1"/>
  <c r="M84" i="11"/>
  <c r="K84" i="11"/>
  <c r="L84" i="11"/>
  <c r="O83" i="11"/>
  <c r="N83" i="11"/>
  <c r="M83" i="11"/>
  <c r="P83" i="11" s="1"/>
  <c r="K83" i="11"/>
  <c r="L83" i="11"/>
  <c r="O82" i="11"/>
  <c r="N82" i="11"/>
  <c r="M82" i="11"/>
  <c r="K82" i="11"/>
  <c r="L82" i="11"/>
  <c r="N81" i="11"/>
  <c r="K81" i="11"/>
  <c r="O79" i="11"/>
  <c r="N79" i="11"/>
  <c r="M79" i="11"/>
  <c r="K79" i="11"/>
  <c r="L79" i="11"/>
  <c r="O77" i="11"/>
  <c r="M77" i="11"/>
  <c r="N77" i="11"/>
  <c r="K77" i="11"/>
  <c r="L77" i="11"/>
  <c r="O76" i="11"/>
  <c r="N76" i="11"/>
  <c r="M76" i="11"/>
  <c r="K76" i="11"/>
  <c r="L76" i="11"/>
  <c r="O75" i="11"/>
  <c r="N75" i="11"/>
  <c r="M75" i="11"/>
  <c r="P75" i="11"/>
  <c r="K75" i="11"/>
  <c r="L75" i="11"/>
  <c r="O74" i="11"/>
  <c r="N74" i="11"/>
  <c r="P74" i="11" s="1"/>
  <c r="M74" i="11"/>
  <c r="K74" i="11"/>
  <c r="L74" i="11"/>
  <c r="O73" i="11"/>
  <c r="N73" i="11"/>
  <c r="M73" i="11"/>
  <c r="K73" i="11"/>
  <c r="L73" i="11"/>
  <c r="O72" i="11"/>
  <c r="N72" i="11"/>
  <c r="M72" i="11"/>
  <c r="K72" i="11"/>
  <c r="L72" i="11"/>
  <c r="O71" i="11"/>
  <c r="N71" i="11"/>
  <c r="M71" i="11"/>
  <c r="P71" i="11"/>
  <c r="K71" i="11"/>
  <c r="L71" i="11"/>
  <c r="O70" i="11"/>
  <c r="N70" i="11"/>
  <c r="M70" i="11"/>
  <c r="K70" i="11"/>
  <c r="L70" i="11"/>
  <c r="O69" i="11"/>
  <c r="P69" i="11" s="1"/>
  <c r="N69" i="11"/>
  <c r="M69" i="11"/>
  <c r="K69" i="11"/>
  <c r="L69" i="11"/>
  <c r="O68" i="11"/>
  <c r="N68" i="11"/>
  <c r="M68" i="11"/>
  <c r="K68" i="11"/>
  <c r="L68" i="11"/>
  <c r="O67" i="11"/>
  <c r="N67" i="11"/>
  <c r="M67" i="11"/>
  <c r="K67" i="11"/>
  <c r="L67" i="11"/>
  <c r="O66" i="11"/>
  <c r="N66" i="11"/>
  <c r="P66" i="11" s="1"/>
  <c r="M66" i="11"/>
  <c r="K66" i="11"/>
  <c r="L66" i="11"/>
  <c r="O65" i="11"/>
  <c r="N65" i="11"/>
  <c r="M65" i="11"/>
  <c r="K65" i="11"/>
  <c r="L65" i="11"/>
  <c r="O64" i="11"/>
  <c r="N64" i="11"/>
  <c r="M64" i="11"/>
  <c r="K64" i="11"/>
  <c r="L64" i="11"/>
  <c r="O63" i="11"/>
  <c r="N63" i="11"/>
  <c r="P63" i="11" s="1"/>
  <c r="M63" i="11"/>
  <c r="K63" i="11"/>
  <c r="L63" i="11"/>
  <c r="O62" i="11"/>
  <c r="N62" i="11"/>
  <c r="M62" i="11"/>
  <c r="K62" i="11"/>
  <c r="L62" i="11"/>
  <c r="O61" i="11"/>
  <c r="N61" i="11"/>
  <c r="P61" i="11" s="1"/>
  <c r="M61" i="11"/>
  <c r="K61" i="11"/>
  <c r="L61" i="11"/>
  <c r="O60" i="11"/>
  <c r="N60" i="11"/>
  <c r="M60" i="11"/>
  <c r="K60" i="11"/>
  <c r="L60" i="11"/>
  <c r="O59" i="11"/>
  <c r="N59" i="11"/>
  <c r="M59" i="11"/>
  <c r="P59" i="11"/>
  <c r="K59" i="11"/>
  <c r="L59" i="11"/>
  <c r="O58" i="11"/>
  <c r="N58" i="11"/>
  <c r="M58" i="11"/>
  <c r="P58" i="11" s="1"/>
  <c r="K58" i="11"/>
  <c r="L58" i="11"/>
  <c r="O57" i="11"/>
  <c r="N57" i="11"/>
  <c r="M57" i="11"/>
  <c r="K57" i="11"/>
  <c r="L57" i="11"/>
  <c r="O56" i="11"/>
  <c r="N56" i="11"/>
  <c r="M56" i="11"/>
  <c r="K56" i="11"/>
  <c r="L56" i="11"/>
  <c r="O55" i="11"/>
  <c r="N55" i="11"/>
  <c r="M55" i="11"/>
  <c r="P55" i="11"/>
  <c r="K55" i="11"/>
  <c r="L55" i="11"/>
  <c r="O54" i="11"/>
  <c r="N54" i="11"/>
  <c r="P54" i="11" s="1"/>
  <c r="M54" i="11"/>
  <c r="K54" i="11"/>
  <c r="L54" i="11"/>
  <c r="O53" i="11"/>
  <c r="N53" i="11"/>
  <c r="M53" i="11"/>
  <c r="K53" i="11"/>
  <c r="L53" i="11"/>
  <c r="M52" i="11"/>
  <c r="K52" i="11"/>
  <c r="O51" i="11"/>
  <c r="N51" i="11"/>
  <c r="M51" i="11"/>
  <c r="K51" i="11"/>
  <c r="L51" i="11"/>
  <c r="O50" i="11"/>
  <c r="N50" i="11"/>
  <c r="M50" i="11"/>
  <c r="K50" i="11"/>
  <c r="L50" i="11"/>
  <c r="O49" i="11"/>
  <c r="N49" i="11"/>
  <c r="M49" i="11"/>
  <c r="P49" i="11" s="1"/>
  <c r="K49" i="11"/>
  <c r="L49" i="11"/>
  <c r="O48" i="11"/>
  <c r="N48" i="11"/>
  <c r="M48" i="11"/>
  <c r="K48" i="11"/>
  <c r="L48" i="11"/>
  <c r="O46" i="11"/>
  <c r="P46" i="11" s="1"/>
  <c r="N46" i="11"/>
  <c r="M46" i="11"/>
  <c r="K46" i="11"/>
  <c r="L46" i="11"/>
  <c r="O45" i="11"/>
  <c r="N45" i="11"/>
  <c r="P45" i="11"/>
  <c r="M45" i="11"/>
  <c r="K45" i="11"/>
  <c r="L45" i="11"/>
  <c r="O44" i="11"/>
  <c r="N44" i="11"/>
  <c r="M44" i="11"/>
  <c r="P44" i="11" s="1"/>
  <c r="K44" i="11"/>
  <c r="L44" i="11"/>
  <c r="O43" i="11"/>
  <c r="N43" i="11"/>
  <c r="M43" i="11"/>
  <c r="K43" i="11"/>
  <c r="L43" i="11"/>
  <c r="O42" i="11"/>
  <c r="N42" i="11"/>
  <c r="M42" i="11"/>
  <c r="K42" i="11"/>
  <c r="L42" i="11"/>
  <c r="O41" i="11"/>
  <c r="N41" i="11"/>
  <c r="P41" i="11"/>
  <c r="M41" i="11"/>
  <c r="K41" i="11"/>
  <c r="L41" i="11"/>
  <c r="O40" i="11"/>
  <c r="P40" i="11" s="1"/>
  <c r="N40" i="11"/>
  <c r="M40" i="11"/>
  <c r="K40" i="11"/>
  <c r="L40" i="11"/>
  <c r="O39" i="11"/>
  <c r="N39" i="11"/>
  <c r="M39" i="11"/>
  <c r="K39" i="11"/>
  <c r="L39" i="11"/>
  <c r="O38" i="11"/>
  <c r="N38" i="11"/>
  <c r="M38" i="11"/>
  <c r="K38" i="11"/>
  <c r="L38" i="11"/>
  <c r="O37" i="11"/>
  <c r="P37" i="11" s="1"/>
  <c r="N37" i="11"/>
  <c r="M37" i="11"/>
  <c r="K37" i="11"/>
  <c r="L37" i="11"/>
  <c r="O36" i="11"/>
  <c r="N36" i="11"/>
  <c r="M36" i="11"/>
  <c r="K36" i="11"/>
  <c r="L36" i="11"/>
  <c r="O35" i="11"/>
  <c r="N35" i="11"/>
  <c r="M35" i="11"/>
  <c r="K35" i="11"/>
  <c r="L35" i="11"/>
  <c r="O34" i="11"/>
  <c r="N34" i="11"/>
  <c r="M34" i="11"/>
  <c r="K34" i="11"/>
  <c r="L34" i="11"/>
  <c r="O33" i="11"/>
  <c r="N33" i="11"/>
  <c r="M33" i="11"/>
  <c r="K33" i="11"/>
  <c r="L33" i="11"/>
  <c r="O32" i="11"/>
  <c r="N32" i="11"/>
  <c r="M32" i="11"/>
  <c r="P32" i="11" s="1"/>
  <c r="K32" i="11"/>
  <c r="L32" i="11"/>
  <c r="O31" i="11"/>
  <c r="N31" i="11"/>
  <c r="M31" i="11"/>
  <c r="K31" i="11"/>
  <c r="L31" i="11"/>
  <c r="O30" i="11"/>
  <c r="N30" i="11"/>
  <c r="M30" i="11"/>
  <c r="P30" i="11"/>
  <c r="K30" i="11"/>
  <c r="L30" i="11"/>
  <c r="O29" i="11"/>
  <c r="N29" i="11"/>
  <c r="P29" i="11" s="1"/>
  <c r="M29" i="11"/>
  <c r="K29" i="11"/>
  <c r="L29" i="11"/>
  <c r="O28" i="11"/>
  <c r="N28" i="11"/>
  <c r="M28" i="11"/>
  <c r="P28" i="11" s="1"/>
  <c r="K28" i="11"/>
  <c r="L28" i="11"/>
  <c r="O27" i="11"/>
  <c r="N27" i="11"/>
  <c r="P27" i="11" s="1"/>
  <c r="M27" i="11"/>
  <c r="K27" i="11"/>
  <c r="L27" i="11"/>
  <c r="O26" i="11"/>
  <c r="N26" i="11"/>
  <c r="M26" i="11"/>
  <c r="K26" i="11"/>
  <c r="L26" i="11"/>
  <c r="O25" i="11"/>
  <c r="N25" i="11"/>
  <c r="M25" i="11"/>
  <c r="P25" i="11" s="1"/>
  <c r="K25" i="11"/>
  <c r="L25" i="11"/>
  <c r="O24" i="11"/>
  <c r="P24" i="11"/>
  <c r="N24" i="11"/>
  <c r="M24" i="11"/>
  <c r="K24" i="11"/>
  <c r="L24" i="11"/>
  <c r="O23" i="11"/>
  <c r="N23" i="11"/>
  <c r="M23" i="11"/>
  <c r="K23" i="11"/>
  <c r="L23" i="11"/>
  <c r="O22" i="11"/>
  <c r="N22" i="11"/>
  <c r="M22" i="11"/>
  <c r="P22" i="11" s="1"/>
  <c r="K22" i="11"/>
  <c r="L22" i="11"/>
  <c r="O21" i="11"/>
  <c r="N21" i="11"/>
  <c r="M21" i="11"/>
  <c r="P21" i="11" s="1"/>
  <c r="K21" i="11"/>
  <c r="L21" i="11"/>
  <c r="O20" i="11"/>
  <c r="N20" i="11"/>
  <c r="M20" i="11"/>
  <c r="P20" i="11" s="1"/>
  <c r="K20" i="11"/>
  <c r="L20" i="11"/>
  <c r="O19" i="11"/>
  <c r="N19" i="11"/>
  <c r="P19" i="11" s="1"/>
  <c r="M19" i="11"/>
  <c r="K19" i="11"/>
  <c r="L19" i="11"/>
  <c r="O18" i="11"/>
  <c r="N18" i="11"/>
  <c r="M18" i="11"/>
  <c r="K18" i="11"/>
  <c r="L18" i="11"/>
  <c r="O17" i="11"/>
  <c r="N17" i="11"/>
  <c r="M17" i="11"/>
  <c r="P17" i="11" s="1"/>
  <c r="K17" i="11"/>
  <c r="L17" i="11"/>
  <c r="O16" i="11"/>
  <c r="N16" i="11"/>
  <c r="M16" i="11"/>
  <c r="K16" i="11"/>
  <c r="L16" i="11"/>
  <c r="O15" i="11"/>
  <c r="N15" i="11"/>
  <c r="M15" i="11"/>
  <c r="K15" i="11"/>
  <c r="L15" i="11"/>
  <c r="O14" i="11"/>
  <c r="N14" i="11"/>
  <c r="M14" i="11"/>
  <c r="K14" i="11"/>
  <c r="L14" i="11"/>
  <c r="O13" i="11"/>
  <c r="N13" i="11"/>
  <c r="M13" i="11"/>
  <c r="L13" i="11"/>
  <c r="K13" i="11"/>
  <c r="C13" i="11"/>
  <c r="A2" i="11" s="1"/>
  <c r="H1" i="11"/>
  <c r="A256" i="10"/>
  <c r="O16" i="10"/>
  <c r="N16" i="10"/>
  <c r="M16" i="10"/>
  <c r="K16" i="10"/>
  <c r="L16" i="10"/>
  <c r="O15" i="10"/>
  <c r="N15" i="10"/>
  <c r="M15" i="10"/>
  <c r="K15" i="10"/>
  <c r="L15" i="10"/>
  <c r="O14" i="10"/>
  <c r="M14" i="10"/>
  <c r="N14" i="10"/>
  <c r="P14" i="10" s="1"/>
  <c r="K14" i="10"/>
  <c r="L14" i="10"/>
  <c r="O13" i="10"/>
  <c r="N13" i="10"/>
  <c r="M13" i="10"/>
  <c r="L13" i="10"/>
  <c r="K13" i="10"/>
  <c r="C13" i="10"/>
  <c r="A2" i="10" s="1"/>
  <c r="H1" i="10"/>
  <c r="A274" i="9"/>
  <c r="O238" i="9"/>
  <c r="N238" i="9"/>
  <c r="M238" i="9"/>
  <c r="P238" i="9"/>
  <c r="L238" i="9"/>
  <c r="K238" i="9"/>
  <c r="O237" i="9"/>
  <c r="N237" i="9"/>
  <c r="P237" i="9" s="1"/>
  <c r="M237" i="9"/>
  <c r="L237" i="9"/>
  <c r="K236" i="9"/>
  <c r="O235" i="9"/>
  <c r="N235" i="9"/>
  <c r="M235" i="9"/>
  <c r="P235" i="9" s="1"/>
  <c r="K235" i="9"/>
  <c r="L235" i="9"/>
  <c r="O234" i="9"/>
  <c r="N234" i="9"/>
  <c r="M234" i="9"/>
  <c r="L234" i="9"/>
  <c r="K234" i="9"/>
  <c r="O233" i="9"/>
  <c r="P233" i="9" s="1"/>
  <c r="N233" i="9"/>
  <c r="M233" i="9"/>
  <c r="L233" i="9"/>
  <c r="K233" i="9"/>
  <c r="O232" i="9"/>
  <c r="N232" i="9"/>
  <c r="M232" i="9"/>
  <c r="K232" i="9"/>
  <c r="L232" i="9"/>
  <c r="O231" i="9"/>
  <c r="N231" i="9"/>
  <c r="M231" i="9"/>
  <c r="P231" i="9" s="1"/>
  <c r="K231" i="9"/>
  <c r="L231" i="9"/>
  <c r="O230" i="9"/>
  <c r="N230" i="9"/>
  <c r="P230" i="9" s="1"/>
  <c r="M230" i="9"/>
  <c r="L230" i="9"/>
  <c r="K230" i="9"/>
  <c r="O229" i="9"/>
  <c r="N229" i="9"/>
  <c r="M229" i="9"/>
  <c r="P229" i="9" s="1"/>
  <c r="L229" i="9"/>
  <c r="K229" i="9"/>
  <c r="O228" i="9"/>
  <c r="N228" i="9"/>
  <c r="M228" i="9"/>
  <c r="K228" i="9"/>
  <c r="L228" i="9"/>
  <c r="O227" i="9"/>
  <c r="N227" i="9"/>
  <c r="M227" i="9"/>
  <c r="P227" i="9" s="1"/>
  <c r="K227" i="9"/>
  <c r="L227" i="9"/>
  <c r="O226" i="9"/>
  <c r="P226" i="9" s="1"/>
  <c r="N226" i="9"/>
  <c r="M226" i="9"/>
  <c r="L226" i="9"/>
  <c r="K226" i="9"/>
  <c r="O225" i="9"/>
  <c r="N225" i="9"/>
  <c r="M225" i="9"/>
  <c r="L225" i="9"/>
  <c r="K225" i="9"/>
  <c r="O224" i="9"/>
  <c r="N224" i="9"/>
  <c r="P224" i="9"/>
  <c r="M224" i="9"/>
  <c r="K224" i="9"/>
  <c r="L224" i="9"/>
  <c r="O223" i="9"/>
  <c r="P223" i="9" s="1"/>
  <c r="N223" i="9"/>
  <c r="M223" i="9"/>
  <c r="K223" i="9"/>
  <c r="L223" i="9"/>
  <c r="O222" i="9"/>
  <c r="N222" i="9"/>
  <c r="M222" i="9"/>
  <c r="L222" i="9"/>
  <c r="K222" i="9"/>
  <c r="O221" i="9"/>
  <c r="N221" i="9"/>
  <c r="M221" i="9"/>
  <c r="L221" i="9"/>
  <c r="K221" i="9"/>
  <c r="O220" i="9"/>
  <c r="N220" i="9"/>
  <c r="M220" i="9"/>
  <c r="P220" i="9"/>
  <c r="L220" i="9"/>
  <c r="K220" i="9"/>
  <c r="O219" i="9"/>
  <c r="N219" i="9"/>
  <c r="P219" i="9" s="1"/>
  <c r="M219" i="9"/>
  <c r="L219" i="9"/>
  <c r="K219" i="9"/>
  <c r="O218" i="9"/>
  <c r="N218" i="9"/>
  <c r="M218" i="9"/>
  <c r="L218" i="9"/>
  <c r="K218" i="9"/>
  <c r="O217" i="9"/>
  <c r="N217" i="9"/>
  <c r="P217" i="9"/>
  <c r="M217" i="9"/>
  <c r="L217" i="9"/>
  <c r="K217" i="9"/>
  <c r="O216" i="9"/>
  <c r="P216" i="9" s="1"/>
  <c r="N216" i="9"/>
  <c r="M216" i="9"/>
  <c r="L216" i="9"/>
  <c r="K216" i="9"/>
  <c r="O215" i="9"/>
  <c r="N215" i="9"/>
  <c r="M215" i="9"/>
  <c r="L215" i="9"/>
  <c r="K215" i="9"/>
  <c r="O212" i="9"/>
  <c r="N212" i="9"/>
  <c r="M212" i="9"/>
  <c r="P212" i="9" s="1"/>
  <c r="L212" i="9"/>
  <c r="K212" i="9"/>
  <c r="O211" i="9"/>
  <c r="N211" i="9"/>
  <c r="M211" i="9"/>
  <c r="P211" i="9" s="1"/>
  <c r="L211" i="9"/>
  <c r="K211" i="9"/>
  <c r="O210" i="9"/>
  <c r="N210" i="9"/>
  <c r="M210" i="9"/>
  <c r="L210" i="9"/>
  <c r="K210" i="9"/>
  <c r="O209" i="9"/>
  <c r="P209" i="9" s="1"/>
  <c r="N209" i="9"/>
  <c r="M209" i="9"/>
  <c r="L209" i="9"/>
  <c r="K209" i="9"/>
  <c r="O208" i="9"/>
  <c r="N208" i="9"/>
  <c r="M208" i="9"/>
  <c r="P208" i="9"/>
  <c r="L208" i="9"/>
  <c r="K208" i="9"/>
  <c r="O185" i="9"/>
  <c r="N185" i="9"/>
  <c r="P185" i="9" s="1"/>
  <c r="M185" i="9"/>
  <c r="L185" i="9"/>
  <c r="K185" i="9"/>
  <c r="O184" i="9"/>
  <c r="N184" i="9"/>
  <c r="M184" i="9"/>
  <c r="P184" i="9" s="1"/>
  <c r="L184" i="9"/>
  <c r="K184" i="9"/>
  <c r="O183" i="9"/>
  <c r="N183" i="9"/>
  <c r="M183" i="9"/>
  <c r="L183" i="9"/>
  <c r="K183" i="9"/>
  <c r="O182" i="9"/>
  <c r="N182" i="9"/>
  <c r="M182" i="9"/>
  <c r="L182" i="9"/>
  <c r="K182" i="9"/>
  <c r="O181" i="9"/>
  <c r="N181" i="9"/>
  <c r="M181" i="9"/>
  <c r="P181" i="9" s="1"/>
  <c r="L181" i="9"/>
  <c r="K181" i="9"/>
  <c r="O180" i="9"/>
  <c r="N180" i="9"/>
  <c r="P180" i="9" s="1"/>
  <c r="M180" i="9"/>
  <c r="L180" i="9"/>
  <c r="K180" i="9"/>
  <c r="O179" i="9"/>
  <c r="P179" i="9" s="1"/>
  <c r="N179" i="9"/>
  <c r="M179" i="9"/>
  <c r="L179" i="9"/>
  <c r="K179" i="9"/>
  <c r="O178" i="9"/>
  <c r="N178" i="9"/>
  <c r="M178" i="9"/>
  <c r="P178" i="9"/>
  <c r="L178" i="9"/>
  <c r="K178" i="9"/>
  <c r="O177" i="9"/>
  <c r="N177" i="9"/>
  <c r="P177" i="9" s="1"/>
  <c r="M177" i="9"/>
  <c r="L177" i="9"/>
  <c r="K177" i="9"/>
  <c r="O176" i="9"/>
  <c r="P176" i="9" s="1"/>
  <c r="N176" i="9"/>
  <c r="M176" i="9"/>
  <c r="L176" i="9"/>
  <c r="K176" i="9"/>
  <c r="O175" i="9"/>
  <c r="N175" i="9"/>
  <c r="M175" i="9"/>
  <c r="P175" i="9" s="1"/>
  <c r="L175" i="9"/>
  <c r="K175" i="9"/>
  <c r="O174" i="9"/>
  <c r="N174" i="9"/>
  <c r="M174" i="9"/>
  <c r="L174" i="9"/>
  <c r="K174" i="9"/>
  <c r="O173" i="9"/>
  <c r="N173" i="9"/>
  <c r="M173" i="9"/>
  <c r="P173" i="9" s="1"/>
  <c r="L173" i="9"/>
  <c r="K173" i="9"/>
  <c r="O172" i="9"/>
  <c r="P172" i="9"/>
  <c r="N172" i="9"/>
  <c r="M172" i="9"/>
  <c r="L172" i="9"/>
  <c r="K172" i="9"/>
  <c r="O171" i="9"/>
  <c r="K171" i="9"/>
  <c r="O170" i="9"/>
  <c r="N170" i="9"/>
  <c r="P170" i="9" s="1"/>
  <c r="M170" i="9"/>
  <c r="L170" i="9"/>
  <c r="K170" i="9"/>
  <c r="O169" i="9"/>
  <c r="N169" i="9"/>
  <c r="M169" i="9"/>
  <c r="P169" i="9" s="1"/>
  <c r="L169" i="9"/>
  <c r="K169" i="9"/>
  <c r="O168" i="9"/>
  <c r="N168" i="9"/>
  <c r="P168" i="9" s="1"/>
  <c r="M168" i="9"/>
  <c r="L168" i="9"/>
  <c r="K168" i="9"/>
  <c r="O167" i="9"/>
  <c r="N167" i="9"/>
  <c r="M167" i="9"/>
  <c r="L167" i="9"/>
  <c r="K167" i="9"/>
  <c r="O166" i="9"/>
  <c r="N166" i="9"/>
  <c r="M166" i="9"/>
  <c r="P166" i="9" s="1"/>
  <c r="L166" i="9"/>
  <c r="K166" i="9"/>
  <c r="O165" i="9"/>
  <c r="P165" i="9"/>
  <c r="N165" i="9"/>
  <c r="M165" i="9"/>
  <c r="L165" i="9"/>
  <c r="K165" i="9"/>
  <c r="O164" i="9"/>
  <c r="N164" i="9"/>
  <c r="M164" i="9"/>
  <c r="L164" i="9"/>
  <c r="K164" i="9"/>
  <c r="O163" i="9"/>
  <c r="N163" i="9"/>
  <c r="M163" i="9"/>
  <c r="P163" i="9" s="1"/>
  <c r="L163" i="9"/>
  <c r="K163" i="9"/>
  <c r="O162" i="9"/>
  <c r="N162" i="9"/>
  <c r="M162" i="9"/>
  <c r="P162" i="9" s="1"/>
  <c r="L162" i="9"/>
  <c r="K162" i="9"/>
  <c r="O161" i="9"/>
  <c r="N161" i="9"/>
  <c r="M161" i="9"/>
  <c r="L161" i="9"/>
  <c r="K161" i="9"/>
  <c r="O160" i="9"/>
  <c r="P160" i="9" s="1"/>
  <c r="N160" i="9"/>
  <c r="M160" i="9"/>
  <c r="L160" i="9"/>
  <c r="K160" i="9"/>
  <c r="O158" i="9"/>
  <c r="N158" i="9"/>
  <c r="M158" i="9"/>
  <c r="P158" i="9"/>
  <c r="L158" i="9"/>
  <c r="K158" i="9"/>
  <c r="O157" i="9"/>
  <c r="N157" i="9"/>
  <c r="M157" i="9"/>
  <c r="L157" i="9"/>
  <c r="K157" i="9"/>
  <c r="O156" i="9"/>
  <c r="P156" i="9" s="1"/>
  <c r="N156" i="9"/>
  <c r="M156" i="9"/>
  <c r="L156" i="9"/>
  <c r="K156" i="9"/>
  <c r="O155" i="9"/>
  <c r="N155" i="9"/>
  <c r="M155" i="9"/>
  <c r="P155" i="9" s="1"/>
  <c r="L155" i="9"/>
  <c r="K155" i="9"/>
  <c r="O154" i="9"/>
  <c r="N154" i="9"/>
  <c r="M154" i="9"/>
  <c r="L154" i="9"/>
  <c r="K154" i="9"/>
  <c r="O153" i="9"/>
  <c r="N153" i="9"/>
  <c r="M153" i="9"/>
  <c r="P153" i="9" s="1"/>
  <c r="L153" i="9"/>
  <c r="K153" i="9"/>
  <c r="O152" i="9"/>
  <c r="M152" i="9"/>
  <c r="L152" i="9"/>
  <c r="K151" i="9"/>
  <c r="O150" i="9"/>
  <c r="P150" i="9"/>
  <c r="N150" i="9"/>
  <c r="M150" i="9"/>
  <c r="L150" i="9"/>
  <c r="K150" i="9"/>
  <c r="O149" i="9"/>
  <c r="N149" i="9"/>
  <c r="M149" i="9"/>
  <c r="L149" i="9"/>
  <c r="K149" i="9"/>
  <c r="O148" i="9"/>
  <c r="N148" i="9"/>
  <c r="M148" i="9"/>
  <c r="P148" i="9" s="1"/>
  <c r="L148" i="9"/>
  <c r="K148" i="9"/>
  <c r="O147" i="9"/>
  <c r="N147" i="9"/>
  <c r="P147" i="9" s="1"/>
  <c r="M147" i="9"/>
  <c r="L147" i="9"/>
  <c r="K147" i="9"/>
  <c r="O146" i="9"/>
  <c r="N146" i="9"/>
  <c r="M146" i="9"/>
  <c r="L146" i="9"/>
  <c r="K146" i="9"/>
  <c r="O145" i="9"/>
  <c r="N145" i="9"/>
  <c r="M145" i="9"/>
  <c r="L145" i="9"/>
  <c r="K145" i="9"/>
  <c r="O144" i="9"/>
  <c r="N144" i="9"/>
  <c r="P144" i="9" s="1"/>
  <c r="M144" i="9"/>
  <c r="L144" i="9"/>
  <c r="K144" i="9"/>
  <c r="O143" i="9"/>
  <c r="N143" i="9"/>
  <c r="M143" i="9"/>
  <c r="L143" i="9"/>
  <c r="K143" i="9"/>
  <c r="O142" i="9"/>
  <c r="N142" i="9"/>
  <c r="M142" i="9"/>
  <c r="P142" i="9" s="1"/>
  <c r="L142" i="9"/>
  <c r="K142" i="9"/>
  <c r="O141" i="9"/>
  <c r="N141" i="9"/>
  <c r="M141" i="9"/>
  <c r="L141" i="9"/>
  <c r="K141" i="9"/>
  <c r="O140" i="9"/>
  <c r="N140" i="9"/>
  <c r="M140" i="9"/>
  <c r="P140" i="9"/>
  <c r="L140" i="9"/>
  <c r="K140" i="9"/>
  <c r="O139" i="9"/>
  <c r="N139" i="9"/>
  <c r="P139" i="9" s="1"/>
  <c r="M139" i="9"/>
  <c r="L139" i="9"/>
  <c r="K139" i="9"/>
  <c r="O138" i="9"/>
  <c r="N138" i="9"/>
  <c r="M138" i="9"/>
  <c r="L138" i="9"/>
  <c r="K138" i="9"/>
  <c r="O137" i="9"/>
  <c r="N137" i="9"/>
  <c r="M137" i="9"/>
  <c r="P137" i="9" s="1"/>
  <c r="L137" i="9"/>
  <c r="K137" i="9"/>
  <c r="O136" i="9"/>
  <c r="N136" i="9"/>
  <c r="M136" i="9"/>
  <c r="L136" i="9"/>
  <c r="K136" i="9"/>
  <c r="O135" i="9"/>
  <c r="N135" i="9"/>
  <c r="M135" i="9"/>
  <c r="P135" i="9" s="1"/>
  <c r="L135" i="9"/>
  <c r="K135" i="9"/>
  <c r="O134" i="9"/>
  <c r="P134" i="9"/>
  <c r="N134" i="9"/>
  <c r="M134" i="9"/>
  <c r="L134" i="9"/>
  <c r="K134" i="9"/>
  <c r="O133" i="9"/>
  <c r="N133" i="9"/>
  <c r="M133" i="9"/>
  <c r="L133" i="9"/>
  <c r="K133" i="9"/>
  <c r="O132" i="9"/>
  <c r="N132" i="9"/>
  <c r="M132" i="9"/>
  <c r="P132" i="9" s="1"/>
  <c r="L132" i="9"/>
  <c r="K132" i="9"/>
  <c r="O131" i="9"/>
  <c r="N131" i="9"/>
  <c r="M131" i="9"/>
  <c r="P131" i="9" s="1"/>
  <c r="L131" i="9"/>
  <c r="K131" i="9"/>
  <c r="O130" i="9"/>
  <c r="N130" i="9"/>
  <c r="M130" i="9"/>
  <c r="L130" i="9"/>
  <c r="K130" i="9"/>
  <c r="O129" i="9"/>
  <c r="P129" i="9" s="1"/>
  <c r="N129" i="9"/>
  <c r="M129" i="9"/>
  <c r="L129" i="9"/>
  <c r="K129" i="9"/>
  <c r="O128" i="9"/>
  <c r="N128" i="9"/>
  <c r="M128" i="9"/>
  <c r="L128" i="9"/>
  <c r="K128" i="9"/>
  <c r="O126" i="9"/>
  <c r="N126" i="9"/>
  <c r="M126" i="9"/>
  <c r="P126" i="9" s="1"/>
  <c r="L126" i="9"/>
  <c r="K126" i="9"/>
  <c r="O125" i="9"/>
  <c r="P125" i="9"/>
  <c r="N125" i="9"/>
  <c r="M125" i="9"/>
  <c r="L125" i="9"/>
  <c r="K125" i="9"/>
  <c r="O124" i="9"/>
  <c r="N124" i="9"/>
  <c r="M124" i="9"/>
  <c r="L124" i="9"/>
  <c r="K124" i="9"/>
  <c r="O123" i="9"/>
  <c r="N123" i="9"/>
  <c r="M123" i="9"/>
  <c r="P123" i="9" s="1"/>
  <c r="L123" i="9"/>
  <c r="K123" i="9"/>
  <c r="O122" i="9"/>
  <c r="N122" i="9"/>
  <c r="M122" i="9"/>
  <c r="L122" i="9"/>
  <c r="K122" i="9"/>
  <c r="O121" i="9"/>
  <c r="N121" i="9"/>
  <c r="M121" i="9"/>
  <c r="P121" i="9" s="1"/>
  <c r="L121" i="9"/>
  <c r="K121" i="9"/>
  <c r="O120" i="9"/>
  <c r="N120" i="9"/>
  <c r="P120" i="9" s="1"/>
  <c r="M120" i="9"/>
  <c r="L120" i="9"/>
  <c r="K120" i="9"/>
  <c r="O119" i="9"/>
  <c r="P119" i="9" s="1"/>
  <c r="N119" i="9"/>
  <c r="M119" i="9"/>
  <c r="L119" i="9"/>
  <c r="K119" i="9"/>
  <c r="O118" i="9"/>
  <c r="N118" i="9"/>
  <c r="M118" i="9"/>
  <c r="P118" i="9" s="1"/>
  <c r="L118" i="9"/>
  <c r="K118" i="9"/>
  <c r="O117" i="9"/>
  <c r="P117" i="9"/>
  <c r="N117" i="9"/>
  <c r="M117" i="9"/>
  <c r="L117" i="9"/>
  <c r="K117" i="9"/>
  <c r="O116" i="9"/>
  <c r="N116" i="9"/>
  <c r="M116" i="9"/>
  <c r="L116" i="9"/>
  <c r="K116" i="9"/>
  <c r="O115" i="9"/>
  <c r="N115" i="9"/>
  <c r="M115" i="9"/>
  <c r="P115" i="9" s="1"/>
  <c r="L115" i="9"/>
  <c r="K115" i="9"/>
  <c r="O114" i="9"/>
  <c r="N114" i="9"/>
  <c r="M114" i="9"/>
  <c r="L114" i="9"/>
  <c r="K114" i="9"/>
  <c r="O113" i="9"/>
  <c r="N113" i="9"/>
  <c r="M113" i="9"/>
  <c r="P113" i="9" s="1"/>
  <c r="L113" i="9"/>
  <c r="K113" i="9"/>
  <c r="O112" i="9"/>
  <c r="N112" i="9"/>
  <c r="P112" i="9" s="1"/>
  <c r="M112" i="9"/>
  <c r="L112" i="9"/>
  <c r="K112" i="9"/>
  <c r="O111" i="9"/>
  <c r="N111" i="9"/>
  <c r="M111" i="9"/>
  <c r="L111" i="9"/>
  <c r="K111" i="9"/>
  <c r="O110" i="9"/>
  <c r="N110" i="9"/>
  <c r="M110" i="9"/>
  <c r="P110" i="9" s="1"/>
  <c r="L110" i="9"/>
  <c r="K110" i="9"/>
  <c r="O109" i="9"/>
  <c r="P109" i="9"/>
  <c r="N109" i="9"/>
  <c r="M109" i="9"/>
  <c r="L109" i="9"/>
  <c r="K109" i="9"/>
  <c r="O108" i="9"/>
  <c r="N108" i="9"/>
  <c r="M108" i="9"/>
  <c r="L108" i="9"/>
  <c r="K108" i="9"/>
  <c r="O107" i="9"/>
  <c r="N107" i="9"/>
  <c r="M107" i="9"/>
  <c r="P107" i="9" s="1"/>
  <c r="L107" i="9"/>
  <c r="K107" i="9"/>
  <c r="O106" i="9"/>
  <c r="N106" i="9"/>
  <c r="M106" i="9"/>
  <c r="P106" i="9" s="1"/>
  <c r="L106" i="9"/>
  <c r="K106" i="9"/>
  <c r="O105" i="9"/>
  <c r="N105" i="9"/>
  <c r="M105" i="9"/>
  <c r="L105" i="9"/>
  <c r="K105" i="9"/>
  <c r="O104" i="9"/>
  <c r="P104" i="9" s="1"/>
  <c r="N104" i="9"/>
  <c r="M104" i="9"/>
  <c r="L104" i="9"/>
  <c r="K104" i="9"/>
  <c r="O103" i="9"/>
  <c r="N103" i="9"/>
  <c r="M103" i="9"/>
  <c r="P103" i="9"/>
  <c r="L103" i="9"/>
  <c r="K103" i="9"/>
  <c r="O102" i="9"/>
  <c r="N102" i="9"/>
  <c r="P102" i="9" s="1"/>
  <c r="M102" i="9"/>
  <c r="L102" i="9"/>
  <c r="K102" i="9"/>
  <c r="O101" i="9"/>
  <c r="N101" i="9"/>
  <c r="M101" i="9"/>
  <c r="L101" i="9"/>
  <c r="K101" i="9"/>
  <c r="O100" i="9"/>
  <c r="N100" i="9"/>
  <c r="M100" i="9"/>
  <c r="L100" i="9"/>
  <c r="K100" i="9"/>
  <c r="O99" i="9"/>
  <c r="N99" i="9"/>
  <c r="M99" i="9"/>
  <c r="P99" i="9" s="1"/>
  <c r="L99" i="9"/>
  <c r="K99" i="9"/>
  <c r="O98" i="9"/>
  <c r="N98" i="9"/>
  <c r="M98" i="9"/>
  <c r="P98" i="9" s="1"/>
  <c r="L98" i="9"/>
  <c r="K98" i="9"/>
  <c r="O97" i="9"/>
  <c r="P97" i="9"/>
  <c r="N97" i="9"/>
  <c r="M97" i="9"/>
  <c r="L97" i="9"/>
  <c r="K97" i="9"/>
  <c r="O96" i="9"/>
  <c r="N96" i="9"/>
  <c r="M96" i="9"/>
  <c r="L96" i="9"/>
  <c r="K96" i="9"/>
  <c r="O95" i="9"/>
  <c r="N95" i="9"/>
  <c r="M95" i="9"/>
  <c r="P95" i="9" s="1"/>
  <c r="L95" i="9"/>
  <c r="K95" i="9"/>
  <c r="O94" i="9"/>
  <c r="N94" i="9"/>
  <c r="M94" i="9"/>
  <c r="L94" i="9"/>
  <c r="K94" i="9"/>
  <c r="O93" i="9"/>
  <c r="N93" i="9"/>
  <c r="M93" i="9"/>
  <c r="L93" i="9"/>
  <c r="K93" i="9"/>
  <c r="O92" i="9"/>
  <c r="N92" i="9"/>
  <c r="M92" i="9"/>
  <c r="L92" i="9"/>
  <c r="K92" i="9"/>
  <c r="O91" i="9"/>
  <c r="N91" i="9"/>
  <c r="M91" i="9"/>
  <c r="P91" i="9" s="1"/>
  <c r="L91" i="9"/>
  <c r="K91" i="9"/>
  <c r="O90" i="9"/>
  <c r="N90" i="9"/>
  <c r="M90" i="9"/>
  <c r="L90" i="9"/>
  <c r="K90" i="9"/>
  <c r="O89" i="9"/>
  <c r="N89" i="9"/>
  <c r="M89" i="9"/>
  <c r="L89" i="9"/>
  <c r="K89" i="9"/>
  <c r="O88" i="9"/>
  <c r="P88" i="9" s="1"/>
  <c r="N88" i="9"/>
  <c r="M88" i="9"/>
  <c r="L88" i="9"/>
  <c r="K88" i="9"/>
  <c r="O87" i="9"/>
  <c r="N87" i="9"/>
  <c r="M87" i="9"/>
  <c r="L87" i="9"/>
  <c r="K87" i="9"/>
  <c r="O86" i="9"/>
  <c r="N86" i="9"/>
  <c r="M86" i="9"/>
  <c r="P86" i="9" s="1"/>
  <c r="L86" i="9"/>
  <c r="K86" i="9"/>
  <c r="O85" i="9"/>
  <c r="P85" i="9"/>
  <c r="N85" i="9"/>
  <c r="M85" i="9"/>
  <c r="L85" i="9"/>
  <c r="K85" i="9"/>
  <c r="O84" i="9"/>
  <c r="N84" i="9"/>
  <c r="M84" i="9"/>
  <c r="L84" i="9"/>
  <c r="K84" i="9"/>
  <c r="O83" i="9"/>
  <c r="N83" i="9"/>
  <c r="M83" i="9"/>
  <c r="P83" i="9" s="1"/>
  <c r="L83" i="9"/>
  <c r="K83" i="9"/>
  <c r="O82" i="9"/>
  <c r="N82" i="9"/>
  <c r="M82" i="9"/>
  <c r="L82" i="9"/>
  <c r="K82" i="9"/>
  <c r="O81" i="9"/>
  <c r="N81" i="9"/>
  <c r="M81" i="9"/>
  <c r="P81" i="9" s="1"/>
  <c r="L81" i="9"/>
  <c r="K81" i="9"/>
  <c r="O80" i="9"/>
  <c r="N80" i="9"/>
  <c r="P80" i="9" s="1"/>
  <c r="M80" i="9"/>
  <c r="L80" i="9"/>
  <c r="K80" i="9"/>
  <c r="O79" i="9"/>
  <c r="N79" i="9"/>
  <c r="M79" i="9"/>
  <c r="L79" i="9"/>
  <c r="K79" i="9"/>
  <c r="O78" i="9"/>
  <c r="N78" i="9"/>
  <c r="P78" i="9"/>
  <c r="M78" i="9"/>
  <c r="K78" i="9"/>
  <c r="O76" i="9"/>
  <c r="N76" i="9"/>
  <c r="P76" i="9" s="1"/>
  <c r="M76" i="9"/>
  <c r="L76" i="9"/>
  <c r="K76" i="9"/>
  <c r="O75" i="9"/>
  <c r="N75" i="9"/>
  <c r="M75" i="9"/>
  <c r="P75" i="9" s="1"/>
  <c r="L75" i="9"/>
  <c r="K75" i="9"/>
  <c r="O74" i="9"/>
  <c r="N74" i="9"/>
  <c r="P74" i="9" s="1"/>
  <c r="M74" i="9"/>
  <c r="L74" i="9"/>
  <c r="K74" i="9"/>
  <c r="O73" i="9"/>
  <c r="N73" i="9"/>
  <c r="M73" i="9"/>
  <c r="L73" i="9"/>
  <c r="K73" i="9"/>
  <c r="O72" i="9"/>
  <c r="N72" i="9"/>
  <c r="M72" i="9"/>
  <c r="P72" i="9" s="1"/>
  <c r="L72" i="9"/>
  <c r="K72" i="9"/>
  <c r="O71" i="9"/>
  <c r="P71" i="9"/>
  <c r="N71" i="9"/>
  <c r="M71" i="9"/>
  <c r="L71" i="9"/>
  <c r="K71" i="9"/>
  <c r="O70" i="9"/>
  <c r="N70" i="9"/>
  <c r="M70" i="9"/>
  <c r="L70" i="9"/>
  <c r="K70" i="9"/>
  <c r="O69" i="9"/>
  <c r="N69" i="9"/>
  <c r="M69" i="9"/>
  <c r="P69" i="9" s="1"/>
  <c r="L69" i="9"/>
  <c r="K69" i="9"/>
  <c r="O68" i="9"/>
  <c r="N68" i="9"/>
  <c r="P68" i="9" s="1"/>
  <c r="M68" i="9"/>
  <c r="L68" i="9"/>
  <c r="K68" i="9"/>
  <c r="O67" i="9"/>
  <c r="N67" i="9"/>
  <c r="M67" i="9"/>
  <c r="P67" i="9" s="1"/>
  <c r="L67" i="9"/>
  <c r="K67" i="9"/>
  <c r="O66" i="9"/>
  <c r="N66" i="9"/>
  <c r="M66" i="9"/>
  <c r="L66" i="9"/>
  <c r="K66" i="9"/>
  <c r="O65" i="9"/>
  <c r="N65" i="9"/>
  <c r="M65" i="9"/>
  <c r="L65" i="9"/>
  <c r="K65" i="9"/>
  <c r="O64" i="9"/>
  <c r="N64" i="9"/>
  <c r="P64" i="9"/>
  <c r="M64" i="9"/>
  <c r="L64" i="9"/>
  <c r="K64" i="9"/>
  <c r="O63" i="9"/>
  <c r="P63" i="9" s="1"/>
  <c r="N63" i="9"/>
  <c r="M63" i="9"/>
  <c r="L63" i="9"/>
  <c r="K63" i="9"/>
  <c r="O62" i="9"/>
  <c r="N62" i="9"/>
  <c r="M62" i="9"/>
  <c r="P62" i="9" s="1"/>
  <c r="L62" i="9"/>
  <c r="K62" i="9"/>
  <c r="O61" i="9"/>
  <c r="N61" i="9"/>
  <c r="M61" i="9"/>
  <c r="L61" i="9"/>
  <c r="K61" i="9"/>
  <c r="O60" i="9"/>
  <c r="N60" i="9"/>
  <c r="M60" i="9"/>
  <c r="L60" i="9"/>
  <c r="K60" i="9"/>
  <c r="O59" i="9"/>
  <c r="M59" i="9"/>
  <c r="L59" i="9"/>
  <c r="M58" i="9"/>
  <c r="K58" i="9"/>
  <c r="O57" i="9"/>
  <c r="N57" i="9"/>
  <c r="P57" i="9" s="1"/>
  <c r="M57" i="9"/>
  <c r="L57" i="9"/>
  <c r="K57" i="9"/>
  <c r="O56" i="9"/>
  <c r="N56" i="9"/>
  <c r="M56" i="9"/>
  <c r="L56" i="9"/>
  <c r="K56" i="9"/>
  <c r="O55" i="9"/>
  <c r="N55" i="9"/>
  <c r="P55" i="9"/>
  <c r="M55" i="9"/>
  <c r="L55" i="9"/>
  <c r="K55" i="9"/>
  <c r="O54" i="9"/>
  <c r="P54" i="9" s="1"/>
  <c r="N54" i="9"/>
  <c r="M54" i="9"/>
  <c r="K54" i="9"/>
  <c r="O53" i="9"/>
  <c r="N53" i="9"/>
  <c r="M53" i="9"/>
  <c r="P53" i="9" s="1"/>
  <c r="L53" i="9"/>
  <c r="K53" i="9"/>
  <c r="O52" i="9"/>
  <c r="N52" i="9"/>
  <c r="P52" i="9" s="1"/>
  <c r="M52" i="9"/>
  <c r="L52" i="9"/>
  <c r="K52" i="9"/>
  <c r="O51" i="9"/>
  <c r="N51" i="9"/>
  <c r="M51" i="9"/>
  <c r="L51" i="9"/>
  <c r="K51" i="9"/>
  <c r="O50" i="9"/>
  <c r="N50" i="9"/>
  <c r="P50" i="9"/>
  <c r="M50" i="9"/>
  <c r="L50" i="9"/>
  <c r="K50" i="9"/>
  <c r="O49" i="9"/>
  <c r="P49" i="9" s="1"/>
  <c r="N49" i="9"/>
  <c r="M49" i="9"/>
  <c r="L49" i="9"/>
  <c r="K49" i="9"/>
  <c r="O48" i="9"/>
  <c r="N48" i="9"/>
  <c r="M48" i="9"/>
  <c r="L48" i="9"/>
  <c r="K48" i="9"/>
  <c r="O47" i="9"/>
  <c r="N47" i="9"/>
  <c r="M47" i="9"/>
  <c r="P47" i="9" s="1"/>
  <c r="L47" i="9"/>
  <c r="K47" i="9"/>
  <c r="O46" i="9"/>
  <c r="N46" i="9"/>
  <c r="P46" i="9" s="1"/>
  <c r="M46" i="9"/>
  <c r="L46" i="9"/>
  <c r="K46" i="9"/>
  <c r="O45" i="9"/>
  <c r="N45" i="9"/>
  <c r="M45" i="9"/>
  <c r="L45" i="9"/>
  <c r="K45" i="9"/>
  <c r="O44" i="9"/>
  <c r="N44" i="9"/>
  <c r="M44" i="9"/>
  <c r="P44" i="9" s="1"/>
  <c r="L44" i="9"/>
  <c r="K44" i="9"/>
  <c r="O43" i="9"/>
  <c r="N43" i="9"/>
  <c r="M43" i="9"/>
  <c r="L43" i="9"/>
  <c r="K43" i="9"/>
  <c r="O42" i="9"/>
  <c r="N42" i="9"/>
  <c r="M42" i="9"/>
  <c r="P42" i="9" s="1"/>
  <c r="L42" i="9"/>
  <c r="K42" i="9"/>
  <c r="O41" i="9"/>
  <c r="P41" i="9"/>
  <c r="N41" i="9"/>
  <c r="M41" i="9"/>
  <c r="L41" i="9"/>
  <c r="K41" i="9"/>
  <c r="O40" i="9"/>
  <c r="N40" i="9"/>
  <c r="M40" i="9"/>
  <c r="L40" i="9"/>
  <c r="K40" i="9"/>
  <c r="O39" i="9"/>
  <c r="N39" i="9"/>
  <c r="M39" i="9"/>
  <c r="P39" i="9" s="1"/>
  <c r="L39" i="9"/>
  <c r="K39" i="9"/>
  <c r="O38" i="9"/>
  <c r="N38" i="9"/>
  <c r="M38" i="9"/>
  <c r="L38" i="9"/>
  <c r="K38" i="9"/>
  <c r="O37" i="9"/>
  <c r="N37" i="9"/>
  <c r="M37" i="9"/>
  <c r="P37" i="9" s="1"/>
  <c r="L37" i="9"/>
  <c r="K37" i="9"/>
  <c r="O36" i="9"/>
  <c r="N36" i="9"/>
  <c r="P36" i="9" s="1"/>
  <c r="M36" i="9"/>
  <c r="L36" i="9"/>
  <c r="K36" i="9"/>
  <c r="O35" i="9"/>
  <c r="N35" i="9"/>
  <c r="M35" i="9"/>
  <c r="L35" i="9"/>
  <c r="K35" i="9"/>
  <c r="O34" i="9"/>
  <c r="N34" i="9"/>
  <c r="M34" i="9"/>
  <c r="P34" i="9" s="1"/>
  <c r="L34" i="9"/>
  <c r="K34" i="9"/>
  <c r="O32" i="9"/>
  <c r="P32" i="9"/>
  <c r="N32" i="9"/>
  <c r="M32" i="9"/>
  <c r="L32" i="9"/>
  <c r="K32" i="9"/>
  <c r="O31" i="9"/>
  <c r="N31" i="9"/>
  <c r="M31" i="9"/>
  <c r="L31" i="9"/>
  <c r="K31" i="9"/>
  <c r="O30" i="9"/>
  <c r="N30" i="9"/>
  <c r="M30" i="9"/>
  <c r="P30" i="9" s="1"/>
  <c r="L30" i="9"/>
  <c r="K30" i="9"/>
  <c r="O29" i="9"/>
  <c r="N29" i="9"/>
  <c r="M29" i="9"/>
  <c r="L29" i="9"/>
  <c r="K29" i="9"/>
  <c r="O28" i="9"/>
  <c r="N28" i="9"/>
  <c r="M28" i="9"/>
  <c r="L28" i="9"/>
  <c r="K28" i="9"/>
  <c r="O27" i="9"/>
  <c r="P27" i="9" s="1"/>
  <c r="N27" i="9"/>
  <c r="M27" i="9"/>
  <c r="L27" i="9"/>
  <c r="K27" i="9"/>
  <c r="O26" i="9"/>
  <c r="N26" i="9"/>
  <c r="M26" i="9"/>
  <c r="P26" i="9"/>
  <c r="L26" i="9"/>
  <c r="K26" i="9"/>
  <c r="O24" i="9"/>
  <c r="N24" i="9"/>
  <c r="P24" i="9" s="1"/>
  <c r="M24" i="9"/>
  <c r="L24" i="9"/>
  <c r="K24" i="9"/>
  <c r="O23" i="9"/>
  <c r="N23" i="9"/>
  <c r="M23" i="9"/>
  <c r="L23" i="9"/>
  <c r="K23" i="9"/>
  <c r="O22" i="9"/>
  <c r="N22" i="9"/>
  <c r="M22" i="9"/>
  <c r="L22" i="9"/>
  <c r="K22" i="9"/>
  <c r="O21" i="9"/>
  <c r="N21" i="9"/>
  <c r="P21" i="9" s="1"/>
  <c r="M21" i="9"/>
  <c r="L21" i="9"/>
  <c r="K21" i="9"/>
  <c r="O20" i="9"/>
  <c r="P20" i="9" s="1"/>
  <c r="N20" i="9"/>
  <c r="M20" i="9"/>
  <c r="L20" i="9"/>
  <c r="K20" i="9"/>
  <c r="O19" i="9"/>
  <c r="N19" i="9"/>
  <c r="M19" i="9"/>
  <c r="P19" i="9" s="1"/>
  <c r="L19" i="9"/>
  <c r="K19" i="9"/>
  <c r="O18" i="9"/>
  <c r="N18" i="9"/>
  <c r="M18" i="9"/>
  <c r="L18" i="9"/>
  <c r="K18" i="9"/>
  <c r="O17" i="9"/>
  <c r="N17" i="9"/>
  <c r="M17" i="9"/>
  <c r="P17" i="9" s="1"/>
  <c r="L17" i="9"/>
  <c r="K17" i="9"/>
  <c r="O16" i="9"/>
  <c r="P16" i="9"/>
  <c r="N16" i="9"/>
  <c r="M16" i="9"/>
  <c r="L16" i="9"/>
  <c r="K16" i="9"/>
  <c r="O15" i="9"/>
  <c r="N15" i="9"/>
  <c r="M15" i="9"/>
  <c r="L15" i="9"/>
  <c r="K15" i="9"/>
  <c r="O14" i="9"/>
  <c r="N14" i="9"/>
  <c r="M14" i="9"/>
  <c r="P14" i="9" s="1"/>
  <c r="L14" i="9"/>
  <c r="K14" i="9"/>
  <c r="O13" i="9"/>
  <c r="N13" i="9"/>
  <c r="M13" i="9"/>
  <c r="L13" i="9"/>
  <c r="K13" i="9"/>
  <c r="C13" i="9"/>
  <c r="A2" i="9" s="1"/>
  <c r="H1" i="9"/>
  <c r="A188" i="8"/>
  <c r="G184" i="8"/>
  <c r="F184" i="8" s="1"/>
  <c r="O183" i="8"/>
  <c r="N183" i="8"/>
  <c r="M183" i="8"/>
  <c r="P183" i="8" s="1"/>
  <c r="K183" i="8"/>
  <c r="L183" i="8"/>
  <c r="O182" i="8"/>
  <c r="M182" i="8"/>
  <c r="P182" i="8" s="1"/>
  <c r="L182" i="8"/>
  <c r="O181" i="8"/>
  <c r="N181" i="8"/>
  <c r="M181" i="8"/>
  <c r="P181" i="8" s="1"/>
  <c r="K181" i="8"/>
  <c r="L181" i="8"/>
  <c r="O180" i="8"/>
  <c r="P180" i="8" s="1"/>
  <c r="N180" i="8"/>
  <c r="M180" i="8"/>
  <c r="K180" i="8"/>
  <c r="L180" i="8"/>
  <c r="O179" i="8"/>
  <c r="N179" i="8"/>
  <c r="M179" i="8"/>
  <c r="K179" i="8"/>
  <c r="L179" i="8"/>
  <c r="O178" i="8"/>
  <c r="N178" i="8"/>
  <c r="P178" i="8"/>
  <c r="M178" i="8"/>
  <c r="K178" i="8"/>
  <c r="L178" i="8"/>
  <c r="O177" i="8"/>
  <c r="N177" i="8"/>
  <c r="M177" i="8"/>
  <c r="K177" i="8"/>
  <c r="L177" i="8"/>
  <c r="O176" i="8"/>
  <c r="N176" i="8"/>
  <c r="M176" i="8"/>
  <c r="P176" i="8" s="1"/>
  <c r="K176" i="8"/>
  <c r="L176" i="8"/>
  <c r="O175" i="8"/>
  <c r="N175" i="8"/>
  <c r="M175" i="8"/>
  <c r="K175" i="8"/>
  <c r="L175" i="8"/>
  <c r="O174" i="8"/>
  <c r="N174" i="8"/>
  <c r="M174" i="8"/>
  <c r="P174" i="8" s="1"/>
  <c r="K174" i="8"/>
  <c r="L174" i="8"/>
  <c r="O173" i="8"/>
  <c r="N173" i="8"/>
  <c r="M173" i="8"/>
  <c r="K173" i="8"/>
  <c r="L173" i="8"/>
  <c r="O172" i="8"/>
  <c r="P172" i="8" s="1"/>
  <c r="N172" i="8"/>
  <c r="M172" i="8"/>
  <c r="K172" i="8"/>
  <c r="L172" i="8"/>
  <c r="O171" i="8"/>
  <c r="N171" i="8"/>
  <c r="M171" i="8"/>
  <c r="P171" i="8"/>
  <c r="K171" i="8"/>
  <c r="L171" i="8"/>
  <c r="O170" i="8"/>
  <c r="P170" i="8"/>
  <c r="N170" i="8"/>
  <c r="M170" i="8"/>
  <c r="K170" i="8"/>
  <c r="L170" i="8"/>
  <c r="O169" i="8"/>
  <c r="N169" i="8"/>
  <c r="M169" i="8"/>
  <c r="K169" i="8"/>
  <c r="L169" i="8"/>
  <c r="O168" i="8"/>
  <c r="N168" i="8"/>
  <c r="M168" i="8"/>
  <c r="P168" i="8" s="1"/>
  <c r="K168" i="8"/>
  <c r="L168" i="8"/>
  <c r="O167" i="8"/>
  <c r="M167" i="8"/>
  <c r="L167" i="8"/>
  <c r="O166" i="8"/>
  <c r="K166" i="8"/>
  <c r="O165" i="8"/>
  <c r="N165" i="8"/>
  <c r="M165" i="8"/>
  <c r="P165" i="8" s="1"/>
  <c r="K165" i="8"/>
  <c r="L165" i="8"/>
  <c r="O164" i="8"/>
  <c r="N164" i="8"/>
  <c r="M164" i="8"/>
  <c r="K164" i="8"/>
  <c r="L164" i="8"/>
  <c r="O163" i="8"/>
  <c r="N163" i="8"/>
  <c r="M163" i="8"/>
  <c r="K163" i="8"/>
  <c r="L163" i="8"/>
  <c r="O162" i="8"/>
  <c r="N162" i="8"/>
  <c r="M162" i="8"/>
  <c r="K162" i="8"/>
  <c r="L162" i="8"/>
  <c r="O161" i="8"/>
  <c r="N161" i="8"/>
  <c r="M161" i="8"/>
  <c r="P161" i="8" s="1"/>
  <c r="K161" i="8"/>
  <c r="L161" i="8"/>
  <c r="O160" i="8"/>
  <c r="M160" i="8"/>
  <c r="L160" i="8"/>
  <c r="O159" i="8"/>
  <c r="K159" i="8"/>
  <c r="O158" i="8"/>
  <c r="N158" i="8"/>
  <c r="M158" i="8"/>
  <c r="P158" i="8" s="1"/>
  <c r="K158" i="8"/>
  <c r="L158" i="8"/>
  <c r="O157" i="8"/>
  <c r="N157" i="8"/>
  <c r="P157" i="8"/>
  <c r="M157" i="8"/>
  <c r="K157" i="8"/>
  <c r="L157" i="8"/>
  <c r="O156" i="8"/>
  <c r="P156" i="8" s="1"/>
  <c r="N156" i="8"/>
  <c r="M156" i="8"/>
  <c r="K156" i="8"/>
  <c r="L156" i="8"/>
  <c r="O155" i="8"/>
  <c r="N155" i="8"/>
  <c r="M155" i="8"/>
  <c r="P155" i="8" s="1"/>
  <c r="K155" i="8"/>
  <c r="L155" i="8"/>
  <c r="O154" i="8"/>
  <c r="N154" i="8"/>
  <c r="M154" i="8"/>
  <c r="P154" i="8" s="1"/>
  <c r="K154" i="8"/>
  <c r="L154" i="8"/>
  <c r="O153" i="8"/>
  <c r="N153" i="8"/>
  <c r="M153" i="8"/>
  <c r="K153" i="8"/>
  <c r="L153" i="8"/>
  <c r="O152" i="8"/>
  <c r="N152" i="8"/>
  <c r="M152" i="8"/>
  <c r="K152" i="8"/>
  <c r="L152" i="8"/>
  <c r="O151" i="8"/>
  <c r="M151" i="8"/>
  <c r="L151" i="8"/>
  <c r="K150" i="8"/>
  <c r="O149" i="8"/>
  <c r="N149" i="8"/>
  <c r="M149" i="8"/>
  <c r="P149" i="8"/>
  <c r="K149" i="8"/>
  <c r="L149" i="8"/>
  <c r="O148" i="8"/>
  <c r="N148" i="8"/>
  <c r="P148" i="8" s="1"/>
  <c r="M148" i="8"/>
  <c r="K148" i="8"/>
  <c r="L148" i="8"/>
  <c r="O147" i="8"/>
  <c r="N147" i="8"/>
  <c r="M147" i="8"/>
  <c r="K147" i="8"/>
  <c r="L147" i="8"/>
  <c r="O146" i="8"/>
  <c r="N146" i="8"/>
  <c r="M146" i="8"/>
  <c r="P146" i="8" s="1"/>
  <c r="K146" i="8"/>
  <c r="L146" i="8"/>
  <c r="O145" i="8"/>
  <c r="N145" i="8"/>
  <c r="M145" i="8"/>
  <c r="K145" i="8"/>
  <c r="L145" i="8"/>
  <c r="O144" i="8"/>
  <c r="N144" i="8"/>
  <c r="M144" i="8"/>
  <c r="P144" i="8" s="1"/>
  <c r="K144" i="8"/>
  <c r="L144" i="8"/>
  <c r="O143" i="8"/>
  <c r="N143" i="8"/>
  <c r="M143" i="8"/>
  <c r="K143" i="8"/>
  <c r="L143" i="8"/>
  <c r="O142" i="8"/>
  <c r="P142" i="8" s="1"/>
  <c r="N142" i="8"/>
  <c r="M142" i="8"/>
  <c r="K142" i="8"/>
  <c r="L142" i="8"/>
  <c r="O141" i="8"/>
  <c r="N141" i="8"/>
  <c r="M141" i="8"/>
  <c r="P141" i="8"/>
  <c r="K141" i="8"/>
  <c r="L141" i="8"/>
  <c r="O140" i="8"/>
  <c r="N140" i="8"/>
  <c r="P140" i="8" s="1"/>
  <c r="M140" i="8"/>
  <c r="K140" i="8"/>
  <c r="L140" i="8"/>
  <c r="O139" i="8"/>
  <c r="N139" i="8"/>
  <c r="M139" i="8"/>
  <c r="P139" i="8"/>
  <c r="K139" i="8"/>
  <c r="L139" i="8"/>
  <c r="O138" i="8"/>
  <c r="N138" i="8"/>
  <c r="M138" i="8"/>
  <c r="K138" i="8"/>
  <c r="L138" i="8"/>
  <c r="O137" i="8"/>
  <c r="N137" i="8"/>
  <c r="M137" i="8"/>
  <c r="K137" i="8"/>
  <c r="L137" i="8"/>
  <c r="O136" i="8"/>
  <c r="N136" i="8"/>
  <c r="M136" i="8"/>
  <c r="P136" i="8" s="1"/>
  <c r="K136" i="8"/>
  <c r="L136" i="8"/>
  <c r="O135" i="8"/>
  <c r="N135" i="8"/>
  <c r="P135" i="8" s="1"/>
  <c r="M135" i="8"/>
  <c r="K135" i="8"/>
  <c r="L135" i="8"/>
  <c r="O134" i="8"/>
  <c r="P134" i="8" s="1"/>
  <c r="N134" i="8"/>
  <c r="M134" i="8"/>
  <c r="K134" i="8"/>
  <c r="L134" i="8"/>
  <c r="O133" i="8"/>
  <c r="N133" i="8"/>
  <c r="M133" i="8"/>
  <c r="P133" i="8" s="1"/>
  <c r="K133" i="8"/>
  <c r="L133" i="8"/>
  <c r="O132" i="8"/>
  <c r="N132" i="8"/>
  <c r="M132" i="8"/>
  <c r="K132" i="8"/>
  <c r="L132" i="8"/>
  <c r="O131" i="8"/>
  <c r="N131" i="8"/>
  <c r="M131" i="8"/>
  <c r="P131" i="8" s="1"/>
  <c r="K131" i="8"/>
  <c r="L131" i="8"/>
  <c r="O130" i="8"/>
  <c r="N130" i="8"/>
  <c r="M130" i="8"/>
  <c r="P130" i="8" s="1"/>
  <c r="K130" i="8"/>
  <c r="L130" i="8"/>
  <c r="O129" i="8"/>
  <c r="N129" i="8"/>
  <c r="P129" i="8" s="1"/>
  <c r="M129" i="8"/>
  <c r="K129" i="8"/>
  <c r="L129" i="8"/>
  <c r="O128" i="8"/>
  <c r="N128" i="8"/>
  <c r="M128" i="8"/>
  <c r="P128" i="8" s="1"/>
  <c r="K128" i="8"/>
  <c r="L128" i="8"/>
  <c r="O127" i="8"/>
  <c r="N127" i="8"/>
  <c r="M127" i="8"/>
  <c r="K127" i="8"/>
  <c r="L127" i="8"/>
  <c r="O126" i="8"/>
  <c r="N126" i="8"/>
  <c r="M126" i="8"/>
  <c r="K126" i="8"/>
  <c r="L126" i="8"/>
  <c r="O125" i="8"/>
  <c r="N125" i="8"/>
  <c r="P125" i="8"/>
  <c r="M125" i="8"/>
  <c r="K125" i="8"/>
  <c r="L125" i="8"/>
  <c r="O124" i="8"/>
  <c r="P124" i="8" s="1"/>
  <c r="N124" i="8"/>
  <c r="M124" i="8"/>
  <c r="K124" i="8"/>
  <c r="L124" i="8"/>
  <c r="K123" i="8"/>
  <c r="O122" i="8"/>
  <c r="N122" i="8"/>
  <c r="M122" i="8"/>
  <c r="K122" i="8"/>
  <c r="L122" i="8"/>
  <c r="O121" i="8"/>
  <c r="N121" i="8"/>
  <c r="M121" i="8"/>
  <c r="K121" i="8"/>
  <c r="L121" i="8"/>
  <c r="O120" i="8"/>
  <c r="N120" i="8"/>
  <c r="M120" i="8"/>
  <c r="K120" i="8"/>
  <c r="L120" i="8"/>
  <c r="O119" i="8"/>
  <c r="P119" i="8" s="1"/>
  <c r="N119" i="8"/>
  <c r="M119" i="8"/>
  <c r="K119" i="8"/>
  <c r="L119" i="8"/>
  <c r="O118" i="8"/>
  <c r="N118" i="8"/>
  <c r="M118" i="8"/>
  <c r="P118" i="8"/>
  <c r="K118" i="8"/>
  <c r="L118" i="8"/>
  <c r="O117" i="8"/>
  <c r="N117" i="8"/>
  <c r="P117" i="8" s="1"/>
  <c r="M117" i="8"/>
  <c r="K117" i="8"/>
  <c r="L117" i="8"/>
  <c r="O116" i="8"/>
  <c r="N116" i="8"/>
  <c r="M116" i="8"/>
  <c r="K116" i="8"/>
  <c r="L116" i="8"/>
  <c r="O115" i="8"/>
  <c r="N115" i="8"/>
  <c r="P115" i="8"/>
  <c r="M115" i="8"/>
  <c r="K115" i="8"/>
  <c r="L115" i="8"/>
  <c r="O114" i="8"/>
  <c r="M114" i="8"/>
  <c r="L114" i="8"/>
  <c r="M113" i="8"/>
  <c r="K113" i="8"/>
  <c r="O112" i="8"/>
  <c r="N112" i="8"/>
  <c r="M112" i="8"/>
  <c r="P112" i="8" s="1"/>
  <c r="K112" i="8"/>
  <c r="L112" i="8"/>
  <c r="O111" i="8"/>
  <c r="N111" i="8"/>
  <c r="M111" i="8"/>
  <c r="K111" i="8"/>
  <c r="L111" i="8"/>
  <c r="O110" i="8"/>
  <c r="N110" i="8"/>
  <c r="M110" i="8"/>
  <c r="K110" i="8"/>
  <c r="L110" i="8"/>
  <c r="O109" i="8"/>
  <c r="N109" i="8"/>
  <c r="M109" i="8"/>
  <c r="P109" i="8"/>
  <c r="K109" i="8"/>
  <c r="L109" i="8"/>
  <c r="O108" i="8"/>
  <c r="N108" i="8"/>
  <c r="P108" i="8" s="1"/>
  <c r="M108" i="8"/>
  <c r="K108" i="8"/>
  <c r="L108" i="8"/>
  <c r="O107" i="8"/>
  <c r="M107" i="8"/>
  <c r="L107" i="8"/>
  <c r="N106" i="8"/>
  <c r="K106" i="8"/>
  <c r="O105" i="8"/>
  <c r="N105" i="8"/>
  <c r="M105" i="8"/>
  <c r="P105" i="8" s="1"/>
  <c r="K105" i="8"/>
  <c r="L105" i="8"/>
  <c r="O104" i="8"/>
  <c r="N104" i="8"/>
  <c r="M104" i="8"/>
  <c r="K104" i="8"/>
  <c r="L104" i="8"/>
  <c r="O103" i="8"/>
  <c r="N103" i="8"/>
  <c r="M103" i="8"/>
  <c r="K103" i="8"/>
  <c r="L103" i="8"/>
  <c r="O100" i="8"/>
  <c r="N100" i="8"/>
  <c r="M100" i="8"/>
  <c r="P100" i="8" s="1"/>
  <c r="K100" i="8"/>
  <c r="L100" i="8"/>
  <c r="O99" i="8"/>
  <c r="P99" i="8" s="1"/>
  <c r="N99" i="8"/>
  <c r="M99" i="8"/>
  <c r="K99" i="8"/>
  <c r="L99" i="8"/>
  <c r="O98" i="8"/>
  <c r="N98" i="8"/>
  <c r="M98" i="8"/>
  <c r="P98" i="8"/>
  <c r="K98" i="8"/>
  <c r="L98" i="8"/>
  <c r="O94" i="8"/>
  <c r="N94" i="8"/>
  <c r="P94" i="8" s="1"/>
  <c r="M94" i="8"/>
  <c r="K94" i="8"/>
  <c r="L94" i="8"/>
  <c r="O93" i="8"/>
  <c r="N93" i="8"/>
  <c r="M93" i="8"/>
  <c r="P93" i="8" s="1"/>
  <c r="K93" i="8"/>
  <c r="L93" i="8"/>
  <c r="O92" i="8"/>
  <c r="N92" i="8"/>
  <c r="M92" i="8"/>
  <c r="K92" i="8"/>
  <c r="L92" i="8"/>
  <c r="O91" i="8"/>
  <c r="N91" i="8"/>
  <c r="M91" i="8"/>
  <c r="K91" i="8"/>
  <c r="L91" i="8"/>
  <c r="O90" i="8"/>
  <c r="N90" i="8"/>
  <c r="M90" i="8"/>
  <c r="K90" i="8"/>
  <c r="L90" i="8"/>
  <c r="O89" i="8"/>
  <c r="N89" i="8"/>
  <c r="M89" i="8"/>
  <c r="K89" i="8"/>
  <c r="L89" i="8"/>
  <c r="O88" i="8"/>
  <c r="P88" i="8" s="1"/>
  <c r="N88" i="8"/>
  <c r="M88" i="8"/>
  <c r="K88" i="8"/>
  <c r="L88" i="8"/>
  <c r="O87" i="8"/>
  <c r="K87" i="8"/>
  <c r="L87" i="8"/>
  <c r="O86" i="8"/>
  <c r="N86" i="8"/>
  <c r="M86" i="8"/>
  <c r="K86" i="8"/>
  <c r="L86" i="8"/>
  <c r="O85" i="8"/>
  <c r="N85" i="8"/>
  <c r="M85" i="8"/>
  <c r="P85" i="8" s="1"/>
  <c r="K85" i="8"/>
  <c r="L85" i="8"/>
  <c r="O84" i="8"/>
  <c r="P84" i="8"/>
  <c r="N84" i="8"/>
  <c r="M84" i="8"/>
  <c r="K84" i="8"/>
  <c r="L84" i="8"/>
  <c r="O83" i="8"/>
  <c r="N83" i="8"/>
  <c r="M83" i="8"/>
  <c r="K83" i="8"/>
  <c r="L83" i="8"/>
  <c r="O82" i="8"/>
  <c r="N82" i="8"/>
  <c r="M82" i="8"/>
  <c r="P82" i="8" s="1"/>
  <c r="K82" i="8"/>
  <c r="L82" i="8"/>
  <c r="O81" i="8"/>
  <c r="N81" i="8"/>
  <c r="M81" i="8"/>
  <c r="P81" i="8" s="1"/>
  <c r="K81" i="8"/>
  <c r="L81" i="8"/>
  <c r="O80" i="8"/>
  <c r="N80" i="8"/>
  <c r="M80" i="8"/>
  <c r="K80" i="8"/>
  <c r="L80" i="8"/>
  <c r="O79" i="8"/>
  <c r="N79" i="8"/>
  <c r="M79" i="8"/>
  <c r="K79" i="8"/>
  <c r="L79" i="8"/>
  <c r="O78" i="8"/>
  <c r="N78" i="8"/>
  <c r="M78" i="8"/>
  <c r="K78" i="8"/>
  <c r="L78" i="8"/>
  <c r="O77" i="8"/>
  <c r="N77" i="8"/>
  <c r="P77" i="8"/>
  <c r="M77" i="8"/>
  <c r="K77" i="8"/>
  <c r="L77" i="8"/>
  <c r="O76" i="8"/>
  <c r="P76" i="8" s="1"/>
  <c r="N76" i="8"/>
  <c r="M76" i="8"/>
  <c r="K76" i="8"/>
  <c r="L76" i="8"/>
  <c r="O75" i="8"/>
  <c r="N75" i="8"/>
  <c r="M75" i="8"/>
  <c r="P75" i="8" s="1"/>
  <c r="K75" i="8"/>
  <c r="L75" i="8"/>
  <c r="O74" i="8"/>
  <c r="N74" i="8"/>
  <c r="M74" i="8"/>
  <c r="P74" i="8" s="1"/>
  <c r="K74" i="8"/>
  <c r="L74" i="8"/>
  <c r="O73" i="8"/>
  <c r="N73" i="8"/>
  <c r="M73" i="8"/>
  <c r="P73" i="8" s="1"/>
  <c r="K73" i="8"/>
  <c r="L73" i="8"/>
  <c r="O72" i="8"/>
  <c r="N72" i="8"/>
  <c r="M72" i="8"/>
  <c r="K72" i="8"/>
  <c r="L72" i="8"/>
  <c r="O71" i="8"/>
  <c r="P71" i="8" s="1"/>
  <c r="N71" i="8"/>
  <c r="M71" i="8"/>
  <c r="K71" i="8"/>
  <c r="L71" i="8"/>
  <c r="O70" i="8"/>
  <c r="N70" i="8"/>
  <c r="M70" i="8"/>
  <c r="P70" i="8"/>
  <c r="K70" i="8"/>
  <c r="L70" i="8"/>
  <c r="O69" i="8"/>
  <c r="N69" i="8"/>
  <c r="P69" i="8" s="1"/>
  <c r="M69" i="8"/>
  <c r="K69" i="8"/>
  <c r="L69" i="8"/>
  <c r="O68" i="8"/>
  <c r="P68" i="8" s="1"/>
  <c r="N68" i="8"/>
  <c r="M68" i="8"/>
  <c r="K68" i="8"/>
  <c r="L68" i="8"/>
  <c r="O67" i="8"/>
  <c r="N67" i="8"/>
  <c r="M67" i="8"/>
  <c r="P67" i="8" s="1"/>
  <c r="K67" i="8"/>
  <c r="L67" i="8"/>
  <c r="O66" i="8"/>
  <c r="N66" i="8"/>
  <c r="M66" i="8"/>
  <c r="K66" i="8"/>
  <c r="L66" i="8"/>
  <c r="O65" i="8"/>
  <c r="N65" i="8"/>
  <c r="M65" i="8"/>
  <c r="P65" i="8" s="1"/>
  <c r="K65" i="8"/>
  <c r="L65" i="8"/>
  <c r="O64" i="8"/>
  <c r="N64" i="8"/>
  <c r="M64" i="8"/>
  <c r="K64" i="8"/>
  <c r="L64" i="8"/>
  <c r="O63" i="8"/>
  <c r="N63" i="8"/>
  <c r="M63" i="8"/>
  <c r="K63" i="8"/>
  <c r="L63" i="8"/>
  <c r="O62" i="8"/>
  <c r="N62" i="8"/>
  <c r="M62" i="8"/>
  <c r="P62" i="8"/>
  <c r="K62" i="8"/>
  <c r="L62" i="8"/>
  <c r="O61" i="8"/>
  <c r="N61" i="8"/>
  <c r="P61" i="8" s="1"/>
  <c r="M61" i="8"/>
  <c r="K61" i="8"/>
  <c r="L61" i="8"/>
  <c r="O60" i="8"/>
  <c r="N60" i="8"/>
  <c r="M60" i="8"/>
  <c r="P60" i="8" s="1"/>
  <c r="K60" i="8"/>
  <c r="L60" i="8"/>
  <c r="O59" i="8"/>
  <c r="N59" i="8"/>
  <c r="P59" i="8" s="1"/>
  <c r="M59" i="8"/>
  <c r="K59" i="8"/>
  <c r="L59" i="8"/>
  <c r="O58" i="8"/>
  <c r="N58" i="8"/>
  <c r="M58" i="8"/>
  <c r="K58" i="8"/>
  <c r="L58" i="8"/>
  <c r="O57" i="8"/>
  <c r="N57" i="8"/>
  <c r="P57" i="8"/>
  <c r="M57" i="8"/>
  <c r="K57" i="8"/>
  <c r="L57" i="8"/>
  <c r="O56" i="8"/>
  <c r="N56" i="8"/>
  <c r="M56" i="8"/>
  <c r="K56" i="8"/>
  <c r="L56" i="8"/>
  <c r="O55" i="8"/>
  <c r="N55" i="8"/>
  <c r="M55" i="8"/>
  <c r="K55" i="8"/>
  <c r="L55" i="8"/>
  <c r="O54" i="8"/>
  <c r="N54" i="8"/>
  <c r="M54" i="8"/>
  <c r="P54" i="8" s="1"/>
  <c r="K54" i="8"/>
  <c r="L54" i="8"/>
  <c r="O53" i="8"/>
  <c r="P53" i="8" s="1"/>
  <c r="N53" i="8"/>
  <c r="M53" i="8"/>
  <c r="K53" i="8"/>
  <c r="L53" i="8"/>
  <c r="O52" i="8"/>
  <c r="N52" i="8"/>
  <c r="M52" i="8"/>
  <c r="P52" i="8" s="1"/>
  <c r="K52" i="8"/>
  <c r="L52" i="8"/>
  <c r="O51" i="8"/>
  <c r="N51" i="8"/>
  <c r="P51" i="8" s="1"/>
  <c r="M51" i="8"/>
  <c r="K51" i="8"/>
  <c r="L51" i="8"/>
  <c r="O50" i="8"/>
  <c r="N50" i="8"/>
  <c r="M50" i="8"/>
  <c r="K50" i="8"/>
  <c r="L50" i="8"/>
  <c r="N49" i="8"/>
  <c r="K49" i="8"/>
  <c r="O48" i="8"/>
  <c r="N48" i="8"/>
  <c r="M48" i="8"/>
  <c r="K48" i="8"/>
  <c r="L48" i="8"/>
  <c r="K47" i="8"/>
  <c r="O46" i="8"/>
  <c r="N46" i="8"/>
  <c r="P46" i="8"/>
  <c r="M46" i="8"/>
  <c r="K46" i="8"/>
  <c r="L46" i="8"/>
  <c r="O45" i="8"/>
  <c r="P45" i="8" s="1"/>
  <c r="N45" i="8"/>
  <c r="M45" i="8"/>
  <c r="K45" i="8"/>
  <c r="L45" i="8"/>
  <c r="O44" i="8"/>
  <c r="N44" i="8"/>
  <c r="M44" i="8"/>
  <c r="K44" i="8"/>
  <c r="L44" i="8"/>
  <c r="O43" i="8"/>
  <c r="N43" i="8"/>
  <c r="M43" i="8"/>
  <c r="P43" i="8" s="1"/>
  <c r="K43" i="8"/>
  <c r="L43" i="8"/>
  <c r="O42" i="8"/>
  <c r="N42" i="8"/>
  <c r="M42" i="8"/>
  <c r="P42" i="8" s="1"/>
  <c r="K42" i="8"/>
  <c r="L42" i="8"/>
  <c r="O41" i="8"/>
  <c r="P41" i="8"/>
  <c r="N41" i="8"/>
  <c r="M41" i="8"/>
  <c r="K41" i="8"/>
  <c r="L41" i="8"/>
  <c r="O40" i="8"/>
  <c r="N40" i="8"/>
  <c r="M40" i="8"/>
  <c r="K40" i="8"/>
  <c r="L40" i="8"/>
  <c r="O39" i="8"/>
  <c r="N39" i="8"/>
  <c r="M39" i="8"/>
  <c r="P39" i="8" s="1"/>
  <c r="K39" i="8"/>
  <c r="L39" i="8"/>
  <c r="O38" i="8"/>
  <c r="N38" i="8"/>
  <c r="M38" i="8"/>
  <c r="K38" i="8"/>
  <c r="L38" i="8"/>
  <c r="O37" i="8"/>
  <c r="N37" i="8"/>
  <c r="M37" i="8"/>
  <c r="K37" i="8"/>
  <c r="L37" i="8"/>
  <c r="O36" i="8"/>
  <c r="N36" i="8"/>
  <c r="M36" i="8"/>
  <c r="K36" i="8"/>
  <c r="L36" i="8"/>
  <c r="O35" i="8"/>
  <c r="N35" i="8"/>
  <c r="M35" i="8"/>
  <c r="P35" i="8"/>
  <c r="K35" i="8"/>
  <c r="L35" i="8"/>
  <c r="O34" i="8"/>
  <c r="N34" i="8"/>
  <c r="P34" i="8" s="1"/>
  <c r="M34" i="8"/>
  <c r="K34" i="8"/>
  <c r="L34" i="8"/>
  <c r="O33" i="8"/>
  <c r="N33" i="8"/>
  <c r="M33" i="8"/>
  <c r="K33" i="8"/>
  <c r="L33" i="8"/>
  <c r="O32" i="8"/>
  <c r="N32" i="8"/>
  <c r="M32" i="8"/>
  <c r="K32" i="8"/>
  <c r="L32" i="8"/>
  <c r="O31" i="8"/>
  <c r="N31" i="8"/>
  <c r="M31" i="8"/>
  <c r="K31" i="8"/>
  <c r="L31" i="8"/>
  <c r="O30" i="8"/>
  <c r="N30" i="8"/>
  <c r="M30" i="8"/>
  <c r="K30" i="8"/>
  <c r="L30" i="8"/>
  <c r="O29" i="8"/>
  <c r="N29" i="8"/>
  <c r="M29" i="8"/>
  <c r="P29" i="8" s="1"/>
  <c r="K29" i="8"/>
  <c r="L29" i="8"/>
  <c r="O28" i="8"/>
  <c r="N28" i="8"/>
  <c r="M28" i="8"/>
  <c r="K28" i="8"/>
  <c r="L28" i="8"/>
  <c r="O27" i="8"/>
  <c r="N27" i="8"/>
  <c r="M27" i="8"/>
  <c r="P27" i="8"/>
  <c r="K27" i="8"/>
  <c r="L27" i="8"/>
  <c r="K26" i="8"/>
  <c r="K25" i="8"/>
  <c r="K24" i="8"/>
  <c r="K23" i="8"/>
  <c r="K22" i="8"/>
  <c r="O21" i="8"/>
  <c r="N21" i="8"/>
  <c r="M21" i="8"/>
  <c r="K21" i="8"/>
  <c r="L21" i="8"/>
  <c r="K20" i="8"/>
  <c r="O19" i="8"/>
  <c r="N19" i="8"/>
  <c r="P19" i="8" s="1"/>
  <c r="M19" i="8"/>
  <c r="K19" i="8"/>
  <c r="L19" i="8"/>
  <c r="O18" i="8"/>
  <c r="N18" i="8"/>
  <c r="M18" i="8"/>
  <c r="K18" i="8"/>
  <c r="L18" i="8"/>
  <c r="O17" i="8"/>
  <c r="N17" i="8"/>
  <c r="M17" i="8"/>
  <c r="P17" i="8" s="1"/>
  <c r="K17" i="8"/>
  <c r="L17" i="8"/>
  <c r="O16" i="8"/>
  <c r="P16" i="8"/>
  <c r="N16" i="8"/>
  <c r="M16" i="8"/>
  <c r="K16" i="8"/>
  <c r="L16" i="8"/>
  <c r="O15" i="8"/>
  <c r="N15" i="8"/>
  <c r="M15" i="8"/>
  <c r="K15" i="8"/>
  <c r="L15" i="8"/>
  <c r="O14" i="8"/>
  <c r="N14" i="8"/>
  <c r="M14" i="8"/>
  <c r="P14" i="8" s="1"/>
  <c r="K14" i="8"/>
  <c r="L14" i="8"/>
  <c r="O13" i="8"/>
  <c r="N13" i="8"/>
  <c r="L13" i="8"/>
  <c r="H13" i="8"/>
  <c r="K13" i="8" s="1"/>
  <c r="C13" i="8"/>
  <c r="A2" i="8" s="1"/>
  <c r="H1" i="8"/>
  <c r="A113" i="7"/>
  <c r="O108" i="7"/>
  <c r="N108" i="7"/>
  <c r="M108" i="7"/>
  <c r="K108" i="7"/>
  <c r="L108" i="7"/>
  <c r="O107" i="7"/>
  <c r="N107" i="7"/>
  <c r="M107" i="7"/>
  <c r="L107" i="7"/>
  <c r="K107" i="7"/>
  <c r="O106" i="7"/>
  <c r="N106" i="7"/>
  <c r="M106" i="7"/>
  <c r="L106" i="7"/>
  <c r="K106" i="7"/>
  <c r="O105" i="7"/>
  <c r="P105" i="7" s="1"/>
  <c r="N105" i="7"/>
  <c r="M105" i="7"/>
  <c r="K105" i="7"/>
  <c r="L105" i="7"/>
  <c r="O104" i="7"/>
  <c r="N104" i="7"/>
  <c r="M104" i="7"/>
  <c r="K104" i="7"/>
  <c r="L104" i="7"/>
  <c r="M103" i="7"/>
  <c r="K103" i="7"/>
  <c r="O102" i="7"/>
  <c r="N102" i="7"/>
  <c r="M102" i="7"/>
  <c r="L102" i="7"/>
  <c r="K102" i="7"/>
  <c r="K101" i="7"/>
  <c r="K100" i="7"/>
  <c r="O99" i="7"/>
  <c r="N99" i="7"/>
  <c r="M99" i="7"/>
  <c r="L99" i="7"/>
  <c r="K99" i="7"/>
  <c r="M98" i="7"/>
  <c r="K98" i="7"/>
  <c r="O97" i="7"/>
  <c r="N97" i="7"/>
  <c r="M97" i="7"/>
  <c r="P97" i="7"/>
  <c r="K97" i="7"/>
  <c r="L97" i="7"/>
  <c r="O96" i="7"/>
  <c r="N96" i="7"/>
  <c r="P96" i="7" s="1"/>
  <c r="M96" i="7"/>
  <c r="K96" i="7"/>
  <c r="L96" i="7"/>
  <c r="K95" i="7"/>
  <c r="O94" i="7"/>
  <c r="N94" i="7"/>
  <c r="M94" i="7"/>
  <c r="P94" i="7" s="1"/>
  <c r="L94" i="7"/>
  <c r="K94" i="7"/>
  <c r="O93" i="7"/>
  <c r="N93" i="7"/>
  <c r="M93" i="7"/>
  <c r="K93" i="7"/>
  <c r="L93" i="7"/>
  <c r="O92" i="7"/>
  <c r="N92" i="7"/>
  <c r="M92" i="7"/>
  <c r="K92" i="7"/>
  <c r="L92" i="7"/>
  <c r="O91" i="7"/>
  <c r="N91" i="7"/>
  <c r="M91" i="7"/>
  <c r="P91" i="7" s="1"/>
  <c r="L91" i="7"/>
  <c r="K91" i="7"/>
  <c r="O90" i="7"/>
  <c r="N90" i="7"/>
  <c r="P90" i="7" s="1"/>
  <c r="M90" i="7"/>
  <c r="L90" i="7"/>
  <c r="K90" i="7"/>
  <c r="O89" i="7"/>
  <c r="N89" i="7"/>
  <c r="M89" i="7"/>
  <c r="K89" i="7"/>
  <c r="L89" i="7"/>
  <c r="O88" i="7"/>
  <c r="M88" i="7"/>
  <c r="P88" i="7"/>
  <c r="K88" i="7"/>
  <c r="L88" i="7"/>
  <c r="O87" i="7"/>
  <c r="N87" i="7"/>
  <c r="P87" i="7" s="1"/>
  <c r="M87" i="7"/>
  <c r="L87" i="7"/>
  <c r="K87" i="7"/>
  <c r="O86" i="7"/>
  <c r="N86" i="7"/>
  <c r="M86" i="7"/>
  <c r="P86" i="7" s="1"/>
  <c r="L86" i="7"/>
  <c r="K86" i="7"/>
  <c r="O85" i="7"/>
  <c r="N85" i="7"/>
  <c r="M85" i="7"/>
  <c r="K85" i="7"/>
  <c r="L85" i="7"/>
  <c r="O84" i="7"/>
  <c r="N84" i="7"/>
  <c r="M84" i="7"/>
  <c r="K84" i="7"/>
  <c r="L84" i="7"/>
  <c r="O83" i="7"/>
  <c r="N83" i="7"/>
  <c r="M83" i="7"/>
  <c r="L83" i="7"/>
  <c r="K83" i="7"/>
  <c r="O82" i="7"/>
  <c r="N82" i="7"/>
  <c r="M82" i="7"/>
  <c r="L82" i="7"/>
  <c r="K82" i="7"/>
  <c r="O81" i="7"/>
  <c r="N81" i="7"/>
  <c r="M81" i="7"/>
  <c r="K81" i="7"/>
  <c r="L81" i="7"/>
  <c r="O80" i="7"/>
  <c r="N80" i="7"/>
  <c r="M80" i="7"/>
  <c r="P80" i="7"/>
  <c r="K80" i="7"/>
  <c r="L80" i="7"/>
  <c r="O79" i="7"/>
  <c r="N79" i="7"/>
  <c r="P79" i="7" s="1"/>
  <c r="M79" i="7"/>
  <c r="L79" i="7"/>
  <c r="K79" i="7"/>
  <c r="O78" i="7"/>
  <c r="N78" i="7"/>
  <c r="M78" i="7"/>
  <c r="P78" i="7" s="1"/>
  <c r="L78" i="7"/>
  <c r="K78" i="7"/>
  <c r="O77" i="7"/>
  <c r="N77" i="7"/>
  <c r="M77" i="7"/>
  <c r="K77" i="7"/>
  <c r="L77" i="7"/>
  <c r="O76" i="7"/>
  <c r="N76" i="7"/>
  <c r="M76" i="7"/>
  <c r="K76" i="7"/>
  <c r="L76" i="7"/>
  <c r="O75" i="7"/>
  <c r="N75" i="7"/>
  <c r="M75" i="7"/>
  <c r="L75" i="7"/>
  <c r="K75" i="7"/>
  <c r="O74" i="7"/>
  <c r="N74" i="7"/>
  <c r="M74" i="7"/>
  <c r="L74" i="7"/>
  <c r="K74" i="7"/>
  <c r="O73" i="7"/>
  <c r="P73" i="7" s="1"/>
  <c r="N73" i="7"/>
  <c r="M73" i="7"/>
  <c r="K73" i="7"/>
  <c r="L73" i="7"/>
  <c r="O72" i="7"/>
  <c r="M72" i="7"/>
  <c r="L72" i="7"/>
  <c r="O71" i="7"/>
  <c r="P71" i="7" s="1"/>
  <c r="N71" i="7"/>
  <c r="M71" i="7"/>
  <c r="L71" i="7"/>
  <c r="K71" i="7"/>
  <c r="O70" i="7"/>
  <c r="N70" i="7"/>
  <c r="M70" i="7"/>
  <c r="L70" i="7"/>
  <c r="K70" i="7"/>
  <c r="O69" i="7"/>
  <c r="N69" i="7"/>
  <c r="P69" i="7"/>
  <c r="M69" i="7"/>
  <c r="K69" i="7"/>
  <c r="L69" i="7"/>
  <c r="O68" i="7"/>
  <c r="N68" i="7"/>
  <c r="M68" i="7"/>
  <c r="K68" i="7"/>
  <c r="L68" i="7"/>
  <c r="O67" i="7"/>
  <c r="N67" i="7"/>
  <c r="M67" i="7"/>
  <c r="L67" i="7"/>
  <c r="K67" i="7"/>
  <c r="O66" i="7"/>
  <c r="N66" i="7"/>
  <c r="M66" i="7"/>
  <c r="P66" i="7" s="1"/>
  <c r="L66" i="7"/>
  <c r="K66" i="7"/>
  <c r="O65" i="7"/>
  <c r="N65" i="7"/>
  <c r="M65" i="7"/>
  <c r="K65" i="7"/>
  <c r="L65" i="7"/>
  <c r="O64" i="7"/>
  <c r="N64" i="7"/>
  <c r="M64" i="7"/>
  <c r="K64" i="7"/>
  <c r="L64" i="7"/>
  <c r="O63" i="7"/>
  <c r="M63" i="7"/>
  <c r="L63" i="7"/>
  <c r="O62" i="7"/>
  <c r="N62" i="7"/>
  <c r="M62" i="7"/>
  <c r="L62" i="7"/>
  <c r="K62" i="7"/>
  <c r="O61" i="7"/>
  <c r="P61" i="7" s="1"/>
  <c r="N61" i="7"/>
  <c r="M61" i="7"/>
  <c r="K61" i="7"/>
  <c r="L61" i="7"/>
  <c r="O60" i="7"/>
  <c r="N60" i="7"/>
  <c r="M60" i="7"/>
  <c r="K60" i="7"/>
  <c r="L60" i="7"/>
  <c r="O59" i="7"/>
  <c r="N59" i="7"/>
  <c r="M59" i="7"/>
  <c r="L59" i="7"/>
  <c r="K59" i="7"/>
  <c r="O58" i="7"/>
  <c r="P58" i="7"/>
  <c r="N58" i="7"/>
  <c r="M58" i="7"/>
  <c r="K58" i="7"/>
  <c r="O57" i="7"/>
  <c r="P57" i="7" s="1"/>
  <c r="N57" i="7"/>
  <c r="M57" i="7"/>
  <c r="K57" i="7"/>
  <c r="L57" i="7"/>
  <c r="O56" i="7"/>
  <c r="N56" i="7"/>
  <c r="M56" i="7"/>
  <c r="P56" i="7" s="1"/>
  <c r="K56" i="7"/>
  <c r="L56" i="7"/>
  <c r="O55" i="7"/>
  <c r="N55" i="7"/>
  <c r="P55" i="7" s="1"/>
  <c r="M55" i="7"/>
  <c r="L55" i="7"/>
  <c r="K55" i="7"/>
  <c r="O54" i="7"/>
  <c r="N54" i="7"/>
  <c r="M54" i="7"/>
  <c r="L54" i="7"/>
  <c r="K54" i="7"/>
  <c r="O53" i="7"/>
  <c r="N53" i="7"/>
  <c r="M53" i="7"/>
  <c r="P53" i="7" s="1"/>
  <c r="K53" i="7"/>
  <c r="L53" i="7"/>
  <c r="O52" i="7"/>
  <c r="M52" i="7"/>
  <c r="P52" i="7" s="1"/>
  <c r="L52" i="7"/>
  <c r="O51" i="7"/>
  <c r="L51" i="7"/>
  <c r="K51" i="7"/>
  <c r="O50" i="7"/>
  <c r="N50" i="7"/>
  <c r="M50" i="7"/>
  <c r="P50" i="7" s="1"/>
  <c r="L50" i="7"/>
  <c r="K50" i="7"/>
  <c r="O49" i="7"/>
  <c r="P49" i="7"/>
  <c r="N49" i="7"/>
  <c r="M49" i="7"/>
  <c r="K49" i="7"/>
  <c r="L49" i="7"/>
  <c r="O48" i="7"/>
  <c r="N48" i="7"/>
  <c r="M48" i="7"/>
  <c r="K48" i="7"/>
  <c r="L48" i="7"/>
  <c r="O47" i="7"/>
  <c r="N47" i="7"/>
  <c r="M47" i="7"/>
  <c r="P47" i="7" s="1"/>
  <c r="L47" i="7"/>
  <c r="K47" i="7"/>
  <c r="O46" i="7"/>
  <c r="N46" i="7"/>
  <c r="M46" i="7"/>
  <c r="P46" i="7" s="1"/>
  <c r="L46" i="7"/>
  <c r="K46" i="7"/>
  <c r="O45" i="7"/>
  <c r="N45" i="7"/>
  <c r="M45" i="7"/>
  <c r="K45" i="7"/>
  <c r="L45" i="7"/>
  <c r="O44" i="7"/>
  <c r="P44" i="7" s="1"/>
  <c r="N44" i="7"/>
  <c r="M44" i="7"/>
  <c r="K44" i="7"/>
  <c r="L44" i="7"/>
  <c r="O43" i="7"/>
  <c r="N43" i="7"/>
  <c r="M43" i="7"/>
  <c r="P43" i="7"/>
  <c r="L43" i="7"/>
  <c r="K43" i="7"/>
  <c r="O42" i="7"/>
  <c r="M42" i="7"/>
  <c r="P42" i="7" s="1"/>
  <c r="L42" i="7"/>
  <c r="K42" i="7"/>
  <c r="O41" i="7"/>
  <c r="N41" i="7"/>
  <c r="P41" i="7" s="1"/>
  <c r="M41" i="7"/>
  <c r="K41" i="7"/>
  <c r="L41" i="7"/>
  <c r="O40" i="7"/>
  <c r="P40" i="7" s="1"/>
  <c r="N40" i="7"/>
  <c r="M40" i="7"/>
  <c r="K40" i="7"/>
  <c r="L40" i="7"/>
  <c r="O39" i="7"/>
  <c r="N39" i="7"/>
  <c r="M39" i="7"/>
  <c r="L39" i="7"/>
  <c r="K39" i="7"/>
  <c r="O38" i="7"/>
  <c r="N38" i="7"/>
  <c r="M38" i="7"/>
  <c r="L38" i="7"/>
  <c r="K38" i="7"/>
  <c r="O37" i="7"/>
  <c r="N37" i="7"/>
  <c r="M37" i="7"/>
  <c r="P37" i="7" s="1"/>
  <c r="K37" i="7"/>
  <c r="L37" i="7"/>
  <c r="O36" i="7"/>
  <c r="N36" i="7"/>
  <c r="M36" i="7"/>
  <c r="K36" i="7"/>
  <c r="L36" i="7"/>
  <c r="O35" i="7"/>
  <c r="N35" i="7"/>
  <c r="M35" i="7"/>
  <c r="L35" i="7"/>
  <c r="K35" i="7"/>
  <c r="O34" i="7"/>
  <c r="N34" i="7"/>
  <c r="M34" i="7"/>
  <c r="L34" i="7"/>
  <c r="K34" i="7"/>
  <c r="O33" i="7"/>
  <c r="N33" i="7"/>
  <c r="P33" i="7"/>
  <c r="M33" i="7"/>
  <c r="K33" i="7"/>
  <c r="L33" i="7"/>
  <c r="O32" i="7"/>
  <c r="N32" i="7"/>
  <c r="M32" i="7"/>
  <c r="K32" i="7"/>
  <c r="L32" i="7"/>
  <c r="O31" i="7"/>
  <c r="N31" i="7"/>
  <c r="M31" i="7"/>
  <c r="L31" i="7"/>
  <c r="K31" i="7"/>
  <c r="O30" i="7"/>
  <c r="N30" i="7"/>
  <c r="M30" i="7"/>
  <c r="P30" i="7" s="1"/>
  <c r="L30" i="7"/>
  <c r="K30" i="7"/>
  <c r="O29" i="7"/>
  <c r="N29" i="7"/>
  <c r="M29" i="7"/>
  <c r="L29" i="7"/>
  <c r="O28" i="7"/>
  <c r="M28" i="7"/>
  <c r="P28" i="7" s="1"/>
  <c r="N28" i="7"/>
  <c r="K28" i="7"/>
  <c r="L28" i="7"/>
  <c r="O27" i="7"/>
  <c r="N27" i="7"/>
  <c r="M27" i="7"/>
  <c r="L27" i="7"/>
  <c r="K27" i="7"/>
  <c r="O26" i="7"/>
  <c r="P26" i="7" s="1"/>
  <c r="N26" i="7"/>
  <c r="M26" i="7"/>
  <c r="L26" i="7"/>
  <c r="K26" i="7"/>
  <c r="O25" i="7"/>
  <c r="N25" i="7"/>
  <c r="M25" i="7"/>
  <c r="P25" i="7"/>
  <c r="K25" i="7"/>
  <c r="L25" i="7"/>
  <c r="O24" i="7"/>
  <c r="N24" i="7"/>
  <c r="P24" i="7" s="1"/>
  <c r="M24" i="7"/>
  <c r="K24" i="7"/>
  <c r="L24" i="7"/>
  <c r="O23" i="7"/>
  <c r="N23" i="7"/>
  <c r="M23" i="7"/>
  <c r="L23" i="7"/>
  <c r="K23" i="7"/>
  <c r="O22" i="7"/>
  <c r="N22" i="7"/>
  <c r="M22" i="7"/>
  <c r="L22" i="7"/>
  <c r="K22" i="7"/>
  <c r="O21" i="7"/>
  <c r="N21" i="7"/>
  <c r="M21" i="7"/>
  <c r="K21" i="7"/>
  <c r="L21" i="7"/>
  <c r="O20" i="7"/>
  <c r="N20" i="7"/>
  <c r="M20" i="7"/>
  <c r="K20" i="7"/>
  <c r="L20" i="7"/>
  <c r="O19" i="7"/>
  <c r="M19" i="7"/>
  <c r="L19" i="7"/>
  <c r="K19" i="7"/>
  <c r="O18" i="7"/>
  <c r="N18" i="7"/>
  <c r="M18" i="7"/>
  <c r="P18" i="7" s="1"/>
  <c r="L18" i="7"/>
  <c r="K18" i="7"/>
  <c r="O17" i="7"/>
  <c r="N17" i="7"/>
  <c r="M17" i="7"/>
  <c r="K17" i="7"/>
  <c r="L17" i="7"/>
  <c r="O16" i="7"/>
  <c r="N16" i="7"/>
  <c r="M16" i="7"/>
  <c r="P16" i="7"/>
  <c r="K16" i="7"/>
  <c r="L16" i="7"/>
  <c r="O15" i="7"/>
  <c r="N15" i="7"/>
  <c r="P15" i="7" s="1"/>
  <c r="M15" i="7"/>
  <c r="L15" i="7"/>
  <c r="K15" i="7"/>
  <c r="O14" i="7"/>
  <c r="N14" i="7"/>
  <c r="M14" i="7"/>
  <c r="L14" i="7"/>
  <c r="K14" i="7"/>
  <c r="O13" i="7"/>
  <c r="N13" i="7"/>
  <c r="M13" i="7"/>
  <c r="L13" i="7"/>
  <c r="K13" i="7"/>
  <c r="C13" i="7"/>
  <c r="A2" i="7"/>
  <c r="H1" i="7"/>
  <c r="A328" i="6"/>
  <c r="N323" i="6"/>
  <c r="K323" i="6"/>
  <c r="O322" i="6"/>
  <c r="N322" i="6"/>
  <c r="M322" i="6"/>
  <c r="L322" i="6"/>
  <c r="K322" i="6"/>
  <c r="O321" i="6"/>
  <c r="N321" i="6"/>
  <c r="M321" i="6"/>
  <c r="L321" i="6"/>
  <c r="K321" i="6"/>
  <c r="O320" i="6"/>
  <c r="N320" i="6"/>
  <c r="M320" i="6"/>
  <c r="L320" i="6"/>
  <c r="K320" i="6"/>
  <c r="N319" i="6"/>
  <c r="K319" i="6"/>
  <c r="O318" i="6"/>
  <c r="N318" i="6"/>
  <c r="M318" i="6"/>
  <c r="L318" i="6"/>
  <c r="K318" i="6"/>
  <c r="O317" i="6"/>
  <c r="N317" i="6"/>
  <c r="M317" i="6"/>
  <c r="L317" i="6"/>
  <c r="K317" i="6"/>
  <c r="O316" i="6"/>
  <c r="N316" i="6"/>
  <c r="M316" i="6"/>
  <c r="L316" i="6"/>
  <c r="K316" i="6"/>
  <c r="O315" i="6"/>
  <c r="N315" i="6"/>
  <c r="M315" i="6"/>
  <c r="L315" i="6"/>
  <c r="K315" i="6"/>
  <c r="O314" i="6"/>
  <c r="N314" i="6"/>
  <c r="P314" i="6"/>
  <c r="M314" i="6"/>
  <c r="L314" i="6"/>
  <c r="K314" i="6"/>
  <c r="O313" i="6"/>
  <c r="N313" i="6"/>
  <c r="M313" i="6"/>
  <c r="L313" i="6"/>
  <c r="K313" i="6"/>
  <c r="O312" i="6"/>
  <c r="N312" i="6"/>
  <c r="M312" i="6"/>
  <c r="L312" i="6"/>
  <c r="K312" i="6"/>
  <c r="O311" i="6"/>
  <c r="P311" i="6" s="1"/>
  <c r="M311" i="6"/>
  <c r="L311" i="6"/>
  <c r="K311" i="6"/>
  <c r="K310" i="6"/>
  <c r="K309" i="6"/>
  <c r="O308" i="6"/>
  <c r="N308" i="6"/>
  <c r="M308" i="6"/>
  <c r="L308" i="6"/>
  <c r="K308" i="6"/>
  <c r="O307" i="6"/>
  <c r="N307" i="6"/>
  <c r="M307" i="6"/>
  <c r="L307" i="6"/>
  <c r="K307" i="6"/>
  <c r="O306" i="6"/>
  <c r="N306" i="6"/>
  <c r="M306" i="6"/>
  <c r="P306" i="6" s="1"/>
  <c r="L306" i="6"/>
  <c r="K306" i="6"/>
  <c r="O305" i="6"/>
  <c r="N305" i="6"/>
  <c r="M305" i="6"/>
  <c r="L305" i="6"/>
  <c r="K305" i="6"/>
  <c r="O304" i="6"/>
  <c r="N304" i="6"/>
  <c r="M304" i="6"/>
  <c r="L304" i="6"/>
  <c r="K304" i="6"/>
  <c r="O303" i="6"/>
  <c r="N303" i="6"/>
  <c r="M303" i="6"/>
  <c r="L303" i="6"/>
  <c r="K303" i="6"/>
  <c r="O302" i="6"/>
  <c r="N302" i="6"/>
  <c r="M302" i="6"/>
  <c r="L302" i="6"/>
  <c r="K302" i="6"/>
  <c r="O301" i="6"/>
  <c r="N301" i="6"/>
  <c r="M301" i="6"/>
  <c r="L301" i="6"/>
  <c r="K301" i="6"/>
  <c r="O300" i="6"/>
  <c r="N300" i="6"/>
  <c r="M300" i="6"/>
  <c r="L300" i="6"/>
  <c r="K300" i="6"/>
  <c r="O299" i="6"/>
  <c r="N299" i="6"/>
  <c r="M299" i="6"/>
  <c r="P299" i="6" s="1"/>
  <c r="L299" i="6"/>
  <c r="K299" i="6"/>
  <c r="O298" i="6"/>
  <c r="N298" i="6"/>
  <c r="M298" i="6"/>
  <c r="L298" i="6"/>
  <c r="K298" i="6"/>
  <c r="O297" i="6"/>
  <c r="N297" i="6"/>
  <c r="M297" i="6"/>
  <c r="L297" i="6"/>
  <c r="K297" i="6"/>
  <c r="O296" i="6"/>
  <c r="N296" i="6"/>
  <c r="M296" i="6"/>
  <c r="P296" i="6" s="1"/>
  <c r="L296" i="6"/>
  <c r="K296" i="6"/>
  <c r="O295" i="6"/>
  <c r="N295" i="6"/>
  <c r="M295" i="6"/>
  <c r="L295" i="6"/>
  <c r="K295" i="6"/>
  <c r="O294" i="6"/>
  <c r="N294" i="6"/>
  <c r="M294" i="6"/>
  <c r="L294" i="6"/>
  <c r="K294" i="6"/>
  <c r="O293" i="6"/>
  <c r="N293" i="6"/>
  <c r="M293" i="6"/>
  <c r="P293" i="6" s="1"/>
  <c r="L293" i="6"/>
  <c r="K293" i="6"/>
  <c r="O292" i="6"/>
  <c r="N292" i="6"/>
  <c r="M292" i="6"/>
  <c r="L292" i="6"/>
  <c r="K292" i="6"/>
  <c r="O291" i="6"/>
  <c r="P291" i="6" s="1"/>
  <c r="N291" i="6"/>
  <c r="M291" i="6"/>
  <c r="L291" i="6"/>
  <c r="K291" i="6"/>
  <c r="O290" i="6"/>
  <c r="N290" i="6"/>
  <c r="M290" i="6"/>
  <c r="L290" i="6"/>
  <c r="K290" i="6"/>
  <c r="N289" i="6"/>
  <c r="M289" i="6"/>
  <c r="K289" i="6"/>
  <c r="O288" i="6"/>
  <c r="N288" i="6"/>
  <c r="M288" i="6"/>
  <c r="P288" i="6"/>
  <c r="L288" i="6"/>
  <c r="K288" i="6"/>
  <c r="O287" i="6"/>
  <c r="N287" i="6"/>
  <c r="M287" i="6"/>
  <c r="L287" i="6"/>
  <c r="K287" i="6"/>
  <c r="O286" i="6"/>
  <c r="M286" i="6"/>
  <c r="L286" i="6"/>
  <c r="K286" i="6"/>
  <c r="M285" i="6"/>
  <c r="K285" i="6"/>
  <c r="N284" i="6"/>
  <c r="K284" i="6"/>
  <c r="O283" i="6"/>
  <c r="N283" i="6"/>
  <c r="M283" i="6"/>
  <c r="L283" i="6"/>
  <c r="K283" i="6"/>
  <c r="O282" i="6"/>
  <c r="N282" i="6"/>
  <c r="M282" i="6"/>
  <c r="L282" i="6"/>
  <c r="K282" i="6"/>
  <c r="O281" i="6"/>
  <c r="M281" i="6"/>
  <c r="L281" i="6"/>
  <c r="O280" i="6"/>
  <c r="N280" i="6"/>
  <c r="M280" i="6"/>
  <c r="L280" i="6"/>
  <c r="K280" i="6"/>
  <c r="K279" i="6"/>
  <c r="O278" i="6"/>
  <c r="M278" i="6"/>
  <c r="K278" i="6"/>
  <c r="O277" i="6"/>
  <c r="N277" i="6"/>
  <c r="M277" i="6"/>
  <c r="P277" i="6" s="1"/>
  <c r="L277" i="6"/>
  <c r="K277" i="6"/>
  <c r="O276" i="6"/>
  <c r="N276" i="6"/>
  <c r="M276" i="6"/>
  <c r="K276" i="6"/>
  <c r="O275" i="6"/>
  <c r="N275" i="6"/>
  <c r="M275" i="6"/>
  <c r="L275" i="6"/>
  <c r="K275" i="6"/>
  <c r="O274" i="6"/>
  <c r="P274" i="6" s="1"/>
  <c r="N274" i="6"/>
  <c r="M274" i="6"/>
  <c r="L274" i="6"/>
  <c r="K274" i="6"/>
  <c r="L273" i="6"/>
  <c r="K273" i="6"/>
  <c r="O272" i="6"/>
  <c r="N272" i="6"/>
  <c r="M272" i="6"/>
  <c r="L272" i="6"/>
  <c r="K272" i="6"/>
  <c r="O271" i="6"/>
  <c r="P271" i="6" s="1"/>
  <c r="N271" i="6"/>
  <c r="M271" i="6"/>
  <c r="L271" i="6"/>
  <c r="K270" i="6"/>
  <c r="M269" i="6"/>
  <c r="K269" i="6"/>
  <c r="O268" i="6"/>
  <c r="N268" i="6"/>
  <c r="M268" i="6"/>
  <c r="L268" i="6"/>
  <c r="K268" i="6"/>
  <c r="O267" i="6"/>
  <c r="N267" i="6"/>
  <c r="M267" i="6"/>
  <c r="L267" i="6"/>
  <c r="K267" i="6"/>
  <c r="O266" i="6"/>
  <c r="N266" i="6"/>
  <c r="M266" i="6"/>
  <c r="L266" i="6"/>
  <c r="K266" i="6"/>
  <c r="O265" i="6"/>
  <c r="N265" i="6"/>
  <c r="M265" i="6"/>
  <c r="L265" i="6"/>
  <c r="K265" i="6"/>
  <c r="O264" i="6"/>
  <c r="P264" i="6" s="1"/>
  <c r="N264" i="6"/>
  <c r="M264" i="6"/>
  <c r="L264" i="6"/>
  <c r="K264" i="6"/>
  <c r="O263" i="6"/>
  <c r="N263" i="6"/>
  <c r="M263" i="6"/>
  <c r="L263" i="6"/>
  <c r="K263" i="6"/>
  <c r="O262" i="6"/>
  <c r="M262" i="6"/>
  <c r="L262" i="6"/>
  <c r="K262" i="6"/>
  <c r="O261" i="6"/>
  <c r="N261" i="6"/>
  <c r="M261" i="6"/>
  <c r="L261" i="6"/>
  <c r="K261" i="6"/>
  <c r="O260" i="6"/>
  <c r="N260" i="6"/>
  <c r="M260" i="6"/>
  <c r="L260" i="6"/>
  <c r="K260" i="6"/>
  <c r="O259" i="6"/>
  <c r="P259" i="6" s="1"/>
  <c r="N259" i="6"/>
  <c r="M259" i="6"/>
  <c r="L259" i="6"/>
  <c r="K258" i="6"/>
  <c r="N257" i="6"/>
  <c r="L257" i="6"/>
  <c r="K257" i="6"/>
  <c r="O256" i="6"/>
  <c r="P256" i="6" s="1"/>
  <c r="N256" i="6"/>
  <c r="M256" i="6"/>
  <c r="L256" i="6"/>
  <c r="K256" i="6"/>
  <c r="O255" i="6"/>
  <c r="N255" i="6"/>
  <c r="M255" i="6"/>
  <c r="L255" i="6"/>
  <c r="K255" i="6"/>
  <c r="O254" i="6"/>
  <c r="N254" i="6"/>
  <c r="M254" i="6"/>
  <c r="P254" i="6" s="1"/>
  <c r="L254" i="6"/>
  <c r="K254" i="6"/>
  <c r="O253" i="6"/>
  <c r="M253" i="6"/>
  <c r="K253" i="6"/>
  <c r="O252" i="6"/>
  <c r="N252" i="6"/>
  <c r="M252" i="6"/>
  <c r="L252" i="6"/>
  <c r="K252" i="6"/>
  <c r="O251" i="6"/>
  <c r="N251" i="6"/>
  <c r="M251" i="6"/>
  <c r="L251" i="6"/>
  <c r="K251" i="6"/>
  <c r="O250" i="6"/>
  <c r="M250" i="6"/>
  <c r="L250" i="6"/>
  <c r="K249" i="6"/>
  <c r="N248" i="6"/>
  <c r="L248" i="6"/>
  <c r="K248" i="6"/>
  <c r="O247" i="6"/>
  <c r="N247" i="6"/>
  <c r="M247" i="6"/>
  <c r="L247" i="6"/>
  <c r="K247" i="6"/>
  <c r="O246" i="6"/>
  <c r="N246" i="6"/>
  <c r="M246" i="6"/>
  <c r="L246" i="6"/>
  <c r="K246" i="6"/>
  <c r="O245" i="6"/>
  <c r="N245" i="6"/>
  <c r="M245" i="6"/>
  <c r="L245" i="6"/>
  <c r="K245" i="6"/>
  <c r="K244" i="6"/>
  <c r="O243" i="6"/>
  <c r="K243" i="6"/>
  <c r="O242" i="6"/>
  <c r="N242" i="6"/>
  <c r="M242" i="6"/>
  <c r="L242" i="6"/>
  <c r="K242" i="6"/>
  <c r="O241" i="6"/>
  <c r="M241" i="6"/>
  <c r="L241" i="6"/>
  <c r="L240" i="6"/>
  <c r="K240" i="6"/>
  <c r="O239" i="6"/>
  <c r="N239" i="6"/>
  <c r="M239" i="6"/>
  <c r="L239" i="6"/>
  <c r="K239" i="6"/>
  <c r="O238" i="6"/>
  <c r="P238" i="6" s="1"/>
  <c r="N238" i="6"/>
  <c r="M238" i="6"/>
  <c r="L238" i="6"/>
  <c r="K238" i="6"/>
  <c r="O237" i="6"/>
  <c r="N237" i="6"/>
  <c r="M237" i="6"/>
  <c r="L237" i="6"/>
  <c r="K237" i="6"/>
  <c r="O236" i="6"/>
  <c r="N236" i="6"/>
  <c r="M236" i="6"/>
  <c r="P236" i="6" s="1"/>
  <c r="L236" i="6"/>
  <c r="K236" i="6"/>
  <c r="M235" i="6"/>
  <c r="K235" i="6"/>
  <c r="K234" i="6"/>
  <c r="O233" i="6"/>
  <c r="N233" i="6"/>
  <c r="M233" i="6"/>
  <c r="L233" i="6"/>
  <c r="K233" i="6"/>
  <c r="O232" i="6"/>
  <c r="N232" i="6"/>
  <c r="M232" i="6"/>
  <c r="L232" i="6"/>
  <c r="K232" i="6"/>
  <c r="M231" i="6"/>
  <c r="K231" i="6"/>
  <c r="O230" i="6"/>
  <c r="N230" i="6"/>
  <c r="M230" i="6"/>
  <c r="L230" i="6"/>
  <c r="K230" i="6"/>
  <c r="O229" i="6"/>
  <c r="N229" i="6"/>
  <c r="M229" i="6"/>
  <c r="L229" i="6"/>
  <c r="K229" i="6"/>
  <c r="O228" i="6"/>
  <c r="N228" i="6"/>
  <c r="M228" i="6"/>
  <c r="L228" i="6"/>
  <c r="K228" i="6"/>
  <c r="O227" i="6"/>
  <c r="M227" i="6"/>
  <c r="L227" i="6"/>
  <c r="K227" i="6"/>
  <c r="K226" i="6"/>
  <c r="N225" i="6"/>
  <c r="K225" i="6"/>
  <c r="O224" i="6"/>
  <c r="N224" i="6"/>
  <c r="M224" i="6"/>
  <c r="L224" i="6"/>
  <c r="K224" i="6"/>
  <c r="O223" i="6"/>
  <c r="N223" i="6"/>
  <c r="M223" i="6"/>
  <c r="K223" i="6"/>
  <c r="O222" i="6"/>
  <c r="N222" i="6"/>
  <c r="M222" i="6"/>
  <c r="L222" i="6"/>
  <c r="K222" i="6"/>
  <c r="O221" i="6"/>
  <c r="N221" i="6"/>
  <c r="M221" i="6"/>
  <c r="P221" i="6" s="1"/>
  <c r="L221" i="6"/>
  <c r="K221" i="6"/>
  <c r="O220" i="6"/>
  <c r="N220" i="6"/>
  <c r="M220" i="6"/>
  <c r="L220" i="6"/>
  <c r="K220" i="6"/>
  <c r="O219" i="6"/>
  <c r="N219" i="6"/>
  <c r="M219" i="6"/>
  <c r="P219" i="6" s="1"/>
  <c r="L219" i="6"/>
  <c r="K219" i="6"/>
  <c r="O218" i="6"/>
  <c r="M218" i="6"/>
  <c r="K218" i="6"/>
  <c r="O217" i="6"/>
  <c r="N217" i="6"/>
  <c r="M217" i="6"/>
  <c r="L217" i="6"/>
  <c r="K217" i="6"/>
  <c r="O216" i="6"/>
  <c r="N216" i="6"/>
  <c r="M216" i="6"/>
  <c r="L216" i="6"/>
  <c r="O215" i="6"/>
  <c r="N215" i="6"/>
  <c r="M215" i="6"/>
  <c r="L215" i="6"/>
  <c r="K215" i="6"/>
  <c r="O214" i="6"/>
  <c r="N214" i="6"/>
  <c r="P214" i="6" s="1"/>
  <c r="M214" i="6"/>
  <c r="L214" i="6"/>
  <c r="K214" i="6"/>
  <c r="O213" i="6"/>
  <c r="N213" i="6"/>
  <c r="M213" i="6"/>
  <c r="L213" i="6"/>
  <c r="K213" i="6"/>
  <c r="O212" i="6"/>
  <c r="N212" i="6"/>
  <c r="M212" i="6"/>
  <c r="K212" i="6"/>
  <c r="O211" i="6"/>
  <c r="N211" i="6"/>
  <c r="M211" i="6"/>
  <c r="L211" i="6"/>
  <c r="K211" i="6"/>
  <c r="O210" i="6"/>
  <c r="N210" i="6"/>
  <c r="M210" i="6"/>
  <c r="L210" i="6"/>
  <c r="K210" i="6"/>
  <c r="O209" i="6"/>
  <c r="N209" i="6"/>
  <c r="M209" i="6"/>
  <c r="L209" i="6"/>
  <c r="K209" i="6"/>
  <c r="O208" i="6"/>
  <c r="N208" i="6"/>
  <c r="M208" i="6"/>
  <c r="L208" i="6"/>
  <c r="K208" i="6"/>
  <c r="N207" i="6"/>
  <c r="K207" i="6"/>
  <c r="O206" i="6"/>
  <c r="N206" i="6"/>
  <c r="P206" i="6" s="1"/>
  <c r="M206" i="6"/>
  <c r="L206" i="6"/>
  <c r="K206" i="6"/>
  <c r="O205" i="6"/>
  <c r="N205" i="6"/>
  <c r="M205" i="6"/>
  <c r="L205" i="6"/>
  <c r="K205" i="6"/>
  <c r="O204" i="6"/>
  <c r="N204" i="6"/>
  <c r="M204" i="6"/>
  <c r="L204" i="6"/>
  <c r="K204" i="6"/>
  <c r="O203" i="6"/>
  <c r="N203" i="6"/>
  <c r="M203" i="6"/>
  <c r="L203" i="6"/>
  <c r="K203" i="6"/>
  <c r="O202" i="6"/>
  <c r="N202" i="6"/>
  <c r="P202" i="6" s="1"/>
  <c r="M202" i="6"/>
  <c r="L202" i="6"/>
  <c r="K202" i="6"/>
  <c r="O201" i="6"/>
  <c r="N201" i="6"/>
  <c r="L201" i="6"/>
  <c r="K201" i="6"/>
  <c r="O200" i="6"/>
  <c r="N200" i="6"/>
  <c r="M200" i="6"/>
  <c r="L200" i="6"/>
  <c r="K200" i="6"/>
  <c r="O199" i="6"/>
  <c r="N199" i="6"/>
  <c r="M199" i="6"/>
  <c r="P199" i="6" s="1"/>
  <c r="L199" i="6"/>
  <c r="K199" i="6"/>
  <c r="K198" i="6"/>
  <c r="O197" i="6"/>
  <c r="N197" i="6"/>
  <c r="M197" i="6"/>
  <c r="L197" i="6"/>
  <c r="K197" i="6"/>
  <c r="O196" i="6"/>
  <c r="N196" i="6"/>
  <c r="M196" i="6"/>
  <c r="L196" i="6"/>
  <c r="K196" i="6"/>
  <c r="O195" i="6"/>
  <c r="N195" i="6"/>
  <c r="M195" i="6"/>
  <c r="L195" i="6"/>
  <c r="K195" i="6"/>
  <c r="O194" i="6"/>
  <c r="N194" i="6"/>
  <c r="M194" i="6"/>
  <c r="L194" i="6"/>
  <c r="K194" i="6"/>
  <c r="O193" i="6"/>
  <c r="N193" i="6"/>
  <c r="M193" i="6"/>
  <c r="L193" i="6"/>
  <c r="K193" i="6"/>
  <c r="O192" i="6"/>
  <c r="M192" i="6"/>
  <c r="K192" i="6"/>
  <c r="O191" i="6"/>
  <c r="N191" i="6"/>
  <c r="M191" i="6"/>
  <c r="L191" i="6"/>
  <c r="K191" i="6"/>
  <c r="O190" i="6"/>
  <c r="N190" i="6"/>
  <c r="M190" i="6"/>
  <c r="L190" i="6"/>
  <c r="K190" i="6"/>
  <c r="O189" i="6"/>
  <c r="M189" i="6"/>
  <c r="L189" i="6"/>
  <c r="K189" i="6"/>
  <c r="O188" i="6"/>
  <c r="N188" i="6"/>
  <c r="M188" i="6"/>
  <c r="L188" i="6"/>
  <c r="K188" i="6"/>
  <c r="O187" i="6"/>
  <c r="L187" i="6"/>
  <c r="K187" i="6"/>
  <c r="O186" i="6"/>
  <c r="N186" i="6"/>
  <c r="M186" i="6"/>
  <c r="L186" i="6"/>
  <c r="K186" i="6"/>
  <c r="O185" i="6"/>
  <c r="P185" i="6" s="1"/>
  <c r="N185" i="6"/>
  <c r="M185" i="6"/>
  <c r="L185" i="6"/>
  <c r="K185" i="6"/>
  <c r="O184" i="6"/>
  <c r="N184" i="6"/>
  <c r="M184" i="6"/>
  <c r="P184" i="6"/>
  <c r="L184" i="6"/>
  <c r="K184" i="6"/>
  <c r="O183" i="6"/>
  <c r="N183" i="6"/>
  <c r="M183" i="6"/>
  <c r="L183" i="6"/>
  <c r="K183" i="6"/>
  <c r="O182" i="6"/>
  <c r="P182" i="6" s="1"/>
  <c r="N182" i="6"/>
  <c r="M182" i="6"/>
  <c r="L182" i="6"/>
  <c r="K182" i="6"/>
  <c r="O181" i="6"/>
  <c r="N181" i="6"/>
  <c r="M181" i="6"/>
  <c r="L181" i="6"/>
  <c r="K181" i="6"/>
  <c r="O180" i="6"/>
  <c r="L180" i="6"/>
  <c r="K180" i="6"/>
  <c r="O179" i="6"/>
  <c r="N179" i="6"/>
  <c r="M179" i="6"/>
  <c r="L179" i="6"/>
  <c r="K179" i="6"/>
  <c r="O178" i="6"/>
  <c r="N178" i="6"/>
  <c r="M178" i="6"/>
  <c r="L178" i="6"/>
  <c r="K178" i="6"/>
  <c r="O177" i="6"/>
  <c r="N177" i="6"/>
  <c r="M177" i="6"/>
  <c r="P177" i="6" s="1"/>
  <c r="L177" i="6"/>
  <c r="K177" i="6"/>
  <c r="O176" i="6"/>
  <c r="N176" i="6"/>
  <c r="M176" i="6"/>
  <c r="L176" i="6"/>
  <c r="K176" i="6"/>
  <c r="O175" i="6"/>
  <c r="N175" i="6"/>
  <c r="L175" i="6"/>
  <c r="K175" i="6"/>
  <c r="O174" i="6"/>
  <c r="N174" i="6"/>
  <c r="M174" i="6"/>
  <c r="P174" i="6" s="1"/>
  <c r="L174" i="6"/>
  <c r="K174" i="6"/>
  <c r="O173" i="6"/>
  <c r="N173" i="6"/>
  <c r="M173" i="6"/>
  <c r="L173" i="6"/>
  <c r="K173" i="6"/>
  <c r="O172" i="6"/>
  <c r="N172" i="6"/>
  <c r="M172" i="6"/>
  <c r="P172" i="6" s="1"/>
  <c r="L172" i="6"/>
  <c r="K172" i="6"/>
  <c r="O171" i="6"/>
  <c r="N171" i="6"/>
  <c r="M171" i="6"/>
  <c r="L171" i="6"/>
  <c r="K171" i="6"/>
  <c r="N170" i="6"/>
  <c r="L170" i="6"/>
  <c r="K170" i="6"/>
  <c r="O169" i="6"/>
  <c r="N169" i="6"/>
  <c r="M169" i="6"/>
  <c r="L169" i="6"/>
  <c r="K169" i="6"/>
  <c r="O168" i="6"/>
  <c r="M168" i="6"/>
  <c r="K168" i="6"/>
  <c r="O167" i="6"/>
  <c r="N167" i="6"/>
  <c r="M167" i="6"/>
  <c r="L167" i="6"/>
  <c r="K167" i="6"/>
  <c r="O166" i="6"/>
  <c r="N166" i="6"/>
  <c r="M166" i="6"/>
  <c r="L166" i="6"/>
  <c r="K166" i="6"/>
  <c r="O165" i="6"/>
  <c r="N165" i="6"/>
  <c r="M165" i="6"/>
  <c r="L165" i="6"/>
  <c r="K165" i="6"/>
  <c r="O164" i="6"/>
  <c r="N164" i="6"/>
  <c r="M164" i="6"/>
  <c r="L164" i="6"/>
  <c r="K164" i="6"/>
  <c r="O163" i="6"/>
  <c r="N163" i="6"/>
  <c r="M163" i="6"/>
  <c r="P163" i="6" s="1"/>
  <c r="L163" i="6"/>
  <c r="K163" i="6"/>
  <c r="N162" i="6"/>
  <c r="K162" i="6"/>
  <c r="O161" i="6"/>
  <c r="N161" i="6"/>
  <c r="M161" i="6"/>
  <c r="L161" i="6"/>
  <c r="K161" i="6"/>
  <c r="M160" i="6"/>
  <c r="K160" i="6"/>
  <c r="O159" i="6"/>
  <c r="N159" i="6"/>
  <c r="M159" i="6"/>
  <c r="L159" i="6"/>
  <c r="K159" i="6"/>
  <c r="O158" i="6"/>
  <c r="M158" i="6"/>
  <c r="L158" i="6"/>
  <c r="K158" i="6"/>
  <c r="O157" i="6"/>
  <c r="N157" i="6"/>
  <c r="M157" i="6"/>
  <c r="L157" i="6"/>
  <c r="K157" i="6"/>
  <c r="O156" i="6"/>
  <c r="N156" i="6"/>
  <c r="M156" i="6"/>
  <c r="L156" i="6"/>
  <c r="K156" i="6"/>
  <c r="N155" i="6"/>
  <c r="L155" i="6"/>
  <c r="K155" i="6"/>
  <c r="O154" i="6"/>
  <c r="N154" i="6"/>
  <c r="M154" i="6"/>
  <c r="L154" i="6"/>
  <c r="K154" i="6"/>
  <c r="O153" i="6"/>
  <c r="N153" i="6"/>
  <c r="M153" i="6"/>
  <c r="L153" i="6"/>
  <c r="K153" i="6"/>
  <c r="O152" i="6"/>
  <c r="N152" i="6"/>
  <c r="M152" i="6"/>
  <c r="L152" i="6"/>
  <c r="K152" i="6"/>
  <c r="O151" i="6"/>
  <c r="N151" i="6"/>
  <c r="M151" i="6"/>
  <c r="L151" i="6"/>
  <c r="K151" i="6"/>
  <c r="N150" i="6"/>
  <c r="M150" i="6"/>
  <c r="K150" i="6"/>
  <c r="O149" i="6"/>
  <c r="P149" i="6"/>
  <c r="N149" i="6"/>
  <c r="M149" i="6"/>
  <c r="L149" i="6"/>
  <c r="K149" i="6"/>
  <c r="O148" i="6"/>
  <c r="N148" i="6"/>
  <c r="M148" i="6"/>
  <c r="P148" i="6"/>
  <c r="L148" i="6"/>
  <c r="K148" i="6"/>
  <c r="N147" i="6"/>
  <c r="K147" i="6"/>
  <c r="O146" i="6"/>
  <c r="N146" i="6"/>
  <c r="M146" i="6"/>
  <c r="L146" i="6"/>
  <c r="K146" i="6"/>
  <c r="O145" i="6"/>
  <c r="N145" i="6"/>
  <c r="L145" i="6"/>
  <c r="K145" i="6"/>
  <c r="O144" i="6"/>
  <c r="N144" i="6"/>
  <c r="M144" i="6"/>
  <c r="L144" i="6"/>
  <c r="K144" i="6"/>
  <c r="O143" i="6"/>
  <c r="N143" i="6"/>
  <c r="P143" i="6" s="1"/>
  <c r="M143" i="6"/>
  <c r="L143" i="6"/>
  <c r="K143" i="6"/>
  <c r="O142" i="6"/>
  <c r="N142" i="6"/>
  <c r="M142" i="6"/>
  <c r="L142" i="6"/>
  <c r="K142" i="6"/>
  <c r="N141" i="6"/>
  <c r="L141" i="6"/>
  <c r="K141" i="6"/>
  <c r="O140" i="6"/>
  <c r="K140" i="6"/>
  <c r="O139" i="6"/>
  <c r="N139" i="6"/>
  <c r="M139" i="6"/>
  <c r="L139" i="6"/>
  <c r="K139" i="6"/>
  <c r="O138" i="6"/>
  <c r="K138" i="6"/>
  <c r="M137" i="6"/>
  <c r="K137" i="6"/>
  <c r="N136" i="6"/>
  <c r="K136" i="6"/>
  <c r="O135" i="6"/>
  <c r="N135" i="6"/>
  <c r="M135" i="6"/>
  <c r="L135" i="6"/>
  <c r="K135" i="6"/>
  <c r="O134" i="6"/>
  <c r="N134" i="6"/>
  <c r="M134" i="6"/>
  <c r="P134" i="6" s="1"/>
  <c r="L134" i="6"/>
  <c r="K134" i="6"/>
  <c r="O133" i="6"/>
  <c r="N133" i="6"/>
  <c r="P133" i="6" s="1"/>
  <c r="M133" i="6"/>
  <c r="L133" i="6"/>
  <c r="K133" i="6"/>
  <c r="O132" i="6"/>
  <c r="N132" i="6"/>
  <c r="M132" i="6"/>
  <c r="L132" i="6"/>
  <c r="K132" i="6"/>
  <c r="O131" i="6"/>
  <c r="N131" i="6"/>
  <c r="M131" i="6"/>
  <c r="L131" i="6"/>
  <c r="K131" i="6"/>
  <c r="O130" i="6"/>
  <c r="M130" i="6"/>
  <c r="K130" i="6"/>
  <c r="O129" i="6"/>
  <c r="N129" i="6"/>
  <c r="M129" i="6"/>
  <c r="L129" i="6"/>
  <c r="K129" i="6"/>
  <c r="O128" i="6"/>
  <c r="N128" i="6"/>
  <c r="M128" i="6"/>
  <c r="L128" i="6"/>
  <c r="K128" i="6"/>
  <c r="O127" i="6"/>
  <c r="N127" i="6"/>
  <c r="M127" i="6"/>
  <c r="L127" i="6"/>
  <c r="K127" i="6"/>
  <c r="O126" i="6"/>
  <c r="N126" i="6"/>
  <c r="M126" i="6"/>
  <c r="L126" i="6"/>
  <c r="K126" i="6"/>
  <c r="O125" i="6"/>
  <c r="N125" i="6"/>
  <c r="M125" i="6"/>
  <c r="L125" i="6"/>
  <c r="K125" i="6"/>
  <c r="O124" i="6"/>
  <c r="M124" i="6"/>
  <c r="K124" i="6"/>
  <c r="O123" i="6"/>
  <c r="N123" i="6"/>
  <c r="M123" i="6"/>
  <c r="L123" i="6"/>
  <c r="K123" i="6"/>
  <c r="O122" i="6"/>
  <c r="N122" i="6"/>
  <c r="M122" i="6"/>
  <c r="L122" i="6"/>
  <c r="K122" i="6"/>
  <c r="M121" i="6"/>
  <c r="K121" i="6"/>
  <c r="O120" i="6"/>
  <c r="N120" i="6"/>
  <c r="M120" i="6"/>
  <c r="L120" i="6"/>
  <c r="K120" i="6"/>
  <c r="O119" i="6"/>
  <c r="N119" i="6"/>
  <c r="M119" i="6"/>
  <c r="P119" i="6" s="1"/>
  <c r="L119" i="6"/>
  <c r="K119" i="6"/>
  <c r="O118" i="6"/>
  <c r="L118" i="6"/>
  <c r="K118" i="6"/>
  <c r="O117" i="6"/>
  <c r="N117" i="6"/>
  <c r="M117" i="6"/>
  <c r="L117" i="6"/>
  <c r="K117" i="6"/>
  <c r="O116" i="6"/>
  <c r="M116" i="6"/>
  <c r="K116" i="6"/>
  <c r="O115" i="6"/>
  <c r="N115" i="6"/>
  <c r="M115" i="6"/>
  <c r="L115" i="6"/>
  <c r="K115" i="6"/>
  <c r="N114" i="6"/>
  <c r="L114" i="6"/>
  <c r="K114" i="6"/>
  <c r="O113" i="6"/>
  <c r="N113" i="6"/>
  <c r="M113" i="6"/>
  <c r="L113" i="6"/>
  <c r="K113" i="6"/>
  <c r="O112" i="6"/>
  <c r="N112" i="6"/>
  <c r="P112" i="6" s="1"/>
  <c r="M112" i="6"/>
  <c r="L112" i="6"/>
  <c r="K112" i="6"/>
  <c r="O111" i="6"/>
  <c r="N111" i="6"/>
  <c r="M111" i="6"/>
  <c r="L111" i="6"/>
  <c r="K111" i="6"/>
  <c r="O110" i="6"/>
  <c r="N110" i="6"/>
  <c r="M110" i="6"/>
  <c r="L110" i="6"/>
  <c r="K110" i="6"/>
  <c r="M109" i="6"/>
  <c r="K109" i="6"/>
  <c r="O108" i="6"/>
  <c r="N108" i="6"/>
  <c r="M108" i="6"/>
  <c r="L108" i="6"/>
  <c r="K108" i="6"/>
  <c r="O107" i="6"/>
  <c r="M107" i="6"/>
  <c r="L107" i="6"/>
  <c r="K107" i="6"/>
  <c r="O106" i="6"/>
  <c r="N106" i="6"/>
  <c r="M106" i="6"/>
  <c r="L106" i="6"/>
  <c r="K106" i="6"/>
  <c r="O105" i="6"/>
  <c r="N105" i="6"/>
  <c r="M105" i="6"/>
  <c r="L105" i="6"/>
  <c r="K105" i="6"/>
  <c r="O104" i="6"/>
  <c r="N104" i="6"/>
  <c r="M104" i="6"/>
  <c r="L104" i="6"/>
  <c r="K104" i="6"/>
  <c r="O103" i="6"/>
  <c r="N103" i="6"/>
  <c r="M103" i="6"/>
  <c r="L103" i="6"/>
  <c r="K103" i="6"/>
  <c r="O102" i="6"/>
  <c r="N102" i="6"/>
  <c r="M102" i="6"/>
  <c r="L102" i="6"/>
  <c r="K102" i="6"/>
  <c r="O101" i="6"/>
  <c r="N101" i="6"/>
  <c r="P101" i="6" s="1"/>
  <c r="M101" i="6"/>
  <c r="L101" i="6"/>
  <c r="K101" i="6"/>
  <c r="O100" i="6"/>
  <c r="N100" i="6"/>
  <c r="M100" i="6"/>
  <c r="L100" i="6"/>
  <c r="K100" i="6"/>
  <c r="O99" i="6"/>
  <c r="N99" i="6"/>
  <c r="M99" i="6"/>
  <c r="L99" i="6"/>
  <c r="K99" i="6"/>
  <c r="O98" i="6"/>
  <c r="N98" i="6"/>
  <c r="M98" i="6"/>
  <c r="L98" i="6"/>
  <c r="K98" i="6"/>
  <c r="O97" i="6"/>
  <c r="P97" i="6"/>
  <c r="N97" i="6"/>
  <c r="M97" i="6"/>
  <c r="L97" i="6"/>
  <c r="K97" i="6"/>
  <c r="O96" i="6"/>
  <c r="N96" i="6"/>
  <c r="M96" i="6"/>
  <c r="L96" i="6"/>
  <c r="K96" i="6"/>
  <c r="O95" i="6"/>
  <c r="N95" i="6"/>
  <c r="M95" i="6"/>
  <c r="P95" i="6" s="1"/>
  <c r="L95" i="6"/>
  <c r="K95" i="6"/>
  <c r="O94" i="6"/>
  <c r="N94" i="6"/>
  <c r="P94" i="6" s="1"/>
  <c r="M94" i="6"/>
  <c r="L94" i="6"/>
  <c r="K94" i="6"/>
  <c r="O93" i="6"/>
  <c r="N93" i="6"/>
  <c r="M93" i="6"/>
  <c r="L93" i="6"/>
  <c r="K93" i="6"/>
  <c r="N92" i="6"/>
  <c r="L92" i="6"/>
  <c r="K92" i="6"/>
  <c r="K91" i="6"/>
  <c r="K90" i="6"/>
  <c r="O89" i="6"/>
  <c r="N89" i="6"/>
  <c r="M89" i="6"/>
  <c r="L89" i="6"/>
  <c r="K89" i="6"/>
  <c r="O88" i="6"/>
  <c r="P88" i="6" s="1"/>
  <c r="N88" i="6"/>
  <c r="M88" i="6"/>
  <c r="L88" i="6"/>
  <c r="K88" i="6"/>
  <c r="K87" i="6"/>
  <c r="K86" i="6"/>
  <c r="K85" i="6"/>
  <c r="O84" i="6"/>
  <c r="N84" i="6"/>
  <c r="L84" i="6"/>
  <c r="K84" i="6"/>
  <c r="O83" i="6"/>
  <c r="N83" i="6"/>
  <c r="M83" i="6"/>
  <c r="L83" i="6"/>
  <c r="K83" i="6"/>
  <c r="N82" i="6"/>
  <c r="L82" i="6"/>
  <c r="K82" i="6"/>
  <c r="K81" i="6"/>
  <c r="K80" i="6"/>
  <c r="O79" i="6"/>
  <c r="N79" i="6"/>
  <c r="M79" i="6"/>
  <c r="L79" i="6"/>
  <c r="K79" i="6"/>
  <c r="O78" i="6"/>
  <c r="N78" i="6"/>
  <c r="M78" i="6"/>
  <c r="L78" i="6"/>
  <c r="K78" i="6"/>
  <c r="K77" i="6"/>
  <c r="K76" i="6"/>
  <c r="K75" i="6"/>
  <c r="O74" i="6"/>
  <c r="M74" i="6"/>
  <c r="K74" i="6"/>
  <c r="O73" i="6"/>
  <c r="N73" i="6"/>
  <c r="M73" i="6"/>
  <c r="L73" i="6"/>
  <c r="K73" i="6"/>
  <c r="O72" i="6"/>
  <c r="N72" i="6"/>
  <c r="M72" i="6"/>
  <c r="L72" i="6"/>
  <c r="K72" i="6"/>
  <c r="O71" i="6"/>
  <c r="N71" i="6"/>
  <c r="M71" i="6"/>
  <c r="L71" i="6"/>
  <c r="K71" i="6"/>
  <c r="O70" i="6"/>
  <c r="N70" i="6"/>
  <c r="M70" i="6"/>
  <c r="P70" i="6"/>
  <c r="L70" i="6"/>
  <c r="K70" i="6"/>
  <c r="O69" i="6"/>
  <c r="N69" i="6"/>
  <c r="P69" i="6" s="1"/>
  <c r="M69" i="6"/>
  <c r="L69" i="6"/>
  <c r="K69" i="6"/>
  <c r="O68" i="6"/>
  <c r="N68" i="6"/>
  <c r="M68" i="6"/>
  <c r="L68" i="6"/>
  <c r="K68" i="6"/>
  <c r="O67" i="6"/>
  <c r="N67" i="6"/>
  <c r="M67" i="6"/>
  <c r="P67" i="6"/>
  <c r="L67" i="6"/>
  <c r="K67" i="6"/>
  <c r="O66" i="6"/>
  <c r="N66" i="6"/>
  <c r="M66" i="6"/>
  <c r="L66" i="6"/>
  <c r="K66" i="6"/>
  <c r="O65" i="6"/>
  <c r="N65" i="6"/>
  <c r="M65" i="6"/>
  <c r="L65" i="6"/>
  <c r="K65" i="6"/>
  <c r="O64" i="6"/>
  <c r="N64" i="6"/>
  <c r="M64" i="6"/>
  <c r="L64" i="6"/>
  <c r="K64" i="6"/>
  <c r="O63" i="6"/>
  <c r="N63" i="6"/>
  <c r="M63" i="6"/>
  <c r="P63" i="6" s="1"/>
  <c r="L63" i="6"/>
  <c r="K63" i="6"/>
  <c r="O62" i="6"/>
  <c r="N62" i="6"/>
  <c r="M62" i="6"/>
  <c r="L62" i="6"/>
  <c r="K62" i="6"/>
  <c r="O61" i="6"/>
  <c r="N61" i="6"/>
  <c r="M61" i="6"/>
  <c r="L61" i="6"/>
  <c r="K61" i="6"/>
  <c r="O60" i="6"/>
  <c r="N60" i="6"/>
  <c r="M60" i="6"/>
  <c r="P60" i="6" s="1"/>
  <c r="L60" i="6"/>
  <c r="K60" i="6"/>
  <c r="O59" i="6"/>
  <c r="N59" i="6"/>
  <c r="M59" i="6"/>
  <c r="L59" i="6"/>
  <c r="K59" i="6"/>
  <c r="O58" i="6"/>
  <c r="N58" i="6"/>
  <c r="M58" i="6"/>
  <c r="L58" i="6"/>
  <c r="K58" i="6"/>
  <c r="O57" i="6"/>
  <c r="N57" i="6"/>
  <c r="M57" i="6"/>
  <c r="L57" i="6"/>
  <c r="K57" i="6"/>
  <c r="O56" i="6"/>
  <c r="N56" i="6"/>
  <c r="M56" i="6"/>
  <c r="P56" i="6" s="1"/>
  <c r="L56" i="6"/>
  <c r="K56" i="6"/>
  <c r="O55" i="6"/>
  <c r="N55" i="6"/>
  <c r="P55" i="6" s="1"/>
  <c r="M55" i="6"/>
  <c r="L55" i="6"/>
  <c r="K55" i="6"/>
  <c r="O54" i="6"/>
  <c r="N54" i="6"/>
  <c r="M54" i="6"/>
  <c r="L54" i="6"/>
  <c r="K54" i="6"/>
  <c r="O53" i="6"/>
  <c r="N53" i="6"/>
  <c r="M53" i="6"/>
  <c r="P53" i="6" s="1"/>
  <c r="L53" i="6"/>
  <c r="K53" i="6"/>
  <c r="O52" i="6"/>
  <c r="N52" i="6"/>
  <c r="M52" i="6"/>
  <c r="P52" i="6" s="1"/>
  <c r="L52" i="6"/>
  <c r="K52" i="6"/>
  <c r="O51" i="6"/>
  <c r="N51" i="6"/>
  <c r="M51" i="6"/>
  <c r="L51" i="6"/>
  <c r="K51" i="6"/>
  <c r="O50" i="6"/>
  <c r="N50" i="6"/>
  <c r="M50" i="6"/>
  <c r="P50" i="6" s="1"/>
  <c r="L50" i="6"/>
  <c r="K50" i="6"/>
  <c r="O49" i="6"/>
  <c r="N49" i="6"/>
  <c r="M49" i="6"/>
  <c r="L49" i="6"/>
  <c r="K49" i="6"/>
  <c r="O48" i="6"/>
  <c r="N48" i="6"/>
  <c r="M48" i="6"/>
  <c r="L48" i="6"/>
  <c r="K48" i="6"/>
  <c r="O47" i="6"/>
  <c r="N47" i="6"/>
  <c r="M47" i="6"/>
  <c r="L47" i="6"/>
  <c r="K47" i="6"/>
  <c r="O46" i="6"/>
  <c r="N46" i="6"/>
  <c r="M46" i="6"/>
  <c r="L46" i="6"/>
  <c r="K46" i="6"/>
  <c r="O45" i="6"/>
  <c r="N45" i="6"/>
  <c r="M45" i="6"/>
  <c r="L45" i="6"/>
  <c r="K45" i="6"/>
  <c r="O44" i="6"/>
  <c r="N44" i="6"/>
  <c r="M44" i="6"/>
  <c r="L44" i="6"/>
  <c r="K44" i="6"/>
  <c r="O43" i="6"/>
  <c r="N43" i="6"/>
  <c r="P43" i="6"/>
  <c r="M43" i="6"/>
  <c r="L43" i="6"/>
  <c r="K43" i="6"/>
  <c r="O42" i="6"/>
  <c r="N42" i="6"/>
  <c r="M42" i="6"/>
  <c r="L42" i="6"/>
  <c r="K42" i="6"/>
  <c r="O41" i="6"/>
  <c r="N41" i="6"/>
  <c r="M41" i="6"/>
  <c r="L41" i="6"/>
  <c r="K41" i="6"/>
  <c r="O40" i="6"/>
  <c r="N40" i="6"/>
  <c r="M40" i="6"/>
  <c r="P40" i="6" s="1"/>
  <c r="L40" i="6"/>
  <c r="K40" i="6"/>
  <c r="O39" i="6"/>
  <c r="N39" i="6"/>
  <c r="M39" i="6"/>
  <c r="L39" i="6"/>
  <c r="K39" i="6"/>
  <c r="O38" i="6"/>
  <c r="P38" i="6" s="1"/>
  <c r="N38" i="6"/>
  <c r="M38" i="6"/>
  <c r="L38" i="6"/>
  <c r="K38" i="6"/>
  <c r="O37" i="6"/>
  <c r="N37" i="6"/>
  <c r="M37" i="6"/>
  <c r="P37" i="6" s="1"/>
  <c r="L37" i="6"/>
  <c r="K37" i="6"/>
  <c r="O36" i="6"/>
  <c r="N36" i="6"/>
  <c r="M36" i="6"/>
  <c r="L36" i="6"/>
  <c r="K36" i="6"/>
  <c r="O35" i="6"/>
  <c r="N35" i="6"/>
  <c r="M35" i="6"/>
  <c r="L35" i="6"/>
  <c r="K35" i="6"/>
  <c r="O34" i="6"/>
  <c r="N34" i="6"/>
  <c r="M34" i="6"/>
  <c r="P34" i="6" s="1"/>
  <c r="L34" i="6"/>
  <c r="K34" i="6"/>
  <c r="O33" i="6"/>
  <c r="N33" i="6"/>
  <c r="P33" i="6" s="1"/>
  <c r="M33" i="6"/>
  <c r="L33" i="6"/>
  <c r="K33" i="6"/>
  <c r="O32" i="6"/>
  <c r="N32" i="6"/>
  <c r="M32" i="6"/>
  <c r="L32" i="6"/>
  <c r="K32" i="6"/>
  <c r="O31" i="6"/>
  <c r="N31" i="6"/>
  <c r="M31" i="6"/>
  <c r="L31" i="6"/>
  <c r="K31" i="6"/>
  <c r="O30" i="6"/>
  <c r="N30" i="6"/>
  <c r="M30" i="6"/>
  <c r="P30" i="6" s="1"/>
  <c r="L30" i="6"/>
  <c r="K30" i="6"/>
  <c r="O29" i="6"/>
  <c r="N29" i="6"/>
  <c r="P29" i="6" s="1"/>
  <c r="M29" i="6"/>
  <c r="L29" i="6"/>
  <c r="K29" i="6"/>
  <c r="O28" i="6"/>
  <c r="N28" i="6"/>
  <c r="M28" i="6"/>
  <c r="L28" i="6"/>
  <c r="K28" i="6"/>
  <c r="O27" i="6"/>
  <c r="N27" i="6"/>
  <c r="M27" i="6"/>
  <c r="L27" i="6"/>
  <c r="K27" i="6"/>
  <c r="O26" i="6"/>
  <c r="N26" i="6"/>
  <c r="M26" i="6"/>
  <c r="L26" i="6"/>
  <c r="K26" i="6"/>
  <c r="O24" i="6"/>
  <c r="N24" i="6"/>
  <c r="M24" i="6"/>
  <c r="L24" i="6"/>
  <c r="K24" i="6"/>
  <c r="O23" i="6"/>
  <c r="N23" i="6"/>
  <c r="M23" i="6"/>
  <c r="P23" i="6" s="1"/>
  <c r="L23" i="6"/>
  <c r="K23" i="6"/>
  <c r="O22" i="6"/>
  <c r="N22" i="6"/>
  <c r="M22" i="6"/>
  <c r="L22" i="6"/>
  <c r="K22" i="6"/>
  <c r="O21" i="6"/>
  <c r="N21" i="6"/>
  <c r="M21" i="6"/>
  <c r="L21" i="6"/>
  <c r="K21" i="6"/>
  <c r="O20" i="6"/>
  <c r="N20" i="6"/>
  <c r="M20" i="6"/>
  <c r="L20" i="6"/>
  <c r="K20" i="6"/>
  <c r="O19" i="6"/>
  <c r="N19" i="6"/>
  <c r="M19" i="6"/>
  <c r="L19" i="6"/>
  <c r="K19" i="6"/>
  <c r="O18" i="6"/>
  <c r="N18" i="6"/>
  <c r="P18" i="6" s="1"/>
  <c r="M18" i="6"/>
  <c r="L18" i="6"/>
  <c r="K18" i="6"/>
  <c r="O17" i="6"/>
  <c r="N17" i="6"/>
  <c r="M17" i="6"/>
  <c r="L17" i="6"/>
  <c r="K17" i="6"/>
  <c r="O16" i="6"/>
  <c r="N16" i="6"/>
  <c r="M16" i="6"/>
  <c r="P16" i="6" s="1"/>
  <c r="L16" i="6"/>
  <c r="K16" i="6"/>
  <c r="O15" i="6"/>
  <c r="N15" i="6"/>
  <c r="M15" i="6"/>
  <c r="L15" i="6"/>
  <c r="K15" i="6"/>
  <c r="O14" i="6"/>
  <c r="N14" i="6"/>
  <c r="M14" i="6"/>
  <c r="L14" i="6"/>
  <c r="K14" i="6"/>
  <c r="O13" i="6"/>
  <c r="N13" i="6"/>
  <c r="M13" i="6"/>
  <c r="L13" i="6"/>
  <c r="K13" i="6"/>
  <c r="C13" i="6"/>
  <c r="A2" i="6" s="1"/>
  <c r="H1" i="6"/>
  <c r="A462" i="5"/>
  <c r="K17" i="5"/>
  <c r="L17" i="5"/>
  <c r="K16" i="5"/>
  <c r="L16" i="5"/>
  <c r="K15" i="5"/>
  <c r="L15" i="5"/>
  <c r="K14" i="5"/>
  <c r="L14" i="5"/>
  <c r="L13" i="5"/>
  <c r="K13" i="5"/>
  <c r="C13" i="5"/>
  <c r="A2" i="5" s="1"/>
  <c r="H1" i="5"/>
  <c r="A43" i="4"/>
  <c r="O36" i="4"/>
  <c r="P36" i="4" s="1"/>
  <c r="N36" i="4"/>
  <c r="M36" i="4"/>
  <c r="K36" i="4"/>
  <c r="L36" i="4"/>
  <c r="O35" i="4"/>
  <c r="N35" i="4"/>
  <c r="M35" i="4"/>
  <c r="P35" i="4"/>
  <c r="K35" i="4"/>
  <c r="L35" i="4"/>
  <c r="O34" i="4"/>
  <c r="N34" i="4"/>
  <c r="P34" i="4" s="1"/>
  <c r="M34" i="4"/>
  <c r="K34" i="4"/>
  <c r="L34" i="4"/>
  <c r="O33" i="4"/>
  <c r="N33" i="4"/>
  <c r="M33" i="4"/>
  <c r="P33" i="4" s="1"/>
  <c r="K33" i="4"/>
  <c r="L33" i="4"/>
  <c r="O32" i="4"/>
  <c r="N32" i="4"/>
  <c r="P32" i="4" s="1"/>
  <c r="M32" i="4"/>
  <c r="K32" i="4"/>
  <c r="L32" i="4"/>
  <c r="O31" i="4"/>
  <c r="N31" i="4"/>
  <c r="M31" i="4"/>
  <c r="K31" i="4"/>
  <c r="L31" i="4"/>
  <c r="O30" i="4"/>
  <c r="N30" i="4"/>
  <c r="P30" i="4"/>
  <c r="M30" i="4"/>
  <c r="K30" i="4"/>
  <c r="L30" i="4"/>
  <c r="O29" i="4"/>
  <c r="P29" i="4" s="1"/>
  <c r="N29" i="4"/>
  <c r="M29" i="4"/>
  <c r="K29" i="4"/>
  <c r="L29" i="4"/>
  <c r="O28" i="4"/>
  <c r="N28" i="4"/>
  <c r="M28" i="4"/>
  <c r="K28" i="4"/>
  <c r="L28" i="4"/>
  <c r="O27" i="4"/>
  <c r="N27" i="4"/>
  <c r="M27" i="4"/>
  <c r="K27" i="4"/>
  <c r="L27" i="4"/>
  <c r="O26" i="4"/>
  <c r="N26" i="4"/>
  <c r="M26" i="4"/>
  <c r="P26" i="4" s="1"/>
  <c r="K26" i="4"/>
  <c r="L26" i="4"/>
  <c r="O25" i="4"/>
  <c r="N25" i="4"/>
  <c r="M25" i="4"/>
  <c r="K25" i="4"/>
  <c r="L25" i="4"/>
  <c r="O24" i="4"/>
  <c r="N24" i="4"/>
  <c r="P24" i="4" s="1"/>
  <c r="M24" i="4"/>
  <c r="K24" i="4"/>
  <c r="L24" i="4"/>
  <c r="O23" i="4"/>
  <c r="N23" i="4"/>
  <c r="M23" i="4"/>
  <c r="K23" i="4"/>
  <c r="L23" i="4"/>
  <c r="O22" i="4"/>
  <c r="N22" i="4"/>
  <c r="P22" i="4"/>
  <c r="M22" i="4"/>
  <c r="K22" i="4"/>
  <c r="L22" i="4"/>
  <c r="O21" i="4"/>
  <c r="P21" i="4" s="1"/>
  <c r="N21" i="4"/>
  <c r="M21" i="4"/>
  <c r="K21" i="4"/>
  <c r="L21" i="4"/>
  <c r="O20" i="4"/>
  <c r="N20" i="4"/>
  <c r="M20" i="4"/>
  <c r="P20" i="4" s="1"/>
  <c r="K20" i="4"/>
  <c r="L20" i="4"/>
  <c r="O19" i="4"/>
  <c r="N19" i="4"/>
  <c r="M19" i="4"/>
  <c r="P19" i="4" s="1"/>
  <c r="K19" i="4"/>
  <c r="L19" i="4"/>
  <c r="O18" i="4"/>
  <c r="N18" i="4"/>
  <c r="M18" i="4"/>
  <c r="K18" i="4"/>
  <c r="L18" i="4"/>
  <c r="O17" i="4"/>
  <c r="N17" i="4"/>
  <c r="M17" i="4"/>
  <c r="K17" i="4"/>
  <c r="L17" i="4"/>
  <c r="O16" i="4"/>
  <c r="N16" i="4"/>
  <c r="M16" i="4"/>
  <c r="P16" i="4" s="1"/>
  <c r="K16" i="4"/>
  <c r="L16" i="4"/>
  <c r="O15" i="4"/>
  <c r="N15" i="4"/>
  <c r="M15" i="4"/>
  <c r="K15" i="4"/>
  <c r="L15" i="4"/>
  <c r="O14" i="4"/>
  <c r="N14" i="4"/>
  <c r="M14" i="4"/>
  <c r="P14" i="4" s="1"/>
  <c r="K14" i="4"/>
  <c r="O13" i="4"/>
  <c r="N13" i="4"/>
  <c r="M13" i="4"/>
  <c r="L13" i="4"/>
  <c r="K13" i="4"/>
  <c r="C13" i="4"/>
  <c r="A2" i="4" s="1"/>
  <c r="H1" i="4"/>
  <c r="A34" i="3"/>
  <c r="B33" i="3"/>
  <c r="O25" i="3"/>
  <c r="N25" i="3"/>
  <c r="M25" i="3"/>
  <c r="L25" i="3"/>
  <c r="O23" i="3"/>
  <c r="N23" i="3"/>
  <c r="M23" i="3"/>
  <c r="L23" i="3"/>
  <c r="K23" i="3"/>
  <c r="O22" i="3"/>
  <c r="N22" i="3"/>
  <c r="L22" i="3"/>
  <c r="O21" i="3"/>
  <c r="N21" i="3"/>
  <c r="L21" i="3"/>
  <c r="O20" i="3"/>
  <c r="N20" i="3"/>
  <c r="M20" i="3"/>
  <c r="P20" i="3" s="1"/>
  <c r="L20" i="3"/>
  <c r="K20" i="3"/>
  <c r="O19" i="3"/>
  <c r="N19" i="3"/>
  <c r="M19" i="3"/>
  <c r="P19" i="3" s="1"/>
  <c r="L19" i="3"/>
  <c r="K19" i="3"/>
  <c r="O18" i="3"/>
  <c r="N18" i="3"/>
  <c r="L18" i="3"/>
  <c r="O17" i="3"/>
  <c r="N17" i="3"/>
  <c r="L17" i="3"/>
  <c r="O16" i="3"/>
  <c r="N16" i="3"/>
  <c r="M16" i="3"/>
  <c r="P16" i="3"/>
  <c r="L16" i="3"/>
  <c r="K16" i="3"/>
  <c r="O15" i="3"/>
  <c r="N15" i="3"/>
  <c r="P15" i="3" s="1"/>
  <c r="M15" i="3"/>
  <c r="L15" i="3"/>
  <c r="K15" i="3"/>
  <c r="O14" i="3"/>
  <c r="N14" i="3"/>
  <c r="L14" i="3"/>
  <c r="O13" i="3"/>
  <c r="N13" i="3"/>
  <c r="M13" i="3"/>
  <c r="P13" i="3" s="1"/>
  <c r="L13" i="3"/>
  <c r="K13" i="3"/>
  <c r="C13" i="3"/>
  <c r="A2" i="3"/>
  <c r="H1" i="3"/>
  <c r="O26" i="2"/>
  <c r="N26" i="2"/>
  <c r="M26" i="2"/>
  <c r="P26" i="2" s="1"/>
  <c r="L26" i="2"/>
  <c r="K26" i="2"/>
  <c r="O25" i="2"/>
  <c r="N25" i="2"/>
  <c r="M25" i="2"/>
  <c r="L25" i="2"/>
  <c r="K25" i="2"/>
  <c r="O24" i="2"/>
  <c r="N24" i="2"/>
  <c r="L24" i="2"/>
  <c r="O23" i="2"/>
  <c r="N23" i="2"/>
  <c r="L23" i="2"/>
  <c r="O22" i="2"/>
  <c r="N22" i="2"/>
  <c r="M22" i="2"/>
  <c r="P22" i="2" s="1"/>
  <c r="L22" i="2"/>
  <c r="K22" i="2"/>
  <c r="O21" i="2"/>
  <c r="N21" i="2"/>
  <c r="M21" i="2"/>
  <c r="P21" i="2" s="1"/>
  <c r="L21" i="2"/>
  <c r="K21" i="2"/>
  <c r="N20" i="2"/>
  <c r="M20" i="2"/>
  <c r="L20" i="2"/>
  <c r="N19" i="2"/>
  <c r="L19" i="2"/>
  <c r="N18" i="2"/>
  <c r="L18" i="2"/>
  <c r="O18" i="2"/>
  <c r="N17" i="2"/>
  <c r="L17" i="2"/>
  <c r="O16" i="2"/>
  <c r="N16" i="2"/>
  <c r="M16" i="2"/>
  <c r="P16" i="2" s="1"/>
  <c r="L16" i="2"/>
  <c r="K16" i="2"/>
  <c r="O15" i="2"/>
  <c r="P15" i="2" s="1"/>
  <c r="N15" i="2"/>
  <c r="M15" i="2"/>
  <c r="L15" i="2"/>
  <c r="N14" i="2"/>
  <c r="P14" i="2" s="1"/>
  <c r="L14" i="2"/>
  <c r="M14" i="2"/>
  <c r="O13" i="2"/>
  <c r="N13" i="2"/>
  <c r="N28" i="2" s="1"/>
  <c r="G21" i="1" s="1"/>
  <c r="M13" i="2"/>
  <c r="L13" i="2"/>
  <c r="K13" i="2"/>
  <c r="C13" i="2"/>
  <c r="A2" i="2" s="1"/>
  <c r="H1" i="2"/>
  <c r="P31" i="9"/>
  <c r="P45" i="9"/>
  <c r="P84" i="9"/>
  <c r="P94" i="9"/>
  <c r="P146" i="9"/>
  <c r="P215" i="9"/>
  <c r="P13" i="9"/>
  <c r="P15" i="9"/>
  <c r="P23" i="9"/>
  <c r="P35" i="9"/>
  <c r="P66" i="9"/>
  <c r="P87" i="9"/>
  <c r="P101" i="9"/>
  <c r="P124" i="9"/>
  <c r="P128" i="9"/>
  <c r="P38" i="9"/>
  <c r="P92" i="9"/>
  <c r="P96" i="9"/>
  <c r="P108" i="9"/>
  <c r="P133" i="9"/>
  <c r="P141" i="9"/>
  <c r="P182" i="9"/>
  <c r="P96" i="6"/>
  <c r="P205" i="6"/>
  <c r="P64" i="13"/>
  <c r="P52" i="13"/>
  <c r="P56" i="13"/>
  <c r="P73" i="13"/>
  <c r="P80" i="13"/>
  <c r="P68" i="13"/>
  <c r="P70" i="13"/>
  <c r="P72" i="13"/>
  <c r="P96" i="13"/>
  <c r="P49" i="13"/>
  <c r="P90" i="13"/>
  <c r="P26" i="13"/>
  <c r="P33" i="13"/>
  <c r="P41" i="13"/>
  <c r="P50" i="13"/>
  <c r="P65" i="13"/>
  <c r="P75" i="13"/>
  <c r="P91" i="13"/>
  <c r="P94" i="13"/>
  <c r="P61" i="13"/>
  <c r="P71" i="13"/>
  <c r="P93" i="13"/>
  <c r="P23" i="13"/>
  <c r="P27" i="13"/>
  <c r="P47" i="13"/>
  <c r="P53" i="13"/>
  <c r="P69" i="13"/>
  <c r="P79" i="13"/>
  <c r="P95" i="13"/>
  <c r="P15" i="12"/>
  <c r="P19" i="12"/>
  <c r="P27" i="12"/>
  <c r="P35" i="12"/>
  <c r="P39" i="12"/>
  <c r="P58" i="12"/>
  <c r="P74" i="12"/>
  <c r="P90" i="12"/>
  <c r="P36" i="11"/>
  <c r="P13" i="11"/>
  <c r="P62" i="11"/>
  <c r="P70" i="11"/>
  <c r="P23" i="11"/>
  <c r="P172" i="10"/>
  <c r="P118" i="10"/>
  <c r="P126" i="10"/>
  <c r="P162" i="10"/>
  <c r="N72" i="10"/>
  <c r="O72" i="10"/>
  <c r="O173" i="10"/>
  <c r="L72" i="10"/>
  <c r="M72" i="10"/>
  <c r="M173" i="10"/>
  <c r="P54" i="10"/>
  <c r="L173" i="10"/>
  <c r="N173" i="10"/>
  <c r="P173" i="10" s="1"/>
  <c r="P143" i="10"/>
  <c r="P60" i="9"/>
  <c r="P100" i="9"/>
  <c r="P116" i="9"/>
  <c r="P138" i="9"/>
  <c r="P145" i="9"/>
  <c r="P164" i="9"/>
  <c r="P183" i="9"/>
  <c r="P222" i="9"/>
  <c r="P40" i="9"/>
  <c r="P48" i="9"/>
  <c r="P70" i="9"/>
  <c r="P93" i="9"/>
  <c r="P149" i="9"/>
  <c r="P157" i="9"/>
  <c r="P225" i="9"/>
  <c r="M13" i="8"/>
  <c r="P33" i="8"/>
  <c r="P110" i="8"/>
  <c r="P162" i="8"/>
  <c r="P15" i="8"/>
  <c r="P31" i="8"/>
  <c r="P55" i="8"/>
  <c r="P63" i="8"/>
  <c r="P79" i="8"/>
  <c r="P83" i="8"/>
  <c r="P116" i="8"/>
  <c r="P152" i="8"/>
  <c r="P164" i="8"/>
  <c r="P92" i="8"/>
  <c r="P121" i="8"/>
  <c r="P137" i="8"/>
  <c r="P169" i="8"/>
  <c r="P177" i="8"/>
  <c r="P17" i="7"/>
  <c r="P81" i="7"/>
  <c r="P32" i="7"/>
  <c r="P48" i="7"/>
  <c r="P64" i="7"/>
  <c r="P104" i="7"/>
  <c r="P23" i="7"/>
  <c r="P31" i="7"/>
  <c r="P39" i="7"/>
  <c r="P106" i="7"/>
  <c r="P77" i="7"/>
  <c r="P85" i="7"/>
  <c r="P22" i="7"/>
  <c r="P38" i="7"/>
  <c r="P70" i="7"/>
  <c r="P102" i="7"/>
  <c r="P59" i="6"/>
  <c r="P200" i="6"/>
  <c r="P208" i="6"/>
  <c r="P286" i="6"/>
  <c r="P41" i="6"/>
  <c r="P280" i="6"/>
  <c r="P31" i="6"/>
  <c r="P151" i="6"/>
  <c r="P222" i="6"/>
  <c r="P242" i="6"/>
  <c r="P267" i="6"/>
  <c r="P292" i="6"/>
  <c r="P108" i="6"/>
  <c r="P164" i="6"/>
  <c r="P178" i="6"/>
  <c r="P312" i="6"/>
  <c r="P320" i="6"/>
  <c r="P27" i="4"/>
  <c r="P18" i="4"/>
  <c r="K17" i="3"/>
  <c r="M21" i="3"/>
  <c r="P21" i="3" s="1"/>
  <c r="O14" i="2"/>
  <c r="K17" i="2"/>
  <c r="K19" i="2"/>
  <c r="K23" i="2"/>
  <c r="M17" i="2"/>
  <c r="M19" i="2"/>
  <c r="P19" i="2" s="1"/>
  <c r="K20" i="2"/>
  <c r="K24" i="2"/>
  <c r="K18" i="3"/>
  <c r="P13" i="7"/>
  <c r="M18" i="2"/>
  <c r="P18" i="2" s="1"/>
  <c r="K14" i="3"/>
  <c r="K22" i="3"/>
  <c r="P28" i="4"/>
  <c r="P28" i="8"/>
  <c r="P32" i="8"/>
  <c r="P36" i="8"/>
  <c r="P40" i="8"/>
  <c r="P44" i="8"/>
  <c r="P48" i="8"/>
  <c r="P56" i="8"/>
  <c r="P64" i="8"/>
  <c r="P72" i="8"/>
  <c r="P80" i="8"/>
  <c r="P13" i="10"/>
  <c r="P15" i="11"/>
  <c r="P31" i="11"/>
  <c r="P35" i="11"/>
  <c r="P39" i="11"/>
  <c r="P43" i="11"/>
  <c r="P48" i="11"/>
  <c r="P56" i="11"/>
  <c r="P60" i="11"/>
  <c r="P64" i="11"/>
  <c r="P68" i="11"/>
  <c r="P72" i="11"/>
  <c r="P76" i="11"/>
  <c r="P82" i="11"/>
  <c r="P14" i="12"/>
  <c r="P26" i="12"/>
  <c r="P57" i="12"/>
  <c r="P73" i="12"/>
  <c r="P89" i="12"/>
  <c r="P13" i="13"/>
  <c r="P37" i="13"/>
  <c r="P18" i="11"/>
  <c r="P34" i="11"/>
  <c r="P51" i="11"/>
  <c r="P67" i="11"/>
  <c r="P16" i="12"/>
  <c r="P32" i="12"/>
  <c r="P43" i="12"/>
  <c r="P47" i="12"/>
  <c r="P55" i="12"/>
  <c r="P59" i="12"/>
  <c r="P71" i="12"/>
  <c r="P75" i="12"/>
  <c r="P83" i="12"/>
  <c r="P13" i="12"/>
  <c r="P21" i="12"/>
  <c r="P37" i="12"/>
  <c r="P68" i="12"/>
  <c r="P84" i="12"/>
  <c r="P24" i="13"/>
  <c r="P72" i="10"/>
  <c r="P46" i="5"/>
  <c r="P17" i="2"/>
  <c r="O28" i="2"/>
  <c r="H21" i="1" s="1"/>
  <c r="L28" i="2"/>
  <c r="I21" i="1" s="1"/>
  <c r="P25" i="2"/>
  <c r="P23" i="3"/>
  <c r="P26" i="3"/>
  <c r="P25" i="3"/>
  <c r="P27" i="3"/>
  <c r="P17" i="4"/>
  <c r="P25" i="4"/>
  <c r="P427" i="5"/>
  <c r="P423" i="5"/>
  <c r="P397" i="5"/>
  <c r="P392" i="5"/>
  <c r="P380" i="5"/>
  <c r="P369" i="5"/>
  <c r="P365" i="5"/>
  <c r="P339" i="5"/>
  <c r="P332" i="5"/>
  <c r="P324" i="5"/>
  <c r="P320" i="5"/>
  <c r="P318" i="5"/>
  <c r="P306" i="5"/>
  <c r="P290" i="5"/>
  <c r="P287" i="5"/>
  <c r="P246" i="5"/>
  <c r="P212" i="5"/>
  <c r="P154" i="5"/>
  <c r="P144" i="5"/>
  <c r="P137" i="5"/>
  <c r="P127" i="5"/>
  <c r="P72" i="5"/>
  <c r="P442" i="5"/>
  <c r="P435" i="5"/>
  <c r="P434" i="5"/>
  <c r="P390" i="5"/>
  <c r="P388" i="5"/>
  <c r="P383" i="5"/>
  <c r="P381" i="5"/>
  <c r="P379" i="5"/>
  <c r="P376" i="5"/>
  <c r="P366" i="5"/>
  <c r="P356" i="5"/>
  <c r="P347" i="5"/>
  <c r="P334" i="5"/>
  <c r="P329" i="5"/>
  <c r="P322" i="5"/>
  <c r="P315" i="5"/>
  <c r="P307" i="5"/>
  <c r="P295" i="5"/>
  <c r="P293" i="5"/>
  <c r="P291" i="5"/>
  <c r="P270" i="5"/>
  <c r="P265" i="5"/>
  <c r="P247" i="5"/>
  <c r="P220" i="5"/>
  <c r="P191" i="5"/>
  <c r="P183" i="5"/>
  <c r="P165" i="5"/>
  <c r="P161" i="5"/>
  <c r="P138" i="5"/>
  <c r="P89" i="5"/>
  <c r="P82" i="5"/>
  <c r="P63" i="5"/>
  <c r="P457" i="5"/>
  <c r="P433" i="5"/>
  <c r="P426" i="5"/>
  <c r="P413" i="5"/>
  <c r="P411" i="5"/>
  <c r="P405" i="5"/>
  <c r="P396" i="5"/>
  <c r="P394" i="5"/>
  <c r="P382" i="5"/>
  <c r="P373" i="5"/>
  <c r="P368" i="5"/>
  <c r="P364" i="5"/>
  <c r="P357" i="5"/>
  <c r="P337" i="5"/>
  <c r="P317" i="5"/>
  <c r="P305" i="5"/>
  <c r="P297" i="5"/>
  <c r="P289" i="5"/>
  <c r="P278" i="5"/>
  <c r="P273" i="5"/>
  <c r="P205" i="5"/>
  <c r="P181" i="5"/>
  <c r="P153" i="5"/>
  <c r="P101" i="5"/>
  <c r="P97" i="5"/>
  <c r="P87" i="5"/>
  <c r="P75" i="5"/>
  <c r="P71" i="5"/>
  <c r="P67" i="5"/>
  <c r="P64" i="5"/>
  <c r="P29" i="5"/>
  <c r="P399" i="5"/>
  <c r="P447" i="5"/>
  <c r="P47" i="6"/>
  <c r="P51" i="6"/>
  <c r="P165" i="6"/>
  <c r="P173" i="6"/>
  <c r="P176" i="6"/>
  <c r="P191" i="6"/>
  <c r="P247" i="6"/>
  <c r="P282" i="6"/>
  <c r="P283" i="6"/>
  <c r="P294" i="6"/>
  <c r="P297" i="6"/>
  <c r="P298" i="6"/>
  <c r="P302" i="6"/>
  <c r="P307" i="6"/>
  <c r="P19" i="6"/>
  <c r="P24" i="6"/>
  <c r="P42" i="6"/>
  <c r="P171" i="6"/>
  <c r="P239" i="6"/>
  <c r="P255" i="6"/>
  <c r="P64" i="6"/>
  <c r="P126" i="6"/>
  <c r="P139" i="6"/>
  <c r="P142" i="6"/>
  <c r="P146" i="6"/>
  <c r="P251" i="6"/>
  <c r="P317" i="6"/>
  <c r="P36" i="7"/>
  <c r="P59" i="7"/>
  <c r="P68" i="7"/>
  <c r="P75" i="7"/>
  <c r="P83" i="7"/>
  <c r="P92" i="7"/>
  <c r="P107" i="7"/>
  <c r="P91" i="8"/>
  <c r="P127" i="8"/>
  <c r="P163" i="8"/>
  <c r="P179" i="8"/>
  <c r="P132" i="8"/>
  <c r="P143" i="8"/>
  <c r="P103" i="8"/>
  <c r="P147" i="8"/>
  <c r="P232" i="9"/>
  <c r="P234" i="9"/>
  <c r="P244" i="9"/>
  <c r="P246" i="9"/>
  <c r="P255" i="9"/>
  <c r="P261" i="9"/>
  <c r="P262" i="9"/>
  <c r="P25" i="9"/>
  <c r="P194" i="9"/>
  <c r="P199" i="9"/>
  <c r="P56" i="9"/>
  <c r="P257" i="9"/>
  <c r="P264" i="9"/>
  <c r="P77" i="9"/>
  <c r="P243" i="9"/>
  <c r="P260" i="9"/>
  <c r="P198" i="9"/>
  <c r="P200" i="9"/>
  <c r="P160" i="10"/>
  <c r="P196" i="10"/>
  <c r="P171" i="10"/>
  <c r="P94" i="10"/>
  <c r="P245" i="10"/>
  <c r="P71" i="10"/>
  <c r="P166" i="10"/>
  <c r="P69" i="10"/>
  <c r="P121" i="10"/>
  <c r="P25" i="10"/>
  <c r="P147" i="10"/>
  <c r="P84" i="10"/>
  <c r="P29" i="10"/>
  <c r="P111" i="10"/>
  <c r="P225" i="10"/>
  <c r="P242" i="10"/>
  <c r="P81" i="10"/>
  <c r="P16" i="10"/>
  <c r="P167" i="10"/>
  <c r="P146" i="10"/>
  <c r="P28" i="10"/>
  <c r="P181" i="10"/>
  <c r="P19" i="10"/>
  <c r="P22" i="10"/>
  <c r="P50" i="10"/>
  <c r="P63" i="10"/>
  <c r="P68" i="10"/>
  <c r="P75" i="10"/>
  <c r="P207" i="10"/>
  <c r="P131" i="10"/>
  <c r="P120" i="10"/>
  <c r="P95" i="10"/>
  <c r="P144" i="10"/>
  <c r="P125" i="10"/>
  <c r="P201" i="10"/>
  <c r="P154" i="10"/>
  <c r="P136" i="10"/>
  <c r="P93" i="10"/>
  <c r="P21" i="10"/>
  <c r="P198" i="10"/>
  <c r="P168" i="10"/>
  <c r="P59" i="10"/>
  <c r="P216" i="10"/>
  <c r="P219" i="10"/>
  <c r="P192" i="10"/>
  <c r="P30" i="10"/>
  <c r="P14" i="11"/>
  <c r="P16" i="11"/>
  <c r="P19" i="13"/>
  <c r="P17" i="13"/>
  <c r="P18" i="13"/>
  <c r="P29" i="13"/>
  <c r="P40" i="13"/>
  <c r="P84" i="13"/>
  <c r="P92" i="13"/>
  <c r="P35" i="13"/>
  <c r="P35" i="14"/>
  <c r="P31" i="14"/>
  <c r="P39" i="14"/>
  <c r="P21" i="14"/>
  <c r="P24" i="2"/>
  <c r="O198" i="6"/>
  <c r="M198" i="6"/>
  <c r="L235" i="6"/>
  <c r="N235" i="6"/>
  <c r="O95" i="7"/>
  <c r="N95" i="7"/>
  <c r="M95" i="7"/>
  <c r="P95" i="7" s="1"/>
  <c r="M100" i="7"/>
  <c r="O100" i="7"/>
  <c r="L100" i="7"/>
  <c r="M49" i="8"/>
  <c r="P49" i="8" s="1"/>
  <c r="O49" i="8"/>
  <c r="L49" i="8"/>
  <c r="M106" i="8"/>
  <c r="P106" i="8" s="1"/>
  <c r="O106" i="8"/>
  <c r="L106" i="8"/>
  <c r="N166" i="8"/>
  <c r="M166" i="8"/>
  <c r="P166" i="8" s="1"/>
  <c r="E57" i="10"/>
  <c r="M57" i="10" s="1"/>
  <c r="P57" i="10" s="1"/>
  <c r="L185" i="10"/>
  <c r="M185" i="10"/>
  <c r="N185" i="10"/>
  <c r="O185" i="10"/>
  <c r="P13" i="8"/>
  <c r="P14" i="7"/>
  <c r="P73" i="6"/>
  <c r="N198" i="6"/>
  <c r="P233" i="6"/>
  <c r="O235" i="6"/>
  <c r="K250" i="6"/>
  <c r="P313" i="6"/>
  <c r="P35" i="7"/>
  <c r="P60" i="7"/>
  <c r="P76" i="7"/>
  <c r="P84" i="7"/>
  <c r="P99" i="7"/>
  <c r="N100" i="7"/>
  <c r="P18" i="3"/>
  <c r="P22" i="3"/>
  <c r="O92" i="6"/>
  <c r="M92" i="6"/>
  <c r="N140" i="6"/>
  <c r="P140" i="6" s="1"/>
  <c r="L140" i="6"/>
  <c r="N243" i="6"/>
  <c r="P243" i="6" s="1"/>
  <c r="L243" i="6"/>
  <c r="K72" i="7"/>
  <c r="N72" i="7"/>
  <c r="P72" i="7" s="1"/>
  <c r="K151" i="8"/>
  <c r="N151" i="8"/>
  <c r="P151" i="8"/>
  <c r="K152" i="9"/>
  <c r="N152" i="9"/>
  <c r="P152" i="9" s="1"/>
  <c r="M45" i="10"/>
  <c r="N45" i="10"/>
  <c r="O45" i="10"/>
  <c r="L45" i="10"/>
  <c r="P13" i="4"/>
  <c r="P209" i="6"/>
  <c r="P27" i="7"/>
  <c r="P67" i="7"/>
  <c r="L95" i="7"/>
  <c r="P90" i="8"/>
  <c r="P111" i="8"/>
  <c r="L166" i="8"/>
  <c r="P175" i="8"/>
  <c r="P23" i="2"/>
  <c r="L138" i="6"/>
  <c r="N138" i="6"/>
  <c r="P138" i="6" s="1"/>
  <c r="N51" i="7"/>
  <c r="M51" i="7"/>
  <c r="P51" i="7" s="1"/>
  <c r="K63" i="7"/>
  <c r="N63" i="7"/>
  <c r="P63" i="7" s="1"/>
  <c r="O113" i="8"/>
  <c r="L113" i="8"/>
  <c r="N113" i="8"/>
  <c r="N36" i="10"/>
  <c r="O36" i="10"/>
  <c r="L36" i="10"/>
  <c r="M36" i="10"/>
  <c r="N58" i="10"/>
  <c r="P58" i="10" s="1"/>
  <c r="K58" i="10"/>
  <c r="L74" i="10"/>
  <c r="N74" i="10"/>
  <c r="M74" i="10"/>
  <c r="O74" i="10"/>
  <c r="P74" i="10" s="1"/>
  <c r="P210" i="6"/>
  <c r="P321" i="6"/>
  <c r="P19" i="7"/>
  <c r="P20" i="7"/>
  <c r="N160" i="8"/>
  <c r="P160" i="8" s="1"/>
  <c r="P22" i="9"/>
  <c r="P14" i="3"/>
  <c r="M82" i="6"/>
  <c r="O82" i="6"/>
  <c r="M240" i="6"/>
  <c r="P240" i="6"/>
  <c r="O240" i="6"/>
  <c r="L98" i="7"/>
  <c r="O98" i="7"/>
  <c r="N98" i="7"/>
  <c r="P98" i="7" s="1"/>
  <c r="O47" i="8"/>
  <c r="L47" i="8"/>
  <c r="N47" i="8"/>
  <c r="P47" i="8" s="1"/>
  <c r="M47" i="8"/>
  <c r="N182" i="8"/>
  <c r="K182" i="8"/>
  <c r="L58" i="9"/>
  <c r="O58" i="9"/>
  <c r="N58" i="9"/>
  <c r="O34" i="10"/>
  <c r="O123" i="8"/>
  <c r="N123" i="8"/>
  <c r="L123" i="8"/>
  <c r="M123" i="8"/>
  <c r="E175" i="10"/>
  <c r="O175" i="10" s="1"/>
  <c r="K243" i="10"/>
  <c r="M243" i="10"/>
  <c r="P243" i="10" s="1"/>
  <c r="N230" i="10"/>
  <c r="O230" i="10"/>
  <c r="O211" i="10"/>
  <c r="E212" i="10"/>
  <c r="O22" i="14"/>
  <c r="P22" i="14" s="1"/>
  <c r="M22" i="14"/>
  <c r="L22" i="14"/>
  <c r="K248" i="9"/>
  <c r="N248" i="9"/>
  <c r="P248" i="9" s="1"/>
  <c r="O263" i="9"/>
  <c r="L263" i="9"/>
  <c r="M263" i="9"/>
  <c r="N263" i="9"/>
  <c r="N203" i="9"/>
  <c r="P203" i="9" s="1"/>
  <c r="K203" i="9"/>
  <c r="M393" i="5"/>
  <c r="N393" i="5"/>
  <c r="P393" i="5" s="1"/>
  <c r="O393" i="5"/>
  <c r="N342" i="5"/>
  <c r="O342" i="5"/>
  <c r="M342" i="5"/>
  <c r="P342" i="5" s="1"/>
  <c r="M267" i="5"/>
  <c r="P267" i="5" s="1"/>
  <c r="K267" i="5"/>
  <c r="L171" i="9"/>
  <c r="N63" i="12"/>
  <c r="M77" i="10"/>
  <c r="N119" i="10"/>
  <c r="M155" i="10"/>
  <c r="P155" i="10"/>
  <c r="L161" i="10"/>
  <c r="O70" i="10"/>
  <c r="P70" i="10" s="1"/>
  <c r="L179" i="10"/>
  <c r="O178" i="10"/>
  <c r="O137" i="10"/>
  <c r="L135" i="10"/>
  <c r="L169" i="10"/>
  <c r="M60" i="10"/>
  <c r="L54" i="10"/>
  <c r="N135" i="10"/>
  <c r="P135" i="10" s="1"/>
  <c r="E156" i="10"/>
  <c r="O77" i="10"/>
  <c r="O130" i="10"/>
  <c r="O199" i="10"/>
  <c r="N19" i="14"/>
  <c r="E90" i="6"/>
  <c r="E234" i="6"/>
  <c r="N234" i="6" s="1"/>
  <c r="E81" i="6"/>
  <c r="E151" i="9"/>
  <c r="E236" i="9"/>
  <c r="L48" i="10"/>
  <c r="O35" i="10"/>
  <c r="M133" i="10"/>
  <c r="P133" i="10" s="1"/>
  <c r="M119" i="10"/>
  <c r="N211" i="10"/>
  <c r="P211" i="10"/>
  <c r="K234" i="10"/>
  <c r="M161" i="10"/>
  <c r="P161" i="10" s="1"/>
  <c r="M82" i="10"/>
  <c r="P82" i="10" s="1"/>
  <c r="L56" i="10"/>
  <c r="L44" i="10"/>
  <c r="K19" i="10"/>
  <c r="O17" i="10"/>
  <c r="K219" i="10"/>
  <c r="M174" i="10"/>
  <c r="M137" i="10"/>
  <c r="P137" i="10" s="1"/>
  <c r="M48" i="10"/>
  <c r="M230" i="10"/>
  <c r="P230" i="10" s="1"/>
  <c r="M28" i="3"/>
  <c r="P28" i="3" s="1"/>
  <c r="L393" i="5"/>
  <c r="L347" i="5"/>
  <c r="E150" i="8"/>
  <c r="N150" i="8" s="1"/>
  <c r="M218" i="10"/>
  <c r="M247" i="10"/>
  <c r="P247" i="10" s="1"/>
  <c r="K247" i="10"/>
  <c r="K236" i="10"/>
  <c r="M236" i="10"/>
  <c r="P236" i="10" s="1"/>
  <c r="P265" i="9"/>
  <c r="M159" i="9"/>
  <c r="P159" i="9" s="1"/>
  <c r="K159" i="9"/>
  <c r="P192" i="9"/>
  <c r="O188" i="9"/>
  <c r="M188" i="9"/>
  <c r="L188" i="9"/>
  <c r="M190" i="9"/>
  <c r="P190" i="9" s="1"/>
  <c r="L190" i="9"/>
  <c r="N190" i="9"/>
  <c r="M428" i="5"/>
  <c r="N428" i="5"/>
  <c r="O428" i="5"/>
  <c r="P353" i="5"/>
  <c r="N313" i="5"/>
  <c r="O313" i="5"/>
  <c r="P313" i="5" s="1"/>
  <c r="M313" i="5"/>
  <c r="M226" i="5"/>
  <c r="O226" i="5"/>
  <c r="O92" i="5"/>
  <c r="N92" i="5"/>
  <c r="M92" i="5"/>
  <c r="M87" i="8"/>
  <c r="P87" i="8"/>
  <c r="M159" i="8"/>
  <c r="P159" i="8" s="1"/>
  <c r="M171" i="9"/>
  <c r="P171" i="9"/>
  <c r="K116" i="10"/>
  <c r="O179" i="10"/>
  <c r="P179" i="10"/>
  <c r="O214" i="10"/>
  <c r="O83" i="10"/>
  <c r="K127" i="10"/>
  <c r="E55" i="10"/>
  <c r="N77" i="10"/>
  <c r="M199" i="10"/>
  <c r="L184" i="10"/>
  <c r="M91" i="10"/>
  <c r="O48" i="10"/>
  <c r="N35" i="10"/>
  <c r="O91" i="10"/>
  <c r="E213" i="10"/>
  <c r="K68" i="10"/>
  <c r="O56" i="10"/>
  <c r="E49" i="10"/>
  <c r="O44" i="10"/>
  <c r="M195" i="10"/>
  <c r="P195" i="10"/>
  <c r="K22" i="10"/>
  <c r="K427" i="5"/>
  <c r="K347" i="5"/>
  <c r="K139" i="5"/>
  <c r="E226" i="6"/>
  <c r="E244" i="6"/>
  <c r="L244" i="6" s="1"/>
  <c r="E249" i="6"/>
  <c r="E258" i="6"/>
  <c r="N258" i="6" s="1"/>
  <c r="E158" i="10"/>
  <c r="K220" i="10"/>
  <c r="M223" i="10"/>
  <c r="P223" i="10"/>
  <c r="K223" i="10"/>
  <c r="M197" i="10"/>
  <c r="P197" i="10" s="1"/>
  <c r="K197" i="10"/>
  <c r="O265" i="9"/>
  <c r="L265" i="9"/>
  <c r="N265" i="9"/>
  <c r="P214" i="9"/>
  <c r="N188" i="9"/>
  <c r="E196" i="9"/>
  <c r="M195" i="9"/>
  <c r="L195" i="9"/>
  <c r="N195" i="9"/>
  <c r="M204" i="9"/>
  <c r="P204" i="9" s="1"/>
  <c r="K204" i="9"/>
  <c r="P213" i="9"/>
  <c r="M101" i="8"/>
  <c r="P101" i="8" s="1"/>
  <c r="K101" i="8"/>
  <c r="P395" i="5"/>
  <c r="P384" i="5"/>
  <c r="P350" i="5"/>
  <c r="P325" i="5"/>
  <c r="M271" i="5"/>
  <c r="P271" i="5"/>
  <c r="K271" i="5"/>
  <c r="N228" i="5"/>
  <c r="E230" i="5"/>
  <c r="O228" i="5"/>
  <c r="M228" i="5"/>
  <c r="E229" i="5"/>
  <c r="O229" i="5" s="1"/>
  <c r="L159" i="8"/>
  <c r="K138" i="10"/>
  <c r="M130" i="10"/>
  <c r="P130" i="10"/>
  <c r="M214" i="10"/>
  <c r="P214" i="10"/>
  <c r="M178" i="10"/>
  <c r="P178" i="10"/>
  <c r="M78" i="10"/>
  <c r="P78" i="10" s="1"/>
  <c r="N83" i="10"/>
  <c r="P83" i="10"/>
  <c r="E80" i="6"/>
  <c r="E91" i="6"/>
  <c r="N91" i="6" s="1"/>
  <c r="E101" i="7"/>
  <c r="L174" i="10"/>
  <c r="O184" i="10"/>
  <c r="P184" i="10"/>
  <c r="O174" i="10"/>
  <c r="L230" i="10"/>
  <c r="M56" i="10"/>
  <c r="P56" i="10" s="1"/>
  <c r="L211" i="10"/>
  <c r="N56" i="10"/>
  <c r="M44" i="10"/>
  <c r="P44" i="10"/>
  <c r="E46" i="10"/>
  <c r="M35" i="10"/>
  <c r="P35" i="10" s="1"/>
  <c r="O218" i="10"/>
  <c r="N22" i="14"/>
  <c r="L342" i="5"/>
  <c r="L237" i="10"/>
  <c r="N237" i="10"/>
  <c r="P237" i="10" s="1"/>
  <c r="M228" i="10"/>
  <c r="P228" i="10" s="1"/>
  <c r="M14" i="13"/>
  <c r="P14" i="13" s="1"/>
  <c r="K14" i="13"/>
  <c r="K261" i="9"/>
  <c r="P256" i="9"/>
  <c r="P267" i="9"/>
  <c r="M268" i="9"/>
  <c r="P268" i="9" s="1"/>
  <c r="K268" i="9"/>
  <c r="P187" i="9"/>
  <c r="P201" i="9"/>
  <c r="P102" i="8"/>
  <c r="P431" i="5"/>
  <c r="N400" i="5"/>
  <c r="O400" i="5"/>
  <c r="N361" i="5"/>
  <c r="O361" i="5"/>
  <c r="M361" i="5"/>
  <c r="P301" i="5"/>
  <c r="M223" i="5"/>
  <c r="N223" i="5"/>
  <c r="O223" i="5"/>
  <c r="P186" i="5"/>
  <c r="N173" i="5"/>
  <c r="O173" i="5"/>
  <c r="M173" i="5"/>
  <c r="P173" i="5" s="1"/>
  <c r="N170" i="10"/>
  <c r="P170" i="10"/>
  <c r="K33" i="9"/>
  <c r="M432" i="5"/>
  <c r="P432" i="5" s="1"/>
  <c r="N421" i="5"/>
  <c r="P421" i="5" s="1"/>
  <c r="O421" i="5"/>
  <c r="P415" i="5"/>
  <c r="P414" i="5"/>
  <c r="P401" i="5"/>
  <c r="M400" i="5"/>
  <c r="P400" i="5"/>
  <c r="P375" i="5"/>
  <c r="P374" i="5"/>
  <c r="P371" i="5"/>
  <c r="M362" i="5"/>
  <c r="N362" i="5"/>
  <c r="P355" i="5"/>
  <c r="N352" i="5"/>
  <c r="O352" i="5"/>
  <c r="P351" i="5"/>
  <c r="P349" i="5"/>
  <c r="M343" i="5"/>
  <c r="N343" i="5"/>
  <c r="P333" i="5"/>
  <c r="N323" i="5"/>
  <c r="P323" i="5"/>
  <c r="O323" i="5"/>
  <c r="M314" i="5"/>
  <c r="N314" i="5"/>
  <c r="P314" i="5" s="1"/>
  <c r="P303" i="5"/>
  <c r="P302" i="5"/>
  <c r="N300" i="5"/>
  <c r="O300" i="5"/>
  <c r="P300" i="5" s="1"/>
  <c r="E282" i="5"/>
  <c r="N281" i="5"/>
  <c r="P280" i="5"/>
  <c r="P279" i="5"/>
  <c r="P264" i="5"/>
  <c r="O249" i="5"/>
  <c r="N249" i="5"/>
  <c r="P249" i="5" s="1"/>
  <c r="E241" i="5"/>
  <c r="N240" i="5"/>
  <c r="O240" i="5"/>
  <c r="P208" i="5"/>
  <c r="P195" i="5"/>
  <c r="P190" i="5"/>
  <c r="P188" i="5"/>
  <c r="P158" i="5"/>
  <c r="N149" i="5"/>
  <c r="P149" i="5" s="1"/>
  <c r="O149" i="5"/>
  <c r="M142" i="5"/>
  <c r="N142" i="5"/>
  <c r="P142" i="5" s="1"/>
  <c r="O142" i="5"/>
  <c r="P116" i="5"/>
  <c r="P115" i="5"/>
  <c r="O110" i="5"/>
  <c r="M110" i="5"/>
  <c r="P110" i="5" s="1"/>
  <c r="N110" i="5"/>
  <c r="M107" i="5"/>
  <c r="P107" i="5" s="1"/>
  <c r="O107" i="5"/>
  <c r="N107" i="5"/>
  <c r="O96" i="5"/>
  <c r="M96" i="5"/>
  <c r="P96" i="5" s="1"/>
  <c r="N96" i="5"/>
  <c r="O83" i="5"/>
  <c r="N83" i="5"/>
  <c r="O28" i="5"/>
  <c r="P28" i="5" s="1"/>
  <c r="M28" i="5"/>
  <c r="N28" i="5"/>
  <c r="K439" i="5"/>
  <c r="M439" i="5"/>
  <c r="P439" i="5" s="1"/>
  <c r="P422" i="5"/>
  <c r="N416" i="5"/>
  <c r="P416" i="5"/>
  <c r="O416" i="5"/>
  <c r="P385" i="5"/>
  <c r="M377" i="5"/>
  <c r="P377" i="5" s="1"/>
  <c r="N377" i="5"/>
  <c r="M358" i="5"/>
  <c r="N358" i="5"/>
  <c r="P344" i="5"/>
  <c r="P326" i="5"/>
  <c r="P319" i="5"/>
  <c r="M281" i="5"/>
  <c r="P281" i="5" s="1"/>
  <c r="N250" i="5"/>
  <c r="O250" i="5"/>
  <c r="N225" i="5"/>
  <c r="E227" i="5"/>
  <c r="M227" i="5" s="1"/>
  <c r="O225" i="5"/>
  <c r="M225" i="5"/>
  <c r="P225" i="5" s="1"/>
  <c r="P209" i="5"/>
  <c r="N200" i="5"/>
  <c r="O200" i="5"/>
  <c r="P189" i="5"/>
  <c r="N170" i="5"/>
  <c r="O170" i="5"/>
  <c r="M170" i="5"/>
  <c r="M65" i="5"/>
  <c r="P65" i="5" s="1"/>
  <c r="O65" i="5"/>
  <c r="N65" i="5"/>
  <c r="P424" i="5"/>
  <c r="P420" i="5"/>
  <c r="P419" i="5"/>
  <c r="M409" i="5"/>
  <c r="N409" i="5"/>
  <c r="P407" i="5"/>
  <c r="P406" i="5"/>
  <c r="P403" i="5"/>
  <c r="P391" i="5"/>
  <c r="P387" i="5"/>
  <c r="P367" i="5"/>
  <c r="P360" i="5"/>
  <c r="N346" i="5"/>
  <c r="P346" i="5" s="1"/>
  <c r="O346" i="5"/>
  <c r="P341" i="5"/>
  <c r="M338" i="5"/>
  <c r="P338" i="5" s="1"/>
  <c r="N338" i="5"/>
  <c r="N328" i="5"/>
  <c r="P328" i="5"/>
  <c r="O328" i="5"/>
  <c r="P312" i="5"/>
  <c r="P311" i="5"/>
  <c r="M310" i="5"/>
  <c r="P310" i="5" s="1"/>
  <c r="N310" i="5"/>
  <c r="P308" i="5"/>
  <c r="P304" i="5"/>
  <c r="P298" i="5"/>
  <c r="M288" i="5"/>
  <c r="P288" i="5" s="1"/>
  <c r="N288" i="5"/>
  <c r="E285" i="5"/>
  <c r="N284" i="5"/>
  <c r="E286" i="5"/>
  <c r="M286" i="5" s="1"/>
  <c r="M275" i="5"/>
  <c r="N275" i="5"/>
  <c r="P272" i="5"/>
  <c r="M250" i="5"/>
  <c r="M248" i="5"/>
  <c r="E244" i="5"/>
  <c r="N244" i="5" s="1"/>
  <c r="N243" i="5"/>
  <c r="O243" i="5"/>
  <c r="P204" i="5"/>
  <c r="M192" i="5"/>
  <c r="N192" i="5"/>
  <c r="P135" i="5"/>
  <c r="P35" i="5"/>
  <c r="P22" i="5"/>
  <c r="O451" i="5"/>
  <c r="M451" i="5"/>
  <c r="P451" i="5" s="1"/>
  <c r="N451" i="5"/>
  <c r="E452" i="5"/>
  <c r="L451" i="5"/>
  <c r="N258" i="5"/>
  <c r="P258" i="5" s="1"/>
  <c r="E260" i="5"/>
  <c r="N255" i="5"/>
  <c r="P255" i="5" s="1"/>
  <c r="E257" i="5"/>
  <c r="N253" i="5"/>
  <c r="M252" i="5"/>
  <c r="M251" i="5"/>
  <c r="P251" i="5"/>
  <c r="P219" i="5"/>
  <c r="N215" i="5"/>
  <c r="O215" i="5"/>
  <c r="M213" i="5"/>
  <c r="N213" i="5"/>
  <c r="P203" i="5"/>
  <c r="N196" i="5"/>
  <c r="O196" i="5"/>
  <c r="P187" i="5"/>
  <c r="P182" i="5"/>
  <c r="P172" i="5"/>
  <c r="M162" i="5"/>
  <c r="P162" i="5"/>
  <c r="N162" i="5"/>
  <c r="P152" i="5"/>
  <c r="N145" i="5"/>
  <c r="P145" i="5"/>
  <c r="O145" i="5"/>
  <c r="E126" i="5"/>
  <c r="N125" i="5"/>
  <c r="O125" i="5"/>
  <c r="P125" i="5" s="1"/>
  <c r="P124" i="5"/>
  <c r="P123" i="5"/>
  <c r="P117" i="5"/>
  <c r="M98" i="5"/>
  <c r="P98" i="5" s="1"/>
  <c r="O98" i="5"/>
  <c r="N98" i="5"/>
  <c r="P437" i="5"/>
  <c r="N222" i="5"/>
  <c r="O222" i="5"/>
  <c r="P218" i="5"/>
  <c r="P198" i="5"/>
  <c r="M197" i="5"/>
  <c r="P197" i="5"/>
  <c r="N197" i="5"/>
  <c r="N177" i="5"/>
  <c r="P177" i="5" s="1"/>
  <c r="O177" i="5"/>
  <c r="P169" i="5"/>
  <c r="P168" i="5"/>
  <c r="P164" i="5"/>
  <c r="P147" i="5"/>
  <c r="M146" i="5"/>
  <c r="P146" i="5" s="1"/>
  <c r="N146" i="5"/>
  <c r="N141" i="5"/>
  <c r="P141" i="5"/>
  <c r="O141" i="5"/>
  <c r="P140" i="5"/>
  <c r="P136" i="5"/>
  <c r="E133" i="5"/>
  <c r="M133" i="5" s="1"/>
  <c r="N132" i="5"/>
  <c r="P132" i="5" s="1"/>
  <c r="E134" i="5"/>
  <c r="E130" i="5"/>
  <c r="N130" i="5" s="1"/>
  <c r="N129" i="5"/>
  <c r="E131" i="5"/>
  <c r="P122" i="5"/>
  <c r="N68" i="5"/>
  <c r="M68" i="5"/>
  <c r="P68" i="5"/>
  <c r="O68" i="5"/>
  <c r="P44" i="5"/>
  <c r="P40" i="5"/>
  <c r="E34" i="5"/>
  <c r="N33" i="5"/>
  <c r="O33" i="5"/>
  <c r="E21" i="5"/>
  <c r="N20" i="5"/>
  <c r="O20" i="5"/>
  <c r="P19" i="5"/>
  <c r="P18" i="5"/>
  <c r="P100" i="5"/>
  <c r="P103" i="5"/>
  <c r="P102" i="5"/>
  <c r="P93" i="5"/>
  <c r="P88" i="5"/>
  <c r="M33" i="5"/>
  <c r="P33" i="5" s="1"/>
  <c r="O25" i="5"/>
  <c r="P25" i="5" s="1"/>
  <c r="M25" i="5"/>
  <c r="N25" i="5"/>
  <c r="M20" i="5"/>
  <c r="P17" i="5"/>
  <c r="P85" i="5"/>
  <c r="P450" i="5"/>
  <c r="N106" i="5"/>
  <c r="O106" i="5"/>
  <c r="P106" i="5" s="1"/>
  <c r="P105" i="5"/>
  <c r="P104" i="5"/>
  <c r="P95" i="5"/>
  <c r="P94" i="5"/>
  <c r="N84" i="5"/>
  <c r="P84" i="5" s="1"/>
  <c r="O84" i="5"/>
  <c r="P70" i="5"/>
  <c r="M69" i="5"/>
  <c r="N69" i="5"/>
  <c r="P69" i="5" s="1"/>
  <c r="O69" i="5"/>
  <c r="P56" i="5"/>
  <c r="P42" i="5"/>
  <c r="P73" i="5"/>
  <c r="O47" i="5"/>
  <c r="P47" i="5" s="1"/>
  <c r="M440" i="5"/>
  <c r="P440" i="5" s="1"/>
  <c r="K440" i="5"/>
  <c r="M61" i="5"/>
  <c r="P59" i="5"/>
  <c r="M443" i="5"/>
  <c r="M446" i="5"/>
  <c r="P446" i="5" s="1"/>
  <c r="K446" i="5"/>
  <c r="M454" i="5"/>
  <c r="K454" i="5"/>
  <c r="P250" i="5"/>
  <c r="P83" i="5"/>
  <c r="P361" i="5"/>
  <c r="P170" i="5"/>
  <c r="P92" i="5"/>
  <c r="P92" i="6"/>
  <c r="P199" i="10"/>
  <c r="P45" i="10"/>
  <c r="M229" i="5"/>
  <c r="N159" i="10"/>
  <c r="P159" i="10" s="1"/>
  <c r="K159" i="10"/>
  <c r="P19" i="14"/>
  <c r="N49" i="5"/>
  <c r="P49" i="5" s="1"/>
  <c r="K49" i="5"/>
  <c r="L133" i="5"/>
  <c r="P213" i="5"/>
  <c r="M257" i="5"/>
  <c r="N257" i="5"/>
  <c r="P257" i="5" s="1"/>
  <c r="O257" i="5"/>
  <c r="L257" i="5"/>
  <c r="P192" i="5"/>
  <c r="N241" i="5"/>
  <c r="P241" i="5" s="1"/>
  <c r="O241" i="5"/>
  <c r="M241" i="5"/>
  <c r="L241" i="5"/>
  <c r="M282" i="5"/>
  <c r="N282" i="5"/>
  <c r="O282" i="5"/>
  <c r="L282" i="5"/>
  <c r="N57" i="10"/>
  <c r="O57" i="10"/>
  <c r="L57" i="10"/>
  <c r="O101" i="7"/>
  <c r="P101" i="7" s="1"/>
  <c r="L101" i="7"/>
  <c r="N101" i="7"/>
  <c r="M101" i="7"/>
  <c r="P228" i="5"/>
  <c r="K281" i="6"/>
  <c r="N281" i="6"/>
  <c r="P281" i="6" s="1"/>
  <c r="N241" i="6"/>
  <c r="P241" i="6" s="1"/>
  <c r="K241" i="6"/>
  <c r="K107" i="8"/>
  <c r="N107" i="8"/>
  <c r="P107" i="8"/>
  <c r="P48" i="10"/>
  <c r="P119" i="10"/>
  <c r="N81" i="6"/>
  <c r="P81" i="6" s="1"/>
  <c r="L81" i="6"/>
  <c r="O81" i="6"/>
  <c r="M81" i="6"/>
  <c r="P77" i="10"/>
  <c r="N175" i="10"/>
  <c r="P17" i="10"/>
  <c r="P185" i="10"/>
  <c r="O286" i="5"/>
  <c r="L286" i="5"/>
  <c r="O49" i="10"/>
  <c r="L49" i="10"/>
  <c r="M49" i="10"/>
  <c r="N49" i="10"/>
  <c r="N55" i="10"/>
  <c r="O55" i="10"/>
  <c r="M55" i="10"/>
  <c r="L55" i="10"/>
  <c r="O130" i="5"/>
  <c r="P196" i="5"/>
  <c r="P275" i="5"/>
  <c r="M285" i="5"/>
  <c r="O285" i="5"/>
  <c r="L285" i="5"/>
  <c r="N285" i="5"/>
  <c r="P409" i="5"/>
  <c r="O227" i="5"/>
  <c r="P358" i="5"/>
  <c r="P223" i="5"/>
  <c r="L46" i="10"/>
  <c r="M46" i="10"/>
  <c r="N46" i="10"/>
  <c r="N156" i="10"/>
  <c r="P156" i="10" s="1"/>
  <c r="N158" i="10"/>
  <c r="N176" i="10"/>
  <c r="N212" i="10"/>
  <c r="N213" i="10"/>
  <c r="O46" i="10"/>
  <c r="O91" i="6"/>
  <c r="P195" i="9"/>
  <c r="O226" i="6"/>
  <c r="P226" i="6" s="1"/>
  <c r="M226" i="6"/>
  <c r="L226" i="6"/>
  <c r="N226" i="6"/>
  <c r="K59" i="9"/>
  <c r="N59" i="9"/>
  <c r="P59" i="9" s="1"/>
  <c r="P428" i="5"/>
  <c r="K167" i="8"/>
  <c r="N167" i="8"/>
  <c r="P167" i="8" s="1"/>
  <c r="O234" i="6"/>
  <c r="K176" i="10"/>
  <c r="P36" i="10"/>
  <c r="P113" i="8"/>
  <c r="P20" i="5"/>
  <c r="O131" i="5"/>
  <c r="P131" i="5" s="1"/>
  <c r="M131" i="5"/>
  <c r="N131" i="5"/>
  <c r="L131" i="5"/>
  <c r="N143" i="5"/>
  <c r="P143" i="5" s="1"/>
  <c r="K143" i="5"/>
  <c r="K52" i="7"/>
  <c r="N52" i="7"/>
  <c r="M196" i="9"/>
  <c r="L196" i="9"/>
  <c r="N196" i="9"/>
  <c r="O196" i="9"/>
  <c r="M244" i="6"/>
  <c r="O244" i="6"/>
  <c r="N244" i="6"/>
  <c r="N114" i="8"/>
  <c r="P114" i="8" s="1"/>
  <c r="K114" i="8"/>
  <c r="M151" i="9"/>
  <c r="L151" i="9"/>
  <c r="O151" i="9"/>
  <c r="N151" i="9"/>
  <c r="P151" i="9" s="1"/>
  <c r="O156" i="10"/>
  <c r="M156" i="10"/>
  <c r="L156" i="10"/>
  <c r="N174" i="5"/>
  <c r="P174" i="5" s="1"/>
  <c r="K174" i="5"/>
  <c r="N21" i="5"/>
  <c r="O21" i="5"/>
  <c r="M21" i="5"/>
  <c r="L21" i="5"/>
  <c r="N34" i="5"/>
  <c r="O34" i="5"/>
  <c r="P34" i="5" s="1"/>
  <c r="M34" i="5"/>
  <c r="L34" i="5"/>
  <c r="O134" i="5"/>
  <c r="M134" i="5"/>
  <c r="P134" i="5" s="1"/>
  <c r="N134" i="5"/>
  <c r="L134" i="5"/>
  <c r="N126" i="5"/>
  <c r="O126" i="5"/>
  <c r="L126" i="5"/>
  <c r="M126" i="5"/>
  <c r="M260" i="5"/>
  <c r="N260" i="5"/>
  <c r="O260" i="5"/>
  <c r="L260" i="5"/>
  <c r="N452" i="5"/>
  <c r="O452" i="5"/>
  <c r="L452" i="5"/>
  <c r="M452" i="5"/>
  <c r="N453" i="5"/>
  <c r="P453" i="5" s="1"/>
  <c r="K453" i="5"/>
  <c r="L244" i="5"/>
  <c r="N283" i="5"/>
  <c r="P283" i="5"/>
  <c r="K283" i="5"/>
  <c r="O80" i="6"/>
  <c r="M80" i="6"/>
  <c r="N80" i="6"/>
  <c r="L80" i="6"/>
  <c r="O230" i="5"/>
  <c r="N230" i="5"/>
  <c r="L230" i="5"/>
  <c r="M230" i="5"/>
  <c r="N197" i="9"/>
  <c r="P197" i="9" s="1"/>
  <c r="K197" i="9"/>
  <c r="L158" i="10"/>
  <c r="M158" i="10"/>
  <c r="P158" i="10" s="1"/>
  <c r="O158" i="10"/>
  <c r="M249" i="6"/>
  <c r="O249" i="6"/>
  <c r="L249" i="6"/>
  <c r="N249" i="6"/>
  <c r="L213" i="10"/>
  <c r="O213" i="10"/>
  <c r="M213" i="10"/>
  <c r="P213" i="10" s="1"/>
  <c r="P91" i="10"/>
  <c r="P188" i="9"/>
  <c r="P174" i="10"/>
  <c r="N236" i="9"/>
  <c r="M236" i="9"/>
  <c r="P236" i="9" s="1"/>
  <c r="O236" i="9"/>
  <c r="L236" i="9"/>
  <c r="M90" i="6"/>
  <c r="O90" i="6"/>
  <c r="L90" i="6"/>
  <c r="N90" i="6"/>
  <c r="P263" i="9"/>
  <c r="O212" i="10"/>
  <c r="L212" i="10"/>
  <c r="M212" i="10"/>
  <c r="P123" i="8"/>
  <c r="P58" i="9"/>
  <c r="P100" i="7"/>
  <c r="P198" i="6"/>
  <c r="P196" i="9"/>
  <c r="P212" i="10"/>
  <c r="P260" i="5"/>
  <c r="P230" i="5"/>
  <c r="P452" i="5"/>
  <c r="P126" i="5"/>
  <c r="P46" i="10"/>
  <c r="P285" i="5"/>
  <c r="P282" i="5"/>
  <c r="P21" i="5"/>
  <c r="P55" i="10"/>
  <c r="P49" i="10"/>
  <c r="H13" i="1"/>
  <c r="L48" i="5" l="1"/>
  <c r="O48" i="5"/>
  <c r="M48" i="5"/>
  <c r="P37" i="5"/>
  <c r="N52" i="11"/>
  <c r="L52" i="11"/>
  <c r="M81" i="11"/>
  <c r="P81" i="11" s="1"/>
  <c r="L81" i="11"/>
  <c r="P229" i="5"/>
  <c r="P362" i="5"/>
  <c r="N30" i="3"/>
  <c r="N31" i="3"/>
  <c r="G22" i="1" s="1"/>
  <c r="L149" i="10"/>
  <c r="E150" i="10"/>
  <c r="O149" i="10"/>
  <c r="M149" i="10"/>
  <c r="P149" i="10" s="1"/>
  <c r="N149" i="10"/>
  <c r="P90" i="6"/>
  <c r="P249" i="6"/>
  <c r="M244" i="5"/>
  <c r="O258" i="6"/>
  <c r="L227" i="5"/>
  <c r="M130" i="5"/>
  <c r="P130" i="5" s="1"/>
  <c r="N286" i="5"/>
  <c r="P286" i="5" s="1"/>
  <c r="M175" i="10"/>
  <c r="P175" i="10" s="1"/>
  <c r="M29" i="3"/>
  <c r="M31" i="3" s="1"/>
  <c r="F22" i="1" s="1"/>
  <c r="M98" i="13"/>
  <c r="F32" i="1" s="1"/>
  <c r="N133" i="5"/>
  <c r="P133" i="5" s="1"/>
  <c r="L229" i="5"/>
  <c r="M33" i="10"/>
  <c r="N34" i="10"/>
  <c r="M24" i="3"/>
  <c r="P24" i="3" s="1"/>
  <c r="P29" i="3" s="1"/>
  <c r="N38" i="4"/>
  <c r="N40" i="4" s="1"/>
  <c r="G23" i="1" s="1"/>
  <c r="P23" i="4"/>
  <c r="P21" i="6"/>
  <c r="P49" i="6"/>
  <c r="P105" i="6"/>
  <c r="P34" i="7"/>
  <c r="P62" i="7"/>
  <c r="P108" i="7"/>
  <c r="P21" i="8"/>
  <c r="P30" i="8"/>
  <c r="P37" i="8"/>
  <c r="P78" i="8"/>
  <c r="P122" i="8"/>
  <c r="P28" i="9"/>
  <c r="P43" i="9"/>
  <c r="P65" i="9"/>
  <c r="P82" i="9"/>
  <c r="P89" i="9"/>
  <c r="P114" i="9"/>
  <c r="P136" i="9"/>
  <c r="P143" i="9"/>
  <c r="P221" i="9"/>
  <c r="P228" i="9"/>
  <c r="P33" i="11"/>
  <c r="O24" i="3"/>
  <c r="L24" i="3"/>
  <c r="N238" i="10"/>
  <c r="M238" i="10"/>
  <c r="L238" i="10"/>
  <c r="O205" i="10"/>
  <c r="M205" i="10"/>
  <c r="P205" i="10" s="1"/>
  <c r="L205" i="10"/>
  <c r="N205" i="10"/>
  <c r="M65" i="10"/>
  <c r="N65" i="10"/>
  <c r="E66" i="10"/>
  <c r="O65" i="10"/>
  <c r="M110" i="7"/>
  <c r="F26" i="1" s="1"/>
  <c r="L150" i="8"/>
  <c r="M150" i="8"/>
  <c r="O244" i="5"/>
  <c r="N95" i="12"/>
  <c r="G31" i="1" s="1"/>
  <c r="N227" i="5"/>
  <c r="P227" i="5" s="1"/>
  <c r="L130" i="5"/>
  <c r="L175" i="10"/>
  <c r="O133" i="5"/>
  <c r="N229" i="5"/>
  <c r="O33" i="10"/>
  <c r="L33" i="10"/>
  <c r="M34" i="10"/>
  <c r="P34" i="10" s="1"/>
  <c r="M38" i="4"/>
  <c r="M40" i="4" s="1"/>
  <c r="F23" i="1" s="1"/>
  <c r="M28" i="2"/>
  <c r="F21" i="1" s="1"/>
  <c r="O29" i="3"/>
  <c r="O38" i="4"/>
  <c r="P15" i="4"/>
  <c r="P38" i="4" s="1"/>
  <c r="P31" i="4"/>
  <c r="P21" i="7"/>
  <c r="P54" i="7"/>
  <c r="P65" i="7"/>
  <c r="P74" i="7"/>
  <c r="P89" i="7"/>
  <c r="P93" i="7"/>
  <c r="P18" i="8"/>
  <c r="P38" i="8"/>
  <c r="P50" i="8"/>
  <c r="P104" i="8"/>
  <c r="P138" i="8"/>
  <c r="P153" i="8"/>
  <c r="P29" i="9"/>
  <c r="P51" i="9"/>
  <c r="P73" i="9"/>
  <c r="P90" i="9"/>
  <c r="P122" i="9"/>
  <c r="P130" i="9"/>
  <c r="P161" i="9"/>
  <c r="P167" i="9"/>
  <c r="P174" i="9"/>
  <c r="P210" i="9"/>
  <c r="P218" i="9"/>
  <c r="P15" i="10"/>
  <c r="P26" i="11"/>
  <c r="P246" i="10"/>
  <c r="O63" i="12"/>
  <c r="M63" i="12"/>
  <c r="M220" i="10"/>
  <c r="N220" i="10"/>
  <c r="L220" i="10"/>
  <c r="O220" i="10"/>
  <c r="N242" i="9"/>
  <c r="L242" i="9"/>
  <c r="O242" i="9"/>
  <c r="M242" i="9"/>
  <c r="E456" i="5"/>
  <c r="N454" i="5"/>
  <c r="P454" i="5" s="1"/>
  <c r="O454" i="5"/>
  <c r="E455" i="5"/>
  <c r="L454" i="5"/>
  <c r="O150" i="8"/>
  <c r="P80" i="6"/>
  <c r="L63" i="12"/>
  <c r="M95" i="12"/>
  <c r="F31" i="1" s="1"/>
  <c r="P13" i="2"/>
  <c r="P28" i="2" s="1"/>
  <c r="L29" i="3"/>
  <c r="L31" i="3" s="1"/>
  <c r="I22" i="1" s="1"/>
  <c r="L38" i="4"/>
  <c r="L40" i="4" s="1"/>
  <c r="I23" i="1" s="1"/>
  <c r="P153" i="6"/>
  <c r="P156" i="6"/>
  <c r="P295" i="6"/>
  <c r="P29" i="7"/>
  <c r="P45" i="7"/>
  <c r="P82" i="7"/>
  <c r="P58" i="8"/>
  <c r="P66" i="8"/>
  <c r="P86" i="8"/>
  <c r="P89" i="8"/>
  <c r="P120" i="8"/>
  <c r="P126" i="8"/>
  <c r="P145" i="8"/>
  <c r="P173" i="8"/>
  <c r="P18" i="9"/>
  <c r="P61" i="9"/>
  <c r="P79" i="9"/>
  <c r="P105" i="9"/>
  <c r="P111" i="9"/>
  <c r="P154" i="9"/>
  <c r="L103" i="7"/>
  <c r="L110" i="7" s="1"/>
  <c r="I26" i="1" s="1"/>
  <c r="O103" i="7"/>
  <c r="O110" i="7" s="1"/>
  <c r="H26" i="1" s="1"/>
  <c r="N103" i="7"/>
  <c r="N61" i="10"/>
  <c r="O61" i="10"/>
  <c r="L61" i="10"/>
  <c r="M61" i="10"/>
  <c r="P141" i="10"/>
  <c r="N33" i="10"/>
  <c r="P139" i="10"/>
  <c r="L65" i="10"/>
  <c r="P233" i="10"/>
  <c r="P13" i="6"/>
  <c r="P61" i="6"/>
  <c r="P79" i="6"/>
  <c r="P93" i="6"/>
  <c r="P103" i="6"/>
  <c r="P106" i="6"/>
  <c r="P110" i="6"/>
  <c r="P115" i="6"/>
  <c r="P152" i="6"/>
  <c r="P157" i="6"/>
  <c r="P167" i="6"/>
  <c r="P179" i="6"/>
  <c r="P181" i="6"/>
  <c r="P196" i="6"/>
  <c r="P215" i="6"/>
  <c r="P223" i="6"/>
  <c r="P230" i="6"/>
  <c r="P235" i="6"/>
  <c r="P237" i="6"/>
  <c r="P245" i="6"/>
  <c r="P252" i="6"/>
  <c r="P262" i="6"/>
  <c r="P276" i="6"/>
  <c r="P315" i="6"/>
  <c r="P318" i="6"/>
  <c r="P65" i="11"/>
  <c r="P77" i="11"/>
  <c r="P79" i="11"/>
  <c r="P25" i="12"/>
  <c r="P53" i="12"/>
  <c r="O98" i="13"/>
  <c r="H32" i="1" s="1"/>
  <c r="P58" i="13"/>
  <c r="P77" i="13"/>
  <c r="P114" i="10"/>
  <c r="M51" i="10"/>
  <c r="L51" i="10"/>
  <c r="N51" i="10"/>
  <c r="O51" i="10"/>
  <c r="M115" i="10"/>
  <c r="N115" i="10"/>
  <c r="O115" i="10"/>
  <c r="E124" i="10"/>
  <c r="O123" i="10"/>
  <c r="L123" i="10"/>
  <c r="L129" i="10"/>
  <c r="N129" i="10"/>
  <c r="M129" i="10"/>
  <c r="O129" i="10"/>
  <c r="P183" i="10"/>
  <c r="P17" i="6"/>
  <c r="P20" i="6"/>
  <c r="P32" i="6"/>
  <c r="P44" i="6"/>
  <c r="P48" i="6"/>
  <c r="P57" i="6"/>
  <c r="P58" i="6"/>
  <c r="P83" i="6"/>
  <c r="P99" i="6"/>
  <c r="P100" i="6"/>
  <c r="P102" i="6"/>
  <c r="P107" i="6"/>
  <c r="P120" i="6"/>
  <c r="P123" i="6"/>
  <c r="P125" i="6"/>
  <c r="P129" i="6"/>
  <c r="P132" i="6"/>
  <c r="P197" i="6"/>
  <c r="P204" i="6"/>
  <c r="P217" i="6"/>
  <c r="P227" i="6"/>
  <c r="P228" i="6"/>
  <c r="P261" i="6"/>
  <c r="P263" i="6"/>
  <c r="P290" i="6"/>
  <c r="P42" i="11"/>
  <c r="P50" i="11"/>
  <c r="P40" i="12"/>
  <c r="P21" i="13"/>
  <c r="P98" i="13" s="1"/>
  <c r="P31" i="13"/>
  <c r="P63" i="13"/>
  <c r="P188" i="10"/>
  <c r="L214" i="10"/>
  <c r="O60" i="10"/>
  <c r="P60" i="10" s="1"/>
  <c r="L60" i="10"/>
  <c r="P241" i="10"/>
  <c r="P187" i="10"/>
  <c r="N169" i="10"/>
  <c r="P169" i="10" s="1"/>
  <c r="O169" i="10"/>
  <c r="P123" i="10"/>
  <c r="P28" i="6"/>
  <c r="P36" i="6"/>
  <c r="P39" i="6"/>
  <c r="P45" i="6"/>
  <c r="P46" i="6"/>
  <c r="P65" i="6"/>
  <c r="P66" i="6"/>
  <c r="P82" i="6"/>
  <c r="P89" i="6"/>
  <c r="P104" i="6"/>
  <c r="P111" i="6"/>
  <c r="P127" i="6"/>
  <c r="P154" i="6"/>
  <c r="P159" i="6"/>
  <c r="P188" i="6"/>
  <c r="P194" i="6"/>
  <c r="P195" i="6"/>
  <c r="P213" i="6"/>
  <c r="P229" i="6"/>
  <c r="P246" i="6"/>
  <c r="P250" i="6"/>
  <c r="P268" i="6"/>
  <c r="P275" i="6"/>
  <c r="P301" i="6"/>
  <c r="P305" i="6"/>
  <c r="P316" i="6"/>
  <c r="P38" i="11"/>
  <c r="P57" i="11"/>
  <c r="P73" i="11"/>
  <c r="P66" i="12"/>
  <c r="N98" i="13"/>
  <c r="G32" i="1" s="1"/>
  <c r="O113" i="10"/>
  <c r="P113" i="10" s="1"/>
  <c r="L113" i="10"/>
  <c r="O88" i="10"/>
  <c r="L88" i="10"/>
  <c r="M88" i="10"/>
  <c r="P88" i="10" s="1"/>
  <c r="E89" i="10"/>
  <c r="P145" i="10"/>
  <c r="M378" i="5"/>
  <c r="N378" i="5"/>
  <c r="L378" i="5"/>
  <c r="O378" i="5"/>
  <c r="E20" i="8"/>
  <c r="E23" i="8"/>
  <c r="E38" i="10"/>
  <c r="E39" i="10"/>
  <c r="O224" i="10"/>
  <c r="M224" i="10"/>
  <c r="P224" i="10" s="1"/>
  <c r="L224" i="10"/>
  <c r="P241" i="9"/>
  <c r="M202" i="9"/>
  <c r="N202" i="9"/>
  <c r="N271" i="9" s="1"/>
  <c r="G28" i="1" s="1"/>
  <c r="O202" i="9"/>
  <c r="O271" i="9" s="1"/>
  <c r="H28" i="1" s="1"/>
  <c r="M410" i="5"/>
  <c r="N410" i="5"/>
  <c r="P408" i="5"/>
  <c r="O362" i="5"/>
  <c r="L362" i="5"/>
  <c r="N321" i="5"/>
  <c r="O321" i="5"/>
  <c r="M321" i="5"/>
  <c r="L321" i="5"/>
  <c r="M222" i="5"/>
  <c r="P222" i="5" s="1"/>
  <c r="L222" i="5"/>
  <c r="N206" i="5"/>
  <c r="O206" i="5"/>
  <c r="M206" i="5"/>
  <c r="P206" i="5" s="1"/>
  <c r="E207" i="5"/>
  <c r="L206" i="5"/>
  <c r="M200" i="5"/>
  <c r="P200" i="5" s="1"/>
  <c r="L200" i="5"/>
  <c r="O51" i="5"/>
  <c r="M51" i="5"/>
  <c r="N51" i="5"/>
  <c r="L51" i="5"/>
  <c r="O86" i="11"/>
  <c r="H30" i="1" s="1"/>
  <c r="P52" i="11"/>
  <c r="M86" i="11"/>
  <c r="F30" i="1" s="1"/>
  <c r="M152" i="10"/>
  <c r="P152" i="10" s="1"/>
  <c r="M85" i="10"/>
  <c r="P85" i="10" s="1"/>
  <c r="M87" i="10"/>
  <c r="P87" i="10" s="1"/>
  <c r="L118" i="10"/>
  <c r="N191" i="10"/>
  <c r="E22" i="8"/>
  <c r="E25" i="8"/>
  <c r="O250" i="9"/>
  <c r="L250" i="9"/>
  <c r="N250" i="9"/>
  <c r="M250" i="9"/>
  <c r="P253" i="9"/>
  <c r="M205" i="9"/>
  <c r="N205" i="9"/>
  <c r="O205" i="9"/>
  <c r="O402" i="5"/>
  <c r="M402" i="5"/>
  <c r="N402" i="5"/>
  <c r="M359" i="5"/>
  <c r="N359" i="5"/>
  <c r="O359" i="5"/>
  <c r="M352" i="5"/>
  <c r="P352" i="5" s="1"/>
  <c r="L352" i="5"/>
  <c r="P345" i="5"/>
  <c r="O343" i="5"/>
  <c r="P343" i="5" s="1"/>
  <c r="L343" i="5"/>
  <c r="M336" i="5"/>
  <c r="L336" i="5"/>
  <c r="N336" i="5"/>
  <c r="O336" i="5"/>
  <c r="M215" i="5"/>
  <c r="P215" i="5" s="1"/>
  <c r="L215" i="5"/>
  <c r="M99" i="5"/>
  <c r="N99" i="5"/>
  <c r="O99" i="5"/>
  <c r="L99" i="5"/>
  <c r="L95" i="12"/>
  <c r="I31" i="1" s="1"/>
  <c r="P92" i="12"/>
  <c r="M191" i="10"/>
  <c r="O139" i="10"/>
  <c r="E140" i="10"/>
  <c r="P27" i="14"/>
  <c r="O17" i="14"/>
  <c r="E18" i="14"/>
  <c r="O331" i="5"/>
  <c r="M331" i="5"/>
  <c r="N331" i="5"/>
  <c r="L331" i="5"/>
  <c r="M253" i="5"/>
  <c r="P253" i="5" s="1"/>
  <c r="O253" i="5"/>
  <c r="L253" i="5"/>
  <c r="N226" i="5"/>
  <c r="P226" i="5" s="1"/>
  <c r="L226" i="5"/>
  <c r="M73" i="10"/>
  <c r="P73" i="10" s="1"/>
  <c r="L241" i="9"/>
  <c r="L271" i="9" s="1"/>
  <c r="I28" i="1" s="1"/>
  <c r="L251" i="9"/>
  <c r="L259" i="9"/>
  <c r="N386" i="5"/>
  <c r="P386" i="5" s="1"/>
  <c r="N370" i="5"/>
  <c r="P370" i="5" s="1"/>
  <c r="N354" i="5"/>
  <c r="P354" i="5" s="1"/>
  <c r="O330" i="5"/>
  <c r="O299" i="5"/>
  <c r="M299" i="5"/>
  <c r="P294" i="5"/>
  <c r="O276" i="5"/>
  <c r="O259" i="5"/>
  <c r="M259" i="5"/>
  <c r="N259" i="5"/>
  <c r="N235" i="5"/>
  <c r="O235" i="5"/>
  <c r="M235" i="5"/>
  <c r="M214" i="5"/>
  <c r="N214" i="5"/>
  <c r="O214" i="5"/>
  <c r="O199" i="5"/>
  <c r="M199" i="5"/>
  <c r="N199" i="5"/>
  <c r="P185" i="5"/>
  <c r="O160" i="5"/>
  <c r="M160" i="5"/>
  <c r="N160" i="5"/>
  <c r="O77" i="5"/>
  <c r="M77" i="5"/>
  <c r="N77" i="5"/>
  <c r="P74" i="5"/>
  <c r="P15" i="5"/>
  <c r="O443" i="5"/>
  <c r="E444" i="5"/>
  <c r="E445" i="5"/>
  <c r="N443" i="5"/>
  <c r="E97" i="10"/>
  <c r="E98" i="10" s="1"/>
  <c r="E104" i="10"/>
  <c r="M251" i="9"/>
  <c r="P251" i="9" s="1"/>
  <c r="M259" i="9"/>
  <c r="P259" i="9" s="1"/>
  <c r="M330" i="5"/>
  <c r="O284" i="5"/>
  <c r="P284" i="5" s="1"/>
  <c r="N276" i="5"/>
  <c r="P276" i="5" s="1"/>
  <c r="E245" i="5"/>
  <c r="M243" i="5"/>
  <c r="P243" i="5" s="1"/>
  <c r="P193" i="5"/>
  <c r="O180" i="5"/>
  <c r="M180" i="5"/>
  <c r="N180" i="5"/>
  <c r="P175" i="5"/>
  <c r="M159" i="5"/>
  <c r="P159" i="5" s="1"/>
  <c r="N159" i="5"/>
  <c r="O159" i="5"/>
  <c r="O156" i="5"/>
  <c r="M156" i="5"/>
  <c r="P156" i="5" s="1"/>
  <c r="P128" i="5"/>
  <c r="P60" i="5"/>
  <c r="E24" i="5"/>
  <c r="N23" i="5"/>
  <c r="M23" i="5"/>
  <c r="O23" i="5"/>
  <c r="P16" i="5"/>
  <c r="M441" i="5"/>
  <c r="P441" i="5" s="1"/>
  <c r="N441" i="5"/>
  <c r="O441" i="5"/>
  <c r="L443" i="5"/>
  <c r="P448" i="5"/>
  <c r="P438" i="5"/>
  <c r="N252" i="5"/>
  <c r="P252" i="5" s="1"/>
  <c r="O252" i="5"/>
  <c r="O248" i="5"/>
  <c r="N248" i="5"/>
  <c r="P248" i="5" s="1"/>
  <c r="E242" i="5"/>
  <c r="M240" i="5"/>
  <c r="P240" i="5" s="1"/>
  <c r="O221" i="5"/>
  <c r="M221" i="5"/>
  <c r="N221" i="5"/>
  <c r="P211" i="5"/>
  <c r="M179" i="5"/>
  <c r="N179" i="5"/>
  <c r="O179" i="5"/>
  <c r="M62" i="5"/>
  <c r="N62" i="5"/>
  <c r="O62" i="5"/>
  <c r="N52" i="5"/>
  <c r="M52" i="5"/>
  <c r="O52" i="5"/>
  <c r="P48" i="5"/>
  <c r="M38" i="5"/>
  <c r="N38" i="5"/>
  <c r="O38" i="5"/>
  <c r="M269" i="5"/>
  <c r="P269" i="5" s="1"/>
  <c r="M268" i="5"/>
  <c r="P268" i="5" s="1"/>
  <c r="M176" i="5"/>
  <c r="P176" i="5" s="1"/>
  <c r="N163" i="5"/>
  <c r="P163" i="5" s="1"/>
  <c r="O155" i="5"/>
  <c r="P155" i="5" s="1"/>
  <c r="M148" i="5"/>
  <c r="P148" i="5" s="1"/>
  <c r="O129" i="5"/>
  <c r="P129" i="5" s="1"/>
  <c r="M113" i="5"/>
  <c r="P113" i="5" s="1"/>
  <c r="N112" i="5"/>
  <c r="P112" i="5" s="1"/>
  <c r="O109" i="5"/>
  <c r="M109" i="5"/>
  <c r="M81" i="5"/>
  <c r="P81" i="5" s="1"/>
  <c r="M80" i="5"/>
  <c r="P80" i="5" s="1"/>
  <c r="N79" i="5"/>
  <c r="P79" i="5" s="1"/>
  <c r="O76" i="5"/>
  <c r="P76" i="5" s="1"/>
  <c r="N61" i="5"/>
  <c r="P61" i="5" s="1"/>
  <c r="E27" i="5"/>
  <c r="E256" i="5"/>
  <c r="O238" i="5"/>
  <c r="P238" i="5" s="1"/>
  <c r="O237" i="5"/>
  <c r="P237" i="5" s="1"/>
  <c r="O236" i="5"/>
  <c r="P236" i="5" s="1"/>
  <c r="P15" i="6"/>
  <c r="P78" i="6"/>
  <c r="P193" i="6"/>
  <c r="P203" i="6"/>
  <c r="P216" i="6"/>
  <c r="P244" i="6"/>
  <c r="P22" i="6"/>
  <c r="P26" i="6"/>
  <c r="P35" i="6"/>
  <c r="P62" i="6"/>
  <c r="P68" i="6"/>
  <c r="P71" i="6"/>
  <c r="P113" i="6"/>
  <c r="P128" i="6"/>
  <c r="P144" i="6"/>
  <c r="P166" i="6"/>
  <c r="P211" i="6"/>
  <c r="P212" i="6"/>
  <c r="M91" i="6"/>
  <c r="P91" i="6" s="1"/>
  <c r="L91" i="6"/>
  <c r="L258" i="6"/>
  <c r="M258" i="6"/>
  <c r="P258" i="6" s="1"/>
  <c r="L234" i="6"/>
  <c r="M234" i="6"/>
  <c r="P234" i="6" s="1"/>
  <c r="P14" i="6"/>
  <c r="P27" i="6"/>
  <c r="P54" i="6"/>
  <c r="P72" i="6"/>
  <c r="P74" i="6"/>
  <c r="P98" i="6"/>
  <c r="O136" i="6"/>
  <c r="M136" i="6"/>
  <c r="P136" i="6" s="1"/>
  <c r="E87" i="6"/>
  <c r="E86" i="6"/>
  <c r="M273" i="6"/>
  <c r="O273" i="6"/>
  <c r="E310" i="6"/>
  <c r="M309" i="6"/>
  <c r="N309" i="6"/>
  <c r="M323" i="6"/>
  <c r="O323" i="6"/>
  <c r="L323" i="6"/>
  <c r="M84" i="6"/>
  <c r="P84" i="6" s="1"/>
  <c r="P117" i="6"/>
  <c r="P131" i="6"/>
  <c r="P135" i="6"/>
  <c r="L136" i="6"/>
  <c r="P158" i="6"/>
  <c r="P161" i="6"/>
  <c r="P169" i="6"/>
  <c r="P183" i="6"/>
  <c r="P186" i="6"/>
  <c r="P220" i="6"/>
  <c r="P224" i="6"/>
  <c r="P303" i="6"/>
  <c r="O309" i="6"/>
  <c r="P322" i="6"/>
  <c r="E85" i="6"/>
  <c r="N109" i="6"/>
  <c r="O109" i="6"/>
  <c r="L109" i="6"/>
  <c r="N116" i="6"/>
  <c r="P116" i="6" s="1"/>
  <c r="L116" i="6"/>
  <c r="N121" i="6"/>
  <c r="O121" i="6"/>
  <c r="L121" i="6"/>
  <c r="L130" i="6"/>
  <c r="N130" i="6"/>
  <c r="P130" i="6" s="1"/>
  <c r="P145" i="6"/>
  <c r="O150" i="6"/>
  <c r="P150" i="6" s="1"/>
  <c r="L150" i="6"/>
  <c r="M162" i="6"/>
  <c r="O162" i="6"/>
  <c r="L162" i="6"/>
  <c r="O170" i="6"/>
  <c r="M170" i="6"/>
  <c r="M180" i="6"/>
  <c r="P180" i="6" s="1"/>
  <c r="N180" i="6"/>
  <c r="M207" i="6"/>
  <c r="O207" i="6"/>
  <c r="L207" i="6"/>
  <c r="L218" i="6"/>
  <c r="N218" i="6"/>
  <c r="P218" i="6" s="1"/>
  <c r="M225" i="6"/>
  <c r="O225" i="6"/>
  <c r="L225" i="6"/>
  <c r="L253" i="6"/>
  <c r="N253" i="6"/>
  <c r="P253" i="6" s="1"/>
  <c r="M284" i="6"/>
  <c r="P284" i="6" s="1"/>
  <c r="O284" i="6"/>
  <c r="L284" i="6"/>
  <c r="P232" i="6"/>
  <c r="P265" i="6"/>
  <c r="P272" i="6"/>
  <c r="P300" i="6"/>
  <c r="L231" i="6"/>
  <c r="N231" i="6"/>
  <c r="P231" i="6" s="1"/>
  <c r="N137" i="6"/>
  <c r="O137" i="6"/>
  <c r="P137" i="6" s="1"/>
  <c r="L137" i="6"/>
  <c r="E77" i="6"/>
  <c r="E75" i="6"/>
  <c r="O319" i="6"/>
  <c r="L319" i="6"/>
  <c r="M319" i="6"/>
  <c r="L74" i="6"/>
  <c r="P122" i="6"/>
  <c r="P189" i="6"/>
  <c r="P190" i="6"/>
  <c r="O231" i="6"/>
  <c r="P260" i="6"/>
  <c r="P266" i="6"/>
  <c r="N273" i="6"/>
  <c r="P287" i="6"/>
  <c r="P304" i="6"/>
  <c r="P308" i="6"/>
  <c r="L309" i="6"/>
  <c r="E76" i="6"/>
  <c r="O285" i="6"/>
  <c r="L285" i="6"/>
  <c r="N285" i="6"/>
  <c r="M114" i="6"/>
  <c r="O114" i="6"/>
  <c r="N118" i="6"/>
  <c r="M118" i="6"/>
  <c r="P118" i="6" s="1"/>
  <c r="L124" i="6"/>
  <c r="N124" i="6"/>
  <c r="P124" i="6" s="1"/>
  <c r="M141" i="6"/>
  <c r="O141" i="6"/>
  <c r="M147" i="6"/>
  <c r="O147" i="6"/>
  <c r="L147" i="6"/>
  <c r="M155" i="6"/>
  <c r="P155" i="6" s="1"/>
  <c r="O155" i="6"/>
  <c r="N160" i="6"/>
  <c r="O160" i="6"/>
  <c r="L160" i="6"/>
  <c r="N168" i="6"/>
  <c r="P168" i="6" s="1"/>
  <c r="L168" i="6"/>
  <c r="P175" i="6"/>
  <c r="M187" i="6"/>
  <c r="P187" i="6" s="1"/>
  <c r="N187" i="6"/>
  <c r="L192" i="6"/>
  <c r="N192" i="6"/>
  <c r="P192" i="6" s="1"/>
  <c r="P201" i="6"/>
  <c r="O248" i="6"/>
  <c r="M248" i="6"/>
  <c r="P248" i="6" s="1"/>
  <c r="O257" i="6"/>
  <c r="M257" i="6"/>
  <c r="P257" i="6" s="1"/>
  <c r="O269" i="6"/>
  <c r="L269" i="6"/>
  <c r="E270" i="6"/>
  <c r="N269" i="6"/>
  <c r="P269" i="6" s="1"/>
  <c r="N278" i="6"/>
  <c r="P278" i="6" s="1"/>
  <c r="E279" i="6"/>
  <c r="L278" i="6"/>
  <c r="O289" i="6"/>
  <c r="P289" i="6" s="1"/>
  <c r="L289" i="6"/>
  <c r="L86" i="11"/>
  <c r="I30" i="1" s="1"/>
  <c r="P53" i="11"/>
  <c r="N86" i="11"/>
  <c r="G30" i="1" s="1"/>
  <c r="O95" i="12"/>
  <c r="H31" i="1" s="1"/>
  <c r="P38" i="5" l="1"/>
  <c r="P271" i="9"/>
  <c r="P40" i="4"/>
  <c r="E32" i="1"/>
  <c r="P7" i="13"/>
  <c r="P110" i="7"/>
  <c r="O256" i="5"/>
  <c r="M256" i="5"/>
  <c r="L256" i="5"/>
  <c r="N256" i="5"/>
  <c r="O22" i="8"/>
  <c r="N22" i="8"/>
  <c r="L22" i="8"/>
  <c r="M22" i="8"/>
  <c r="M124" i="10"/>
  <c r="L124" i="10"/>
  <c r="N124" i="10"/>
  <c r="O124" i="10"/>
  <c r="P323" i="6"/>
  <c r="O27" i="5"/>
  <c r="M27" i="5"/>
  <c r="P27" i="5" s="1"/>
  <c r="L27" i="5"/>
  <c r="N27" i="5"/>
  <c r="P221" i="5"/>
  <c r="M24" i="5"/>
  <c r="P24" i="5" s="1"/>
  <c r="N24" i="5"/>
  <c r="O24" i="5"/>
  <c r="O459" i="5" s="1"/>
  <c r="H24" i="1" s="1"/>
  <c r="L24" i="5"/>
  <c r="L444" i="5"/>
  <c r="O444" i="5"/>
  <c r="M444" i="5"/>
  <c r="N444" i="5"/>
  <c r="P160" i="5"/>
  <c r="P199" i="5"/>
  <c r="P214" i="5"/>
  <c r="M18" i="14"/>
  <c r="N18" i="14"/>
  <c r="N44" i="14" s="1"/>
  <c r="G33" i="1" s="1"/>
  <c r="L18" i="14"/>
  <c r="L44" i="14" s="1"/>
  <c r="I33" i="1" s="1"/>
  <c r="O18" i="14"/>
  <c r="P99" i="5"/>
  <c r="P402" i="5"/>
  <c r="P205" i="9"/>
  <c r="P202" i="9"/>
  <c r="O20" i="8"/>
  <c r="L20" i="8"/>
  <c r="N20" i="8"/>
  <c r="M20" i="8"/>
  <c r="P378" i="5"/>
  <c r="L456" i="5"/>
  <c r="O456" i="5"/>
  <c r="M456" i="5"/>
  <c r="N456" i="5"/>
  <c r="P220" i="10"/>
  <c r="O30" i="3"/>
  <c r="O31" i="3"/>
  <c r="H22" i="1" s="1"/>
  <c r="M271" i="9"/>
  <c r="F28" i="1" s="1"/>
  <c r="P65" i="10"/>
  <c r="P33" i="10"/>
  <c r="P30" i="3"/>
  <c r="P31" i="3" s="1"/>
  <c r="M140" i="10"/>
  <c r="L140" i="10"/>
  <c r="O140" i="10"/>
  <c r="N140" i="10"/>
  <c r="E24" i="8"/>
  <c r="O23" i="8"/>
  <c r="L23" i="8"/>
  <c r="N23" i="8"/>
  <c r="M23" i="8"/>
  <c r="E21" i="1"/>
  <c r="P7" i="2"/>
  <c r="P86" i="11"/>
  <c r="P7" i="11" s="1"/>
  <c r="P160" i="6"/>
  <c r="P207" i="6"/>
  <c r="P109" i="6"/>
  <c r="P179" i="5"/>
  <c r="P330" i="5"/>
  <c r="P77" i="5"/>
  <c r="P235" i="5"/>
  <c r="P259" i="5"/>
  <c r="P299" i="5"/>
  <c r="P17" i="14"/>
  <c r="O44" i="14"/>
  <c r="H33" i="1" s="1"/>
  <c r="P410" i="5"/>
  <c r="L39" i="10"/>
  <c r="E40" i="10"/>
  <c r="N39" i="10"/>
  <c r="M39" i="10"/>
  <c r="O39" i="10"/>
  <c r="N455" i="5"/>
  <c r="O455" i="5"/>
  <c r="L455" i="5"/>
  <c r="M455" i="5"/>
  <c r="P242" i="9"/>
  <c r="P63" i="12"/>
  <c r="P95" i="12" s="1"/>
  <c r="P150" i="8"/>
  <c r="M150" i="10"/>
  <c r="O150" i="10"/>
  <c r="L150" i="10"/>
  <c r="N150" i="10"/>
  <c r="M242" i="5"/>
  <c r="P242" i="5" s="1"/>
  <c r="L242" i="5"/>
  <c r="N242" i="5"/>
  <c r="O242" i="5"/>
  <c r="O445" i="5"/>
  <c r="M445" i="5"/>
  <c r="P445" i="5" s="1"/>
  <c r="L445" i="5"/>
  <c r="N445" i="5"/>
  <c r="M207" i="5"/>
  <c r="N207" i="5"/>
  <c r="N459" i="5" s="1"/>
  <c r="G24" i="1" s="1"/>
  <c r="O207" i="5"/>
  <c r="L207" i="5"/>
  <c r="O39" i="4"/>
  <c r="P39" i="4" s="1"/>
  <c r="O40" i="4"/>
  <c r="H23" i="1" s="1"/>
  <c r="P309" i="6"/>
  <c r="P109" i="5"/>
  <c r="P52" i="5"/>
  <c r="P62" i="5"/>
  <c r="P23" i="5"/>
  <c r="P180" i="5"/>
  <c r="N245" i="5"/>
  <c r="O245" i="5"/>
  <c r="M245" i="5"/>
  <c r="L245" i="5"/>
  <c r="P443" i="5"/>
  <c r="P331" i="5"/>
  <c r="P191" i="10"/>
  <c r="P336" i="5"/>
  <c r="P359" i="5"/>
  <c r="P250" i="9"/>
  <c r="E26" i="8"/>
  <c r="O25" i="8"/>
  <c r="L25" i="8"/>
  <c r="N25" i="8"/>
  <c r="M25" i="8"/>
  <c r="P51" i="5"/>
  <c r="P321" i="5"/>
  <c r="O38" i="10"/>
  <c r="N38" i="10"/>
  <c r="L38" i="10"/>
  <c r="M38" i="10"/>
  <c r="P38" i="10" s="1"/>
  <c r="N89" i="10"/>
  <c r="L89" i="10"/>
  <c r="O89" i="10"/>
  <c r="M89" i="10"/>
  <c r="P89" i="10" s="1"/>
  <c r="P129" i="10"/>
  <c r="P115" i="10"/>
  <c r="P51" i="10"/>
  <c r="P61" i="10"/>
  <c r="N110" i="7"/>
  <c r="G26" i="1" s="1"/>
  <c r="P103" i="7"/>
  <c r="N66" i="10"/>
  <c r="O66" i="10"/>
  <c r="M66" i="10"/>
  <c r="L66" i="10"/>
  <c r="P238" i="10"/>
  <c r="P244" i="5"/>
  <c r="O279" i="6"/>
  <c r="L279" i="6"/>
  <c r="N279" i="6"/>
  <c r="M279" i="6"/>
  <c r="P279" i="6" s="1"/>
  <c r="P285" i="6"/>
  <c r="P319" i="6"/>
  <c r="L77" i="6"/>
  <c r="L325" i="6" s="1"/>
  <c r="I25" i="1" s="1"/>
  <c r="M77" i="6"/>
  <c r="O77" i="6"/>
  <c r="N77" i="6"/>
  <c r="L86" i="6"/>
  <c r="N86" i="6"/>
  <c r="O86" i="6"/>
  <c r="M86" i="6"/>
  <c r="O270" i="6"/>
  <c r="L270" i="6"/>
  <c r="N270" i="6"/>
  <c r="M270" i="6"/>
  <c r="P141" i="6"/>
  <c r="P225" i="6"/>
  <c r="P170" i="6"/>
  <c r="P162" i="6"/>
  <c r="P121" i="6"/>
  <c r="N310" i="6"/>
  <c r="L310" i="6"/>
  <c r="O310" i="6"/>
  <c r="M310" i="6"/>
  <c r="L87" i="6"/>
  <c r="N87" i="6"/>
  <c r="O87" i="6"/>
  <c r="M87" i="6"/>
  <c r="P147" i="6"/>
  <c r="P114" i="6"/>
  <c r="M76" i="6"/>
  <c r="O76" i="6"/>
  <c r="N76" i="6"/>
  <c r="L76" i="6"/>
  <c r="N75" i="6"/>
  <c r="M75" i="6"/>
  <c r="L75" i="6"/>
  <c r="O75" i="6"/>
  <c r="M85" i="6"/>
  <c r="O85" i="6"/>
  <c r="L85" i="6"/>
  <c r="N85" i="6"/>
  <c r="P273" i="6"/>
  <c r="E30" i="1" l="1"/>
  <c r="E22" i="1"/>
  <c r="P7" i="3"/>
  <c r="E31" i="1"/>
  <c r="P7" i="12"/>
  <c r="P7" i="9"/>
  <c r="E28" i="1"/>
  <c r="P7" i="7"/>
  <c r="E26" i="1"/>
  <c r="E23" i="1"/>
  <c r="P7" i="4"/>
  <c r="P310" i="6"/>
  <c r="P207" i="5"/>
  <c r="P459" i="5" s="1"/>
  <c r="P150" i="10"/>
  <c r="L40" i="10"/>
  <c r="L253" i="10" s="1"/>
  <c r="I29" i="1" s="1"/>
  <c r="M40" i="10"/>
  <c r="N40" i="10"/>
  <c r="N253" i="10" s="1"/>
  <c r="G29" i="1" s="1"/>
  <c r="O40" i="10"/>
  <c r="P44" i="14"/>
  <c r="M44" i="14"/>
  <c r="F33" i="1" s="1"/>
  <c r="P18" i="14"/>
  <c r="L459" i="5"/>
  <c r="I24" i="1" s="1"/>
  <c r="O325" i="6"/>
  <c r="H25" i="1" s="1"/>
  <c r="P25" i="8"/>
  <c r="M26" i="8"/>
  <c r="L26" i="8"/>
  <c r="O26" i="8"/>
  <c r="N26" i="8"/>
  <c r="P245" i="5"/>
  <c r="M459" i="5"/>
  <c r="F24" i="1" s="1"/>
  <c r="P455" i="5"/>
  <c r="M253" i="10"/>
  <c r="F29" i="1" s="1"/>
  <c r="P456" i="5"/>
  <c r="P20" i="8"/>
  <c r="M185" i="8"/>
  <c r="F27" i="1" s="1"/>
  <c r="P444" i="5"/>
  <c r="P124" i="10"/>
  <c r="P256" i="5"/>
  <c r="P66" i="10"/>
  <c r="O253" i="10"/>
  <c r="H29" i="1" s="1"/>
  <c r="P39" i="10"/>
  <c r="P23" i="8"/>
  <c r="O24" i="8"/>
  <c r="O185" i="8" s="1"/>
  <c r="H27" i="1" s="1"/>
  <c r="L24" i="8"/>
  <c r="L185" i="8" s="1"/>
  <c r="I27" i="1" s="1"/>
  <c r="M24" i="8"/>
  <c r="N24" i="8"/>
  <c r="N185" i="8" s="1"/>
  <c r="G27" i="1" s="1"/>
  <c r="P140" i="10"/>
  <c r="P22" i="8"/>
  <c r="P76" i="6"/>
  <c r="P87" i="6"/>
  <c r="P270" i="6"/>
  <c r="P86" i="6"/>
  <c r="P75" i="6"/>
  <c r="M325" i="6"/>
  <c r="F25" i="1" s="1"/>
  <c r="P85" i="6"/>
  <c r="N325" i="6"/>
  <c r="G25" i="1" s="1"/>
  <c r="P77" i="6"/>
  <c r="F34" i="1" l="1"/>
  <c r="E24" i="1"/>
  <c r="P7" i="5"/>
  <c r="I34" i="1"/>
  <c r="H14" i="1" s="1"/>
  <c r="G34" i="1"/>
  <c r="P24" i="8"/>
  <c r="E33" i="1"/>
  <c r="P7" i="14"/>
  <c r="H34" i="1"/>
  <c r="P40" i="10"/>
  <c r="P253" i="10" s="1"/>
  <c r="P26" i="8"/>
  <c r="P185" i="8" s="1"/>
  <c r="P325" i="6"/>
  <c r="E27" i="1" l="1"/>
  <c r="P7" i="8"/>
  <c r="P7" i="10"/>
  <c r="E29" i="1"/>
  <c r="P7" i="6"/>
  <c r="E25" i="1"/>
  <c r="E34" i="1" l="1"/>
</calcChain>
</file>

<file path=xl/sharedStrings.xml><?xml version="1.0" encoding="utf-8"?>
<sst xmlns="http://schemas.openxmlformats.org/spreadsheetml/2006/main" count="4383" uniqueCount="805">
  <si>
    <t>Kopsavilkuma aprēķini pa darbu vai konstruktīvo elementu veidiem Nr. 1</t>
  </si>
  <si>
    <t xml:space="preserve">Būves nosaukums: </t>
  </si>
  <si>
    <t xml:space="preserve">Objekta nosaukums: </t>
  </si>
  <si>
    <t xml:space="preserve">Objekta adrese: </t>
  </si>
  <si>
    <t>Par kopējo summu, euro</t>
  </si>
  <si>
    <t>Kopējā darbietilpība, c/h</t>
  </si>
  <si>
    <t>Nr.p.k.</t>
  </si>
  <si>
    <t>Kods, tāmes Nr.</t>
  </si>
  <si>
    <t>Darba veids vai konstruktīvā elementa nosaukums</t>
  </si>
  <si>
    <t>Tāmes izmaksas (euro)</t>
  </si>
  <si>
    <t>Tai skaitā</t>
  </si>
  <si>
    <t>Darbietilpība (c/h)</t>
  </si>
  <si>
    <t>darba alga (euro)</t>
  </si>
  <si>
    <t>materiāli (euro)</t>
  </si>
  <si>
    <t>mehānismi (euro)</t>
  </si>
  <si>
    <t>1,1</t>
  </si>
  <si>
    <t>Būvlaukuma sagatavošanas un uzturēšanas izmaksas</t>
  </si>
  <si>
    <t>1,2</t>
  </si>
  <si>
    <t>Demontāžas darbi</t>
  </si>
  <si>
    <t>1,3</t>
  </si>
  <si>
    <t>Zemes darbi</t>
  </si>
  <si>
    <t>1,4</t>
  </si>
  <si>
    <t>1,5</t>
  </si>
  <si>
    <t>1,6</t>
  </si>
  <si>
    <t>1,7</t>
  </si>
  <si>
    <t>1,8</t>
  </si>
  <si>
    <t>1,9</t>
  </si>
  <si>
    <t>1,10</t>
  </si>
  <si>
    <t>1,11</t>
  </si>
  <si>
    <t>1,12</t>
  </si>
  <si>
    <t>Kopā</t>
  </si>
  <si>
    <t>Virsizdevumi</t>
  </si>
  <si>
    <t>tai skaitā darba aizsardzība</t>
  </si>
  <si>
    <t>Peļņa</t>
  </si>
  <si>
    <t>Darba devēja sociālais nodoklis</t>
  </si>
  <si>
    <t>Kopā bez PVN</t>
  </si>
  <si>
    <t>Sastādīja:</t>
  </si>
  <si>
    <t>Lokālā tāme Nr.</t>
  </si>
  <si>
    <t>Būves nosaukums:</t>
  </si>
  <si>
    <t>Objekta nosaukums:</t>
  </si>
  <si>
    <t>Objekta adrese:</t>
  </si>
  <si>
    <t>Tāmes izmaksas euro:</t>
  </si>
  <si>
    <t>Kods</t>
  </si>
  <si>
    <t>Darba nosaukums</t>
  </si>
  <si>
    <t>Mērvienība</t>
  </si>
  <si>
    <t>Daudzums</t>
  </si>
  <si>
    <t>Vienības izmaksas</t>
  </si>
  <si>
    <t>Kopā uz visu apjomu</t>
  </si>
  <si>
    <t>Laika norma (c/h)</t>
  </si>
  <si>
    <t>Darba samaksas likme (euro/h)</t>
  </si>
  <si>
    <t>Darba alga (euro)</t>
  </si>
  <si>
    <t>Materiāli (euro)</t>
  </si>
  <si>
    <t>Mehānismi (euro)</t>
  </si>
  <si>
    <t>Kopā (euro)</t>
  </si>
  <si>
    <t>Summa (euro)</t>
  </si>
  <si>
    <t>L.c</t>
  </si>
  <si>
    <t xml:space="preserve">Būvlaukuma nožogošana ar invemtāra žoga posmiem 3,5x2m,žogu nojaukšana,noma </t>
  </si>
  <si>
    <t>m</t>
  </si>
  <si>
    <t>Pagaidu 2 viru (4m) vārtu montāža,demontāža</t>
  </si>
  <si>
    <t>gb</t>
  </si>
  <si>
    <t>Pagaidu vārtiņu montāža,demontāža</t>
  </si>
  <si>
    <t>Konteinera tipa vagoniņi  (2,5x6m)ar WC uzstādīšana ar autoceltni;noma</t>
  </si>
  <si>
    <t>gb.</t>
  </si>
  <si>
    <t xml:space="preserve">Metāla konteinera inventāram  uzstādīšana ar autoceltni;noma </t>
  </si>
  <si>
    <t xml:space="preserve">Pārvietojamās tualetes uzstādīšana,noma </t>
  </si>
  <si>
    <t>Objekta apsardze izmaksas</t>
  </si>
  <si>
    <t>kpl</t>
  </si>
  <si>
    <t>Būvniecības objekta izkārtnes izgatavošana, uzstādīšana</t>
  </si>
  <si>
    <t>Ugunsdzēsības stenda  izgatavošana, uzstādīšana</t>
  </si>
  <si>
    <t>Atkritumu tvertnes v=7,7m³ uzstādīšana,noma</t>
  </si>
  <si>
    <t>Satiksmes organizēšana,ceļa zīmju(27gab) uzstādīšana,noņemšana pēc būvdarbu pabeigšanas</t>
  </si>
  <si>
    <t>Pagaidu apgaismojuma ierīkošana-kabeļi,prožektori</t>
  </si>
  <si>
    <t>Esošo koku aizsardzība</t>
  </si>
  <si>
    <t>kpl.</t>
  </si>
  <si>
    <t>Tiešās izmaksas kopā</t>
  </si>
  <si>
    <t>Piezīmes:</t>
  </si>
  <si>
    <t xml:space="preserve"> Būvuzņēmējam jādod pilna apjoma tendera cenu piedāvājums, ieskaitot palīgdarbus  un materiālus, kas nav uzrādīti tāmē, apjomu sarakstā un projektā, bet ir nepieciešami projektētā būvobjekta izbūvei un nodošanai ekspluatācijā.</t>
  </si>
  <si>
    <t>Mūra sienu,konstrukciju demontāža</t>
  </si>
  <si>
    <t>m³</t>
  </si>
  <si>
    <t xml:space="preserve">Betona pārseguma,terazzo flīžu  demontāža </t>
  </si>
  <si>
    <t xml:space="preserve">Kino zāles koka pārseguma un koka podestūras demontāža </t>
  </si>
  <si>
    <t xml:space="preserve">Koka pārseguma un parketa grīdu demontāža </t>
  </si>
  <si>
    <t>Bēniņu pārseguma izdedžu izvešana</t>
  </si>
  <si>
    <t>m²</t>
  </si>
  <si>
    <t>Jumta seguma demontāža</t>
  </si>
  <si>
    <t xml:space="preserve">Esošo betona kārpņu demontāža </t>
  </si>
  <si>
    <t xml:space="preserve">Daļēja spāru demontāža virs kino zāles </t>
  </si>
  <si>
    <t xml:space="preserve">Skatuves pakāpienu demontāža </t>
  </si>
  <si>
    <t xml:space="preserve">Piekārto griestu demontāža </t>
  </si>
  <si>
    <t xml:space="preserve">Esošo durvju un logu demontāža-51 m³ </t>
  </si>
  <si>
    <t>Konteineru noma</t>
  </si>
  <si>
    <t xml:space="preserve">Dažādi demontāžas darbi </t>
  </si>
  <si>
    <t>c/h</t>
  </si>
  <si>
    <t>Materiālu, būvgružu transporta izdevumi</t>
  </si>
  <si>
    <t>Siguldas kultūras centrs</t>
  </si>
  <si>
    <t>Siguldas kultūras centra pārbūve-1. kārta</t>
  </si>
  <si>
    <t>Pils iela 10, Sigulda</t>
  </si>
  <si>
    <t>08/2015</t>
  </si>
  <si>
    <t>Pārbaudīja:</t>
  </si>
  <si>
    <t>Vispārējie būvdarbi</t>
  </si>
  <si>
    <t>Pasūtījuma Nr.</t>
  </si>
  <si>
    <t>Skatuves koka pārseguma demontāža būvgružu šķirošana,,būvgružu pieņemšana pārstrādes atbērtnē</t>
  </si>
  <si>
    <t xml:space="preserve">Būvgružu (ķieģeļi,betons,dzelzsbetons,koks) savākšana, aizvešana uz atbērtni  ar k=1,6 </t>
  </si>
  <si>
    <t>Pamati</t>
  </si>
  <si>
    <t>Sienas, nesošās konstrukcijas</t>
  </si>
  <si>
    <t>Pārsegums</t>
  </si>
  <si>
    <t>Jumti</t>
  </si>
  <si>
    <t>Kāpnes un lievenis</t>
  </si>
  <si>
    <t>Grīdas</t>
  </si>
  <si>
    <t>Ailu aizpildījuma elementi</t>
  </si>
  <si>
    <t>Iekšējie apdares darbi</t>
  </si>
  <si>
    <t>Dažādi darbi</t>
  </si>
  <si>
    <t xml:space="preserve"> BK Zemes darbi (asīs 1-6;A-F)ieejas halle u.c.</t>
  </si>
  <si>
    <t>03-L.c</t>
  </si>
  <si>
    <t xml:space="preserve">Grunts rakšana ar ekskavatoru, iekraujot grunti automašīnā-pašizgāzējā </t>
  </si>
  <si>
    <t>m3</t>
  </si>
  <si>
    <t>Grunts rakšana ar rokām</t>
  </si>
  <si>
    <t>Būvbedres un tranšejas aizbēršana ar buldozeru ar pievesto smilti pamatiem</t>
  </si>
  <si>
    <t>Būvbedres un tranšejas aizbēršana ar rokām ar pievesto smilti pamatiem</t>
  </si>
  <si>
    <t xml:space="preserve">Liekās grunts aizvešana  Līdz 10 km attāluma </t>
  </si>
  <si>
    <t>Grunts ūdens līmeņa pazemināšana</t>
  </si>
  <si>
    <t>dnn</t>
  </si>
  <si>
    <t>Smilts pabērums pamatiem</t>
  </si>
  <si>
    <t xml:space="preserve"> BK Zemes darbi (asīs 3*-4*;G-J)palīgtelpas</t>
  </si>
  <si>
    <t xml:space="preserve"> BK  Zemes darbi ( BKasīs 4-5;G(skatuves daļa))</t>
  </si>
  <si>
    <t xml:space="preserve"> BK Pamati  (asīs 1-6;A-F)ieejas halle u.c.</t>
  </si>
  <si>
    <t>05-L.c</t>
  </si>
  <si>
    <t>Veidņu uzstādūšana ,nojaukšana betona pamatojumam no OSB plāksnēm 12 mm</t>
  </si>
  <si>
    <t>Inventāro veidņu uzstādīšana,eļļošana  pamatiem un nojaukšana ,noma</t>
  </si>
  <si>
    <t>Šķembu pamatojuma ierīkošana h=100 mm,blīvā viedā ,novibrējot</t>
  </si>
  <si>
    <t>Armtūras sietu izgatavošana ,uzstādīšana,fiksatoru uzstādīšana pamatiem .Armatūras stiegru sagarināšanu,sasiešanu ar stiepli veic būvlaukumā,armatūra B500B.Garenvirzienā stiegras savienot ar pārlaidumu , kura garums ir 30 stiegras diametri</t>
  </si>
  <si>
    <t>kg</t>
  </si>
  <si>
    <t>Armatūra B500B</t>
  </si>
  <si>
    <t>distanceri, armatūras sienamais materiāls, ieliekamās detaļas uc paligmateriāli</t>
  </si>
  <si>
    <t>Betona C30/37 iestrādāšana pamatu konstrukcijās,novibrējot,betonu padod ar sūkni</t>
  </si>
  <si>
    <t>Betons C30/37</t>
  </si>
  <si>
    <t>Sūknis</t>
  </si>
  <si>
    <t>h</t>
  </si>
  <si>
    <t>Betona C12/15 iestrādāšana pamatu konstrukcijās,novibrējot,betonu padod ar sūkni</t>
  </si>
  <si>
    <t>Betons C12/15</t>
  </si>
  <si>
    <t xml:space="preserve">Kolonnu apbetonēšana ar smalkgaudainu betonu pēc to montāžas </t>
  </si>
  <si>
    <t>PM-4 - (BK-1.6-1gb</t>
  </si>
  <si>
    <t>PM-5 - (BK-1.6)-2gb</t>
  </si>
  <si>
    <t>PM-6- (BK-1.7)-1gb</t>
  </si>
  <si>
    <t>Veidņu  uzstādūšana ,nojaukšana betona pamatojumam no OSB plāksnēm 12 mm</t>
  </si>
  <si>
    <t>Metāla konstrukciju montāža , stiprinot ar bultskrūvēm ,konstrukciju notīrīšana no rūsas gruntēšana,krāsošana</t>
  </si>
  <si>
    <t>Metāla konstrukcijas</t>
  </si>
  <si>
    <t>Palīgmateriāli -(metāla ķīļi,elektrodi,bultsrūves u.c.).</t>
  </si>
  <si>
    <t>PM-8- (BK-1.9)-5gb</t>
  </si>
  <si>
    <t>Peiko HPML D=20</t>
  </si>
  <si>
    <t>PM-9- (BK-1.10)-1gb</t>
  </si>
  <si>
    <t>PM-11- (BK-1.12-1gb</t>
  </si>
  <si>
    <t>starteri M24;l=1000</t>
  </si>
  <si>
    <t>Pamati griezumi a-a;b-b;Pm-12 (BK-1.13)</t>
  </si>
  <si>
    <t>Šķembu pamatojuma ierīkošana h=100 mm,blīvā viedā ,novibrējot;fr 20-40</t>
  </si>
  <si>
    <t>Armtūras sietu izgatavošana ,uzstādīšana,fiksatoru uzstādīšana pamatiem .Armatūras stiegru sagarināšanu,sasiešanu ar stiepli veic būvlaukumā,armatūra B500B.Garenvirzienā stiegras savienot ar pārlaidumu , kura garums ir 30 stiegras diametri.Enkurbultu uzstādīšana</t>
  </si>
  <si>
    <t>HPM 30L</t>
  </si>
  <si>
    <t>Betona C25/30 iestrādāšana pamatu konstrukcijās,novibrējot,betonu padod ar sūkni</t>
  </si>
  <si>
    <t>Betons C25/30</t>
  </si>
  <si>
    <t>Betona C8/10iestrādāšana pamatu konstrukcijās,novibrējot,betonu padod ar sūkni</t>
  </si>
  <si>
    <t>Betons C8/10</t>
  </si>
  <si>
    <t>Šķembu pamatojuma ierīkošana h=100 mm,blīvā viedā ,novibrējot.fr 20-40</t>
  </si>
  <si>
    <t>Šķembu pamatojuma ierīkošana h=100 mm,blīvā viedā ,novibrējot,fr 20-40</t>
  </si>
  <si>
    <t>Lentveida pamati (BK-4.4)</t>
  </si>
  <si>
    <t>Betona C8/10 iestrādāšana pamatu konstrukcijās,novibrējot,betonu padod ar sūkni</t>
  </si>
  <si>
    <t>Pamatu horizontālā hidroizolācija ar ruberoidu uz karstās bitumena kārtas 2 kārtās,cenenta smilšu java 2 cm</t>
  </si>
  <si>
    <t>Pamatu vertikālā hidroizolācija ar  bitumu mastiku 2 kārtās</t>
  </si>
  <si>
    <t>Pamatu siltinājums 200 mm putopolistirols,stiprinot ar dībeļiem,uz līmjavas kārtas</t>
  </si>
  <si>
    <t>Pamats sūkņu stacijai PŪS (BK-4.8</t>
  </si>
  <si>
    <t>Grunts rakšana ar rokām,grunts izvešana no telpas un aizvešana uz atbērtni</t>
  </si>
  <si>
    <t>Betona C20/25 iestrādāšana pamatu konstrukcijās,novibrējot,betonu padod ar sūkni</t>
  </si>
  <si>
    <t>Betons C20/25</t>
  </si>
  <si>
    <t>Pamats dīzeļģeneratoram PDG (BK-4.8</t>
  </si>
  <si>
    <t xml:space="preserve"> BK  Pamati ( BKasīs 4-5;G(skatuves daļa))</t>
  </si>
  <si>
    <t>PM-1 -(BK-3.2-1gb</t>
  </si>
  <si>
    <t>PM-2 - (BK-3.3)-1 gb</t>
  </si>
  <si>
    <t>PM-3 - (BK-3.4)-1gb</t>
  </si>
  <si>
    <t>PM-4 - (BK-3.5)-1gb</t>
  </si>
  <si>
    <t>PM-5 - (BK-3.6)-1gb</t>
  </si>
  <si>
    <t>PM-6- (BK-3.7)-1gb</t>
  </si>
  <si>
    <t>PM-7- (BK-3.8)-1gb</t>
  </si>
  <si>
    <t>PM-8- (BK-3.9)-1gb</t>
  </si>
  <si>
    <t>Pamatu savilces PS-1 un atbalsta sienas AS-2 (BK-2.6)</t>
  </si>
  <si>
    <t>PS-1</t>
  </si>
  <si>
    <t xml:space="preserve">Veidņu uzstādīšana,eļļošana  </t>
  </si>
  <si>
    <t>Armtūras sietu izgatavošana ,uzstādīšana,fiksatoru uzstādīšana .Armatūras stiegru sagarināšanu,sasiešanu ar stiepli veic būvlaukumā,armatūra B500B.Garenvirzienā stiegras savienot ar pārlaidumu , kura garums ir 30 stiegras diametri</t>
  </si>
  <si>
    <t>Betona C30/37 iestrādāšana  konstrukcijās,novibrējot,betonu padod ar sūkni</t>
  </si>
  <si>
    <t>Tērauda konstrukciju izgatavošana,piegāde,montāža jumtammontēt ar normālā precizētām 8.8 klases galvenazitētām skrūvēm,,6.stiprības klases uzgriežņiem un atbilstošām paplāksnēm,piemetinot ieliekām detaļām,ieskaitot tērauda konstrukciju virsmu apstrādi,ugunsdrošo krāsojumu atbilstoši darba zīmējumu prasībām -ieskaitot metāla kopnes 3 gb</t>
  </si>
  <si>
    <t>Tērauda konstrukcijas</t>
  </si>
  <si>
    <t>Palīgmateriāli -skrūves,uzgriežņi u.c.</t>
  </si>
  <si>
    <t>AS-2</t>
  </si>
  <si>
    <t>Smilts pildījums grīdām,blietējot blīvā veidā</t>
  </si>
  <si>
    <t>AR daļa</t>
  </si>
  <si>
    <t>Sienu tips 1 siltinājums, karkass, apšuvums no arpuses ar Fundermax paneļiem pie fasādes darbiem (Apdare piekarfasāžu paneļi)</t>
  </si>
  <si>
    <t>06-L.c.</t>
  </si>
  <si>
    <t xml:space="preserve">Sienu mūrēšana no FIBO blokiem </t>
  </si>
  <si>
    <t xml:space="preserve">FIBO bloki </t>
  </si>
  <si>
    <t xml:space="preserve">Cementa java </t>
  </si>
  <si>
    <t>Stiegrojums FIBO</t>
  </si>
  <si>
    <t>t.m.</t>
  </si>
  <si>
    <t>Sienu tips 2 pie fasādes darbiem cokols(Pamatu siltinājums)</t>
  </si>
  <si>
    <t>Sienu tips 3 pie fasādes darbiem cokols(Esošu pamatu siltinājums)</t>
  </si>
  <si>
    <t>Sienu tips 4 siltinājums, karkass, apšuvums no arpuses ar Fundermax paneļiem pie fasādes darbiem (Apdare piekarfasāžu paneļi)</t>
  </si>
  <si>
    <t>Sienu tips 5 Dekor. Apmetums pie fasādes (Apdare-dekoratīvais apmetums)</t>
  </si>
  <si>
    <t>Sienu tips 6 siltinājums, karkass, apšuvums ar metāla lpksnēm pie fasādes darbiem (Apdare-skārds)</t>
  </si>
  <si>
    <t>08-L.c.</t>
  </si>
  <si>
    <t xml:space="preserve">Koka karkasa ierīkošana </t>
  </si>
  <si>
    <t>m2</t>
  </si>
  <si>
    <t>Koka bruses  50x100 mm</t>
  </si>
  <si>
    <t>Skrūves</t>
  </si>
  <si>
    <t>100gb</t>
  </si>
  <si>
    <t>L.c.</t>
  </si>
  <si>
    <t>Siltumizolācijas ierīkošana</t>
  </si>
  <si>
    <t xml:space="preserve">  siltumizolācijas plāksnes PAROC WAS35tB, b=100, palīgmateriāli</t>
  </si>
  <si>
    <t>Sienu tips 7  siltinājums, karkass, apšuvums no arpuses ar Fundermax paneļiem pie fasādes darbiem(Apdare piekarfasāžu paneļi)</t>
  </si>
  <si>
    <t>21-L.c.</t>
  </si>
  <si>
    <t>Tvaika izolācijas plēves uzstādīšana SIGA MAJPELL 5 ar palīgmateriāliem</t>
  </si>
  <si>
    <t xml:space="preserve">  siltumizolācijas plāksnes PAROC WAS35, b=100, palīgmateriāli</t>
  </si>
  <si>
    <t>Sienu tips 8</t>
  </si>
  <si>
    <t>13-L.c</t>
  </si>
  <si>
    <t xml:space="preserve">Ekstrudētā putupolistirola izolācija uz līmjavas </t>
  </si>
  <si>
    <t>DOW STYROFOAM 250 A-N 200mm</t>
  </si>
  <si>
    <t>Līmēšanas java SAKRET BK 25kg</t>
  </si>
  <si>
    <t>Stiprinājumi</t>
  </si>
  <si>
    <t>Sienu tips 9</t>
  </si>
  <si>
    <t>Sienu tips 10  siltinājums, karkass, apšuvums no arpuses ar Fundermax paneļiem pie fasādes darbiem(Apdare piekarfasāžu paneļi)</t>
  </si>
  <si>
    <t>21-L.c</t>
  </si>
  <si>
    <t xml:space="preserve">Minerit plātņu montāža </t>
  </si>
  <si>
    <t>Minerit plātes , palīgmateriāli, blīvējumi</t>
  </si>
  <si>
    <t>10-L.c.</t>
  </si>
  <si>
    <t>Sienu apmetuma izveidošana sienai</t>
  </si>
  <si>
    <t>CLP - Apmetuma java 40kg</t>
  </si>
  <si>
    <t>Sienu tips 11  siltinājums, karkass, apšuvums no arpuses ar Fundermax paneļiem pie fasādes darbiem</t>
  </si>
  <si>
    <t>Sienu tips 12</t>
  </si>
  <si>
    <t>Sienu tips 13</t>
  </si>
  <si>
    <t>FIBO bloki 5MPa</t>
  </si>
  <si>
    <t>Sienu tips 14</t>
  </si>
  <si>
    <t>Sienu tips 15</t>
  </si>
  <si>
    <t>Sienu tips 16</t>
  </si>
  <si>
    <t>Sienu tips 17</t>
  </si>
  <si>
    <t>Gipškartona starpsienu karkasa (100mm) izbūve</t>
  </si>
  <si>
    <t xml:space="preserve">UW profils 100x40x0,6 </t>
  </si>
  <si>
    <t>Knauf  blīvlenta 95/3.2 mm</t>
  </si>
  <si>
    <t>Knauf dībelis ''K'' 6/35</t>
  </si>
  <si>
    <t>CW profils 100x50x0.6</t>
  </si>
  <si>
    <t>Skrūves, stiprinājumi, palīgmateriāli</t>
  </si>
  <si>
    <t>13-L.c.</t>
  </si>
  <si>
    <t>Akmens vates (PAROC ) iestrāde   karkasā siltuma / skaņas izolācijai</t>
  </si>
  <si>
    <t>Paroc EXTRA 100 mm</t>
  </si>
  <si>
    <t>Karkasu  apšūšana ar ģipškartonu (2kārtas)</t>
  </si>
  <si>
    <t>Knauf skrūves TN 25 mm gara</t>
  </si>
  <si>
    <t>Knauf skrūves TN 35 mm gara</t>
  </si>
  <si>
    <t>Ģipškartons parastais  GKB Knauf</t>
  </si>
  <si>
    <t>Karkasu  apšūšana ar mitrumizturīgo ģipškartonu (2kārtas)</t>
  </si>
  <si>
    <t>Ģipškartons mitrumizturīgais  GKBI Knauf</t>
  </si>
  <si>
    <t>Knauf ģipškartona plātne GKF</t>
  </si>
  <si>
    <t>Sienu tips 18-23 skat. Iekšējos apdares darbus apmetums</t>
  </si>
  <si>
    <t>Sienu tips 24</t>
  </si>
  <si>
    <t xml:space="preserve">Metāla karkasa izbūve sienu apšūšanai ar ģipškartonu </t>
  </si>
  <si>
    <t>UD profils 28x27x0.6</t>
  </si>
  <si>
    <t>Knauf  blīvlenta 30/3.0 mm</t>
  </si>
  <si>
    <t>CD profils 60x27x06</t>
  </si>
  <si>
    <t>U -veida skava CD profilam 60/27 60 mm</t>
  </si>
  <si>
    <t>Knauf skrūve LN 9mm</t>
  </si>
  <si>
    <t>Akmens vates (PAROC) iestrāde   karkasā siltuma /skaņas izolācijai</t>
  </si>
  <si>
    <t>Paroc EXTRA 50 mm</t>
  </si>
  <si>
    <t>Karkasu  apšūšana ar ģipškartonu (1kārta)</t>
  </si>
  <si>
    <t>Sienu tips 25</t>
  </si>
  <si>
    <t>Gipškartona starpsienu karkasa (150mm) izbūve</t>
  </si>
  <si>
    <t>Sienu tips 26</t>
  </si>
  <si>
    <t>Karkasu  apšūšana ar  ģipškartonu  (3kārtas)</t>
  </si>
  <si>
    <t>Sienu tips 27</t>
  </si>
  <si>
    <t>Sienu tips 28</t>
  </si>
  <si>
    <t>Sienu tips 29</t>
  </si>
  <si>
    <t>Sienu tips 30 šahtu apšuvums</t>
  </si>
  <si>
    <t>Karkasu  apšūšana ar ģipškartonu (2kārta) ugunsdrošs 20+12,5 mm</t>
  </si>
  <si>
    <t>WC sienas</t>
  </si>
  <si>
    <t>Saliekamo WC, dušu šķērssienu  montāža</t>
  </si>
  <si>
    <t>Bezrāmju monolīts  lamināts, profillīstes  anodēts  alumīnijs, ELTETE</t>
  </si>
  <si>
    <t xml:space="preserve">Parapeta piemūrēšana no FIBO blokiem </t>
  </si>
  <si>
    <t>Ailu aizmūrēšana</t>
  </si>
  <si>
    <t>BKdaļa</t>
  </si>
  <si>
    <t xml:space="preserve"> BK Sienas  (asīs 1-6;A-F)ieejas halle u.c.</t>
  </si>
  <si>
    <t>Aiļu  pārsedzes 1.stāvā BK-1.20;1-21</t>
  </si>
  <si>
    <t>Metāla konstrukciju montāža pārsedzēm, stiprinot ar bultskrūvēm un metāla ķīļiem,piemetinot pie ieliekamām detaļām,konstrukciju notīrīšana no rūsas gruntēšana,krāsošana,gropes izkalšana</t>
  </si>
  <si>
    <t>Metāla aiļu pārsedžu apmešana,aptinot ar Rabica sietu,rukuma javas iestrāde visām pārsedzēm</t>
  </si>
  <si>
    <t>Rabica siets</t>
  </si>
  <si>
    <t>Apmetuma java</t>
  </si>
  <si>
    <t xml:space="preserve">Java aizpildīšanai </t>
  </si>
  <si>
    <t>Pagaidu pārseguma stiprinājumi uzstādīšana,nojaukšana pārsedžu izbūves laikā</t>
  </si>
  <si>
    <t>Fibo pārsedžu montāža 185X250X1490</t>
  </si>
  <si>
    <t>Betona C25/30 iestrādāšana  konstrukcijās,novibrējot,betonu sagatavo objektā</t>
  </si>
  <si>
    <t xml:space="preserve"> BK Sienas Nesoša konstrukcijas (asīs 1-6;A-F)ieejas halle u.c.</t>
  </si>
  <si>
    <t>Tērauda konstrukciju izgatavošana,piegāde,montāža jmontēt ar normālā precizētām 8.8 klases galvenazitētām skrūvēm,,6.stiprības klases uzgriežņiem un atbilstošām paplāksnēm,piemetinot ieliekām detaļām,ieskaitot tērauda konstrukciju virsmu apstrādi,ugunsdrošo krāsojumu atbilstoši darba zīmējumu prasībām ,gropes izkalšana</t>
  </si>
  <si>
    <t>1.stāva nesošās konstrukcijas BK-1.15</t>
  </si>
  <si>
    <t xml:space="preserve">Tērauda konstrukciju izgatavošana,piegāde,montāža jmontēt ar normālā precizētām 8.8 klases galvenazitētām skrūvēm,,6.stiprības klases uzgriežņiem un atbilstošām paplāksnēm,piemetinot ieliekām detaļām,ieskaitot tērauda konstrukciju virsmu apstrādi,ugunsdrošo krāsojumu atbilstoši darba zīmējumu prasībām </t>
  </si>
  <si>
    <t>Kolonna DZK-1---7 gb-BK-1.16</t>
  </si>
  <si>
    <t>Inventāro veidņu uzstādīšana,eļļošana   un nojaukšana ,noma</t>
  </si>
  <si>
    <t>Armtūras sietu izgatavošana ,uzstādīšana,fiksatoru uzstādīšana  .Armatūras stiegru sagarināšanu,sasiešanu ar stiepli veic būvlaukumā,armatūra B500B.Garenvirzienā stiegras savienot ar pārlaidumu , kura garums ir 30 stiegras diametri</t>
  </si>
  <si>
    <t xml:space="preserve"> BK Sienas (asīs 3*-4*;G-J)palīgtelpas</t>
  </si>
  <si>
    <t>Atbalstsiena AS-1 (BK-4.8</t>
  </si>
  <si>
    <t>Grunts rakšana ar rokām,esošās grīdas demontāža,būvgružu izvešana no telpas un aizvešana uz atbērtni</t>
  </si>
  <si>
    <t>Telpas aizbēršana ar vidēji ruoju smilti,blietējot</t>
  </si>
  <si>
    <t>Betona bloku 240 mm mūrēšana</t>
  </si>
  <si>
    <t>Pārsedzes pagrabstāva līmenī BK-4.9</t>
  </si>
  <si>
    <t>Armtūras sietu izgatavošana ,uzstādīšana,fiksatoru uzstādīšana aiļu pārsedzēm monol'tās sienās.Armatūras stiegru sagarināšanu,sasiešanu ar stiepli veic būvlaukumā,armatūra B500B.Garenvirzienā stiegras savienot ar pārlaidumu , kura garums ir 30 stiegras diametri</t>
  </si>
  <si>
    <t>HPM20L</t>
  </si>
  <si>
    <t>Fibo pārsedžu montāža 150x185x1190</t>
  </si>
  <si>
    <t>Fibo pārsedžu montāža 150x185x1490</t>
  </si>
  <si>
    <t>Fibo pārsedžu montāža 250x185x2690</t>
  </si>
  <si>
    <t>Fibo pārsedžu montāža 250x185x1490</t>
  </si>
  <si>
    <t>Fibo pārsedžu montāža 250x185x1190</t>
  </si>
  <si>
    <t>Fibo pārsedžu montāža 250x185x1790</t>
  </si>
  <si>
    <t>Fibo pārsedžu montāža 250x185x2990</t>
  </si>
  <si>
    <t>Fibo pārsedžu montāža 300x185x2690</t>
  </si>
  <si>
    <t>Kolonnas 1.stāva BK-4.15......4.19</t>
  </si>
  <si>
    <t>Dz.btona kolonnas K-1.1;l-=7390 mm montāža ar papildus ieliekamām detaļām-400x400</t>
  </si>
  <si>
    <t>Dz.btona kolonnas K-1.2;l=7390 montāža ar papildus ieliekamām detaļām-400x400</t>
  </si>
  <si>
    <t>Dz.btona kolonnas K-1.3;l=7300 montāža ar papildus ieliekamām detaļām-400x400</t>
  </si>
  <si>
    <t>Dz.btona kolonnas K-1.4;l=7970 montāža ar papildus ieliekamām detaļām-400x400</t>
  </si>
  <si>
    <t>Dz.btona kolonnas K-1.5;l=9620 montāža ar papildus ieliekamām detaļām-400x400</t>
  </si>
  <si>
    <t xml:space="preserve"> BK  Sienas ( BKasīs 4-5;G(skatuves daļa))</t>
  </si>
  <si>
    <t>Nesošo vertikālo elementu montāžas shēma uz atz.-2.650 BK-3.10i</t>
  </si>
  <si>
    <t xml:space="preserve"> BK Pārsegums  (asīs 1-6;A-F)ieejas halle u.c.</t>
  </si>
  <si>
    <t>Pārsegums BK-1.22.....1.26</t>
  </si>
  <si>
    <t>Ieliekamā detaļa ID-1</t>
  </si>
  <si>
    <t>Metāla konstrukciju montāža , stiprinot ar bultskrūvēm,konstrukciju notīrīšana no rūsas gruntēšana,krāsošana</t>
  </si>
  <si>
    <t xml:space="preserve"> BK Pārsegums (asīs 1-6;A-F)ieejas halle u.c.</t>
  </si>
  <si>
    <t>Jumts asīs 1-2/A-F -BK-2.2</t>
  </si>
  <si>
    <t>Jumta koka konstrukciju montāža no antiseptētām brusām,stiprinot ar metāla kalumiem skrūvēm</t>
  </si>
  <si>
    <t>Antisetētas brusas</t>
  </si>
  <si>
    <t>Palīgmateriāli-metāla kalumi,skrūves,ruberoids u.c.</t>
  </si>
  <si>
    <t>Griesti asis 1-2/A-F  - BK-2.1</t>
  </si>
  <si>
    <t>Griesti asis 4-6/E-G  - BK-2.3</t>
  </si>
  <si>
    <t>Koka konstrukciju montāža no antiseptētām brusām,stiprinot ar metāla kalumiem skrūvēm</t>
  </si>
  <si>
    <t xml:space="preserve"> BK Pārsegums (asīs 3*-4*;G-J)palīgtelpas</t>
  </si>
  <si>
    <t>Pārsegums BK-4.11;4.12;13;14</t>
  </si>
  <si>
    <t>Betona C35/45iestrādāšana  konstrukcijās,novibrējot,betonu padod ar sūkni</t>
  </si>
  <si>
    <t>Betons C35/45</t>
  </si>
  <si>
    <t>ARdaļa</t>
  </si>
  <si>
    <t>G-14 (C-E asīs)</t>
  </si>
  <si>
    <t>Koka pārseguma siju montāža</t>
  </si>
  <si>
    <t>Kokmateriāli antiseptēti</t>
  </si>
  <si>
    <t>Metāla stiprinājumi Vormann</t>
  </si>
  <si>
    <t xml:space="preserve">Ruberoids RKP/RPP 300/350 </t>
  </si>
  <si>
    <t xml:space="preserve">Siltumizolācija Paroc </t>
  </si>
  <si>
    <t>Koka grīdas  gulšņu  ierīkošana</t>
  </si>
  <si>
    <t xml:space="preserve">Grīdas gulšņi  50x50 mm </t>
  </si>
  <si>
    <t>Stiprinājumi, skrūves, u.c.</t>
  </si>
  <si>
    <t xml:space="preserve">Pretvēja izolācija </t>
  </si>
  <si>
    <t>Retināta dēļu klāja ierīkošana</t>
  </si>
  <si>
    <t xml:space="preserve">Grīdas dēļi </t>
  </si>
  <si>
    <t>Stiprinājumi, skrūves u.c.</t>
  </si>
  <si>
    <t>G-18</t>
  </si>
  <si>
    <t>Grīdu iesegšana ar OSB 22 mm</t>
  </si>
  <si>
    <t>OSB.  b=22 mm</t>
  </si>
  <si>
    <t xml:space="preserve">Skrūves </t>
  </si>
  <si>
    <t>Latojuma  ierīkošana</t>
  </si>
  <si>
    <t xml:space="preserve">Kokmateriāli  50x50 mm </t>
  </si>
  <si>
    <t>Garenlatojuma  ierīkošana</t>
  </si>
  <si>
    <t>AR</t>
  </si>
  <si>
    <t>J-Protan segums</t>
  </si>
  <si>
    <t xml:space="preserve">Tvaika izolācija  </t>
  </si>
  <si>
    <t>SBS poliest.plēve ar armējumu</t>
  </si>
  <si>
    <t>Siltumizolācijas ierīkošana1k.</t>
  </si>
  <si>
    <t>Paroc ROS 30 50 mm, palīgmateriāli</t>
  </si>
  <si>
    <t>Siltumizolācijas ierīkošana2k.</t>
  </si>
  <si>
    <t>Paroc ROS 30g 200 mm, palīgmateriāli</t>
  </si>
  <si>
    <t>Siltumizolācijas ierīkošana3k.</t>
  </si>
  <si>
    <t>Lēzeno jumtu virskārtas izolācija Paroc ROB80 20mm</t>
  </si>
  <si>
    <t>PAROC ROB80 20mm, palīgmateriāli</t>
  </si>
  <si>
    <t>09-L.c.</t>
  </si>
  <si>
    <t>Līmējama seguma ieklāšana jumtam</t>
  </si>
  <si>
    <t>Protan SE 1,2 mm PVC, palīgmateriāli</t>
  </si>
  <si>
    <t>Ruļveida seguma ieklāšana parapetiem</t>
  </si>
  <si>
    <t>Tvaika izvadu montāža</t>
  </si>
  <si>
    <t>Tvaika izvadi ETERNO</t>
  </si>
  <si>
    <t>Notekgrozu ierīkošana, ieskaitot mezglu apstrādi</t>
  </si>
  <si>
    <t>Notekgrozs, siltinājums, palīgmateriāli</t>
  </si>
  <si>
    <t>Parapets</t>
  </si>
  <si>
    <t>Parapetu apdare ar krāsotu skārdu</t>
  </si>
  <si>
    <t>Skārds 0,5mm ar Pural pārklājumu</t>
  </si>
  <si>
    <t>Skrūves  un  dībeļi, latojums, siltinājums, vēja aizsargbarjera, OSB 18 mm, montāžas materiāli, palīgmateriāli</t>
  </si>
  <si>
    <t>J-Ruukki segums siltināts jumts</t>
  </si>
  <si>
    <t xml:space="preserve">Antiseptētu retinātu koka dēļu klāja 100x25 izveidošana </t>
  </si>
  <si>
    <t>Latas 25x100 mm, solis 140 mm</t>
  </si>
  <si>
    <t>Jumta iesegšana ar Ruukki</t>
  </si>
  <si>
    <t>RUUKKI loksnes Classic</t>
  </si>
  <si>
    <t>Skrūves Ruukki</t>
  </si>
  <si>
    <t>Palīgmateriāli</t>
  </si>
  <si>
    <t>J-Ruukki segums nesiltināts jumts</t>
  </si>
  <si>
    <t>Antikondensāta plēves iesegšana</t>
  </si>
  <si>
    <t>Antikondensāta plēve</t>
  </si>
  <si>
    <t xml:space="preserve">Jumta latojuma izveidošana </t>
  </si>
  <si>
    <t>Latas 50x50 mm</t>
  </si>
  <si>
    <t>Skārda atloka montāža</t>
  </si>
  <si>
    <t>09-L.c</t>
  </si>
  <si>
    <t>Lietus ūdensnotekrenes 200 mmm montāža ar veidgabaliem,stiprinājumiem,savienojuma vietas apstādāt ar silikonu saskaņā ar AR daļas  Jumta plānu</t>
  </si>
  <si>
    <t>Lietus ūdensnotekcaurules 150 mmm montāža ar veidgabaliem,stiprinājumiem,savienojuma vietas apstādāt ar silikonu saskaņā ar AR daļas  Jumta plānu</t>
  </si>
  <si>
    <t>Jaunu dūmu lūkas vietu sagatavošana, ailu izkalšana, ailes apmaļu apdare</t>
  </si>
  <si>
    <t>Jumta lūkas montāža</t>
  </si>
  <si>
    <t>Jumta lūka-siltināta, palīgmateriāli</t>
  </si>
  <si>
    <t>Sniega barjeru montāža</t>
  </si>
  <si>
    <t>Metāla kāpņu uzstādīšana uz jumta  Baltimex vai analogs skat. Jumta plānu</t>
  </si>
  <si>
    <t>05-L.c.</t>
  </si>
  <si>
    <t>Koka konstrukciju montāža piestiprināšana pie metāla konstrukcijām dekoratīvam jumta režģim h=2m</t>
  </si>
  <si>
    <t>Antiseptētas koka konstrukcijas, stiprinājumi</t>
  </si>
  <si>
    <t>Dekoratīvo jumtu režģu krāsošana ar tonētu krāsu h=2m</t>
  </si>
  <si>
    <t>Esošo jumta kopņu pārklāšana ar ugunsdrošu sastāvu nodrošināt ugunsizturību R15</t>
  </si>
  <si>
    <t xml:space="preserve"> BK Jumts (asīs 1-6;A-F)ieejas halle u.c.</t>
  </si>
  <si>
    <t>Jumts BK-1.28;1.29</t>
  </si>
  <si>
    <t xml:space="preserve">Tērauda konstrukciju izgatavošana,piegāde,montāža jumtammontēt ar normālā precizētām 8.8 klases galvenazitētām skrūvēm,,6.stiprības klases uzgriežņiem un atbilstošām paplāksnēm,piemetinot ieliekām detaļām,ieskaitot tērauda konstrukciju virsmu apstrādi,ugunsdrošo krāsojumu atbilstoši darba zīmējumu prasībām </t>
  </si>
  <si>
    <t>Nesošā profīla montāža Ruukki T130-75L-930;t=0,8</t>
  </si>
  <si>
    <t>Ruukki T130-75L-930;t=0,8</t>
  </si>
  <si>
    <t>Betona C30/37 iestrādāšana  konstrukcijās,novibrējot,betonu sagatavo objektā</t>
  </si>
  <si>
    <t>3.stāva nesošās konstrukcijas BK-1.30</t>
  </si>
  <si>
    <t>Nesošā profīla montāža Ruukki Steelkop;t=0,7</t>
  </si>
  <si>
    <t>Ruukki Steelkop;t=0,7</t>
  </si>
  <si>
    <t xml:space="preserve"> BK Jumts (asīs C-E/4-6)ieejas halle u.c.</t>
  </si>
  <si>
    <t>Jumts BK-1.44I</t>
  </si>
  <si>
    <t xml:space="preserve"> BK Jumts (asīs 3*-4*;G-J)palīgtelpas</t>
  </si>
  <si>
    <t>Jumts BK-4.20... 4.24</t>
  </si>
  <si>
    <t xml:space="preserve">Tērauda konstrukciju izgatavošana,piegāde,montāža jumtam montēt ar normālā precizētām 8.8 klases galvenazitētām skrūvēm,,6.stiprības klases uzgriežņiem un atbilstošām paplāksnēm,piemetinot ieliekām detaļām,ieskaitot tērauda konstrukciju virsmu apstrādi,ugunsdrošo krāsojumu atbilstoši darba zīmējumu prasībām </t>
  </si>
  <si>
    <t>Ruukki T130-75L-930;t=1,2</t>
  </si>
  <si>
    <t>Āra bedre ĀB-1-- - BK-4.7</t>
  </si>
  <si>
    <t>Būvbedres un tranšejas aizbēršana ar buldozeru ar esošo grunti</t>
  </si>
  <si>
    <t>Būvbedres un tranšejas aizbēršana ar rokām ar esošo grunti</t>
  </si>
  <si>
    <t xml:space="preserve">Tērauda konstrukciju izgatavošana,piegāde,montāža montēt ar normālā precizētām 8.8 klases galvenazitētām skrūvēm,,6.stiprības klases uzgriežņiem un atbilstošām paplāksnēm,piemetinot ieliekām detaļām,ieskaitot tērauda konstrukciju virsmu apstrādi,ugunsdrošo krāsojumu atbilstoši darba zīmējumu prasībām </t>
  </si>
  <si>
    <t>Režģota klāja montāža no karsti cinkota materiāla 1200x1860/30x3</t>
  </si>
  <si>
    <t>BK Jumts (asīs 4-5;G(skatuves daļa))</t>
  </si>
  <si>
    <t>Jumta elementu montāžas shēma  BK-3.19;3.23</t>
  </si>
  <si>
    <t>Jumts asīs 4-6/E-G -BK-2.4</t>
  </si>
  <si>
    <t>Esošo kopņu pārvietošana</t>
  </si>
  <si>
    <t>Ārpuse</t>
  </si>
  <si>
    <t xml:space="preserve">Ieejas mezgls ar pandusu 2-4, F+ </t>
  </si>
  <si>
    <t>Jauni betona pakāpieni ar granīta apdari  2-4, F+ ar drenāžas slāni Aqua Drain</t>
  </si>
  <si>
    <t xml:space="preserve">Granīta plāksnes ieejas mezglam  2-4, F+ </t>
  </si>
  <si>
    <t>Ieejas mezgls ar pandusu 2-4, A-B iekaitot apdari</t>
  </si>
  <si>
    <t>Jauni betona pakāpieni ar granīta apdari  ieejas mezglam 2-4, A-B ar drenāžas slāni Aqua Drain</t>
  </si>
  <si>
    <t>Granīta plāksnes ieejas mezglam  2-4, A-B</t>
  </si>
  <si>
    <t>Metāla vertikālo kāpņu uzstādīšana Vilmo metāls vai analogs skat. Jumta plānu</t>
  </si>
  <si>
    <t>03-L.c.</t>
  </si>
  <si>
    <t>Kājslauķu FORBO Nuway vai analogs ierīkošana</t>
  </si>
  <si>
    <t>Kājslauķu FORBO Coral Brush Blend vai analogs ierīkošana</t>
  </si>
  <si>
    <t>Iekštelpas</t>
  </si>
  <si>
    <t>Skatuves daļa</t>
  </si>
  <si>
    <t>Kāpņu ierīkošana uzejai uz skatuves- koka saplākšņa transformējama podestūra pa G* asi</t>
  </si>
  <si>
    <t>Margu montāža atz. 7,01</t>
  </si>
  <si>
    <t>Pārējās telpas</t>
  </si>
  <si>
    <t>Dzelzsbetona pakāpienu montāža līmeņu maiņas vietās telpa 1,3;1,15</t>
  </si>
  <si>
    <t>Esošo kāpņu remonts telpa 1,14</t>
  </si>
  <si>
    <t xml:space="preserve">Esošo margu remonts, atjaunošana (roktura nomaiņa, metāla konstrukciju remonts, apdare) </t>
  </si>
  <si>
    <t>Masīva bērza margu rokturis, špaktele, gruntskrāša, krāsa metāla konstrukcijām u.c. Nepieciešamie materiāli</t>
  </si>
  <si>
    <t>Esošo kāpņu, betona pakāpienu remonts, krāsošana ar epoksīda krāsu</t>
  </si>
  <si>
    <t>Remonta špaktele, Caparol Dispobox 447 divkomponentu krāsa vai analogs u.c. Nepieciešamie materiāli</t>
  </si>
  <si>
    <t>Esošo kāpņu remonts telpa 1,5</t>
  </si>
  <si>
    <t>Margas</t>
  </si>
  <si>
    <t>Margu montāža M-1</t>
  </si>
  <si>
    <t>Margu montāža M-2</t>
  </si>
  <si>
    <t>Margu montāža M-3</t>
  </si>
  <si>
    <t>Margu montāža pandusiem</t>
  </si>
  <si>
    <t>Margu montāža tehniskajiem laukumiem</t>
  </si>
  <si>
    <t xml:space="preserve"> BK Kāpnes (asīs 1-6;A-F)ieejas halle u.c.</t>
  </si>
  <si>
    <t>Kāpnes DzKap-1-BK-1.34...1.36</t>
  </si>
  <si>
    <t>Būvbedres un tranšejas aizbēršana ar roku darbu ar izrakto grunti</t>
  </si>
  <si>
    <t>Veidņu uzstādūšana ,nojaukšana betona pamatam no OSB plāksnēm 12 mm</t>
  </si>
  <si>
    <t>Betona C25/30 iestrādāšana  konstrukcijās,novibrējot,betonu padod ar sūkni</t>
  </si>
  <si>
    <t>Tērauda konstrukciju-karsti cinkotas izgatavošana,piegāde,montāža jmontēt ar normālā precizētām 8.8 klases galvenazitētām skrūvēm,,6.stiprības klases uzgriežņiem un atbilstošām paplāksnēm,piemetinot ieliekām detaļām,ieskaitot tērauda konstrukciju virsmu apstrādi</t>
  </si>
  <si>
    <t>Profīla polimex Mostostaļ 30x3/3x78</t>
  </si>
  <si>
    <t xml:space="preserve"> BK Kāpnes lieveņi (asīs 3*-4*;G-J)palīgtelpas</t>
  </si>
  <si>
    <t>Āra kāpnes AK-1-BK-4.5</t>
  </si>
  <si>
    <t>Atbalstsienu horizontālas virsmas nosegšana ar betona plātnēm b=300 mm</t>
  </si>
  <si>
    <t>Saliekamo betona pakāpienu montāža 1300x300</t>
  </si>
  <si>
    <t>Āra kāpnes AK-2 - BK-4.6</t>
  </si>
  <si>
    <t>Būvbedres un tranšejas aizbēršana ar rokām,uzbēruma veidošana ar esošo grunti</t>
  </si>
  <si>
    <t>Saliekamo betona pakāpienu montāža 2200x300</t>
  </si>
  <si>
    <t xml:space="preserve">Saliekamo betona pakāpienu montāža </t>
  </si>
  <si>
    <t>Deformācijas šuvju izveidošana atbilstoši iebūves tehnoloģijai terasē</t>
  </si>
  <si>
    <t>Deformācijas šuvju izveidošana atbilstoši iebūves tehnoloģijai gar ēkas sienu</t>
  </si>
  <si>
    <t>Rukumu šuves izveidošana terasē</t>
  </si>
  <si>
    <t>Kājslauķa iebūve</t>
  </si>
  <si>
    <t xml:space="preserve"> BK Kāpnes ( asīs 4-5;G(skatuves daļa))</t>
  </si>
  <si>
    <t>Pakāpienu montāža 250x900,St3s+Z275</t>
  </si>
  <si>
    <t>G-1</t>
  </si>
  <si>
    <t>Grunts blietēšana un smilts pamatojuma izveidošana</t>
  </si>
  <si>
    <t>Smiltis ar piegādi</t>
  </si>
  <si>
    <t>Šķembu pamatojuma izveidošana</t>
  </si>
  <si>
    <t>Dolomīta šķembas ar piegādi</t>
  </si>
  <si>
    <t>Hidroizolācijas ierīkošana</t>
  </si>
  <si>
    <t xml:space="preserve">Hidroizolācija </t>
  </si>
  <si>
    <t>Siltumizolācijas ierīkošana  b=200 mm</t>
  </si>
  <si>
    <t>Polistirols EPS150 200 mm</t>
  </si>
  <si>
    <t>Armatūras uzstādīšana</t>
  </si>
  <si>
    <t xml:space="preserve">Stiegrojuma siets </t>
  </si>
  <si>
    <t>distanceri, ieliekamās detaļas uc paligmateriāli</t>
  </si>
  <si>
    <t>Betona  slānis 80 mm</t>
  </si>
  <si>
    <t>Betons B 15</t>
  </si>
  <si>
    <t>Hidroizolācija QAD</t>
  </si>
  <si>
    <t>G-2</t>
  </si>
  <si>
    <t>G-3</t>
  </si>
  <si>
    <t>Grīdas špaktelēšana ar Vetonit 3000 0-5 mm 3mm biezumā</t>
  </si>
  <si>
    <t xml:space="preserve">Vetonit 3000 Nobeiguma līdzinātājs </t>
  </si>
  <si>
    <t>G-4</t>
  </si>
  <si>
    <t>Šķembu pamatojuma izveidošana 150 mm</t>
  </si>
  <si>
    <t>G-19</t>
  </si>
  <si>
    <t>G-5</t>
  </si>
  <si>
    <t>Siltumizolācija Paroc GRS20 100mm</t>
  </si>
  <si>
    <t>PAROC GRS20 b=100mm</t>
  </si>
  <si>
    <t>Betona  slānis 60 mm</t>
  </si>
  <si>
    <t>G-6</t>
  </si>
  <si>
    <t>G-7</t>
  </si>
  <si>
    <t xml:space="preserve">Siltumizolācija Paroc GRS20 </t>
  </si>
  <si>
    <t>PAROC GRS20 60mm</t>
  </si>
  <si>
    <t>0,20mm poliet.plēve (UV - stabilizēta) Tvaika izol</t>
  </si>
  <si>
    <t>Triecienabsorbējošs klājs 15 mm</t>
  </si>
  <si>
    <t xml:space="preserve">Grīdu iesegšana ar saplāksni </t>
  </si>
  <si>
    <t>Saplāksnis   b=9 mm</t>
  </si>
  <si>
    <t>G-8</t>
  </si>
  <si>
    <t>Grunts blietēšana un smilts pamatojuma izveidošana 50 mm</t>
  </si>
  <si>
    <t>G-9</t>
  </si>
  <si>
    <t>G-14 sadaļā Pārsegums</t>
  </si>
  <si>
    <t>G-15</t>
  </si>
  <si>
    <t>G-16</t>
  </si>
  <si>
    <t xml:space="preserve">Grīdas gulšņi  120x50 mm </t>
  </si>
  <si>
    <t>Stiprinājumi, skrūves,starplika u.c.</t>
  </si>
  <si>
    <t>Dēļu klāja ierīkošana</t>
  </si>
  <si>
    <t>Grīdas dēļi 60x40</t>
  </si>
  <si>
    <t>G-17-balkona pārsegums</t>
  </si>
  <si>
    <t>Koka konstrukciju montāža</t>
  </si>
  <si>
    <t>Metāla stiprinājumi</t>
  </si>
  <si>
    <t>Metāla nosegdaļas montāža</t>
  </si>
  <si>
    <t xml:space="preserve">Mīkstā seguma grīdu iesegšana </t>
  </si>
  <si>
    <t>Mīkstais grīdas segums FORBO</t>
  </si>
  <si>
    <t xml:space="preserve">Mīkstā seguma līme </t>
  </si>
  <si>
    <t>palīgmateriāli</t>
  </si>
  <si>
    <t>Grīdu apdare</t>
  </si>
  <si>
    <t>Betona slīpēšana un krāsošana</t>
  </si>
  <si>
    <t>Koka brusu krāsošana</t>
  </si>
  <si>
    <t>Parketa iesegšana Multiflex M trīsslāņu</t>
  </si>
  <si>
    <t>Ozolkoka parketa iesegšana</t>
  </si>
  <si>
    <t>Izolācija zem parketa</t>
  </si>
  <si>
    <t xml:space="preserve">Trīsslāņu parkets </t>
  </si>
  <si>
    <t>Parketa līme PL4</t>
  </si>
  <si>
    <t>l</t>
  </si>
  <si>
    <t xml:space="preserve">Linoleja grīdu iesegšana </t>
  </si>
  <si>
    <t>Linolejs PVC flīzes ar koka imitāciju FORBO Allure</t>
  </si>
  <si>
    <t xml:space="preserve">Linoleja līme </t>
  </si>
  <si>
    <t>Metināšana diegs</t>
  </si>
  <si>
    <t>Linolejs PVC</t>
  </si>
  <si>
    <t>Linolejs dabīgais FORBO</t>
  </si>
  <si>
    <t>Akmensmasas flīžu seguma ierīkošana</t>
  </si>
  <si>
    <t>Akmensmasas flīzes 60x120cm</t>
  </si>
  <si>
    <t>Flīžu līme Atlas</t>
  </si>
  <si>
    <t>Šuvju mastika</t>
  </si>
  <si>
    <t>Akmensmasas flīzes 45x45cm</t>
  </si>
  <si>
    <t>Finierētas ( ozola nažfinieris), aplīstētas kājlīstes (H = 100mm)  ierīkošana</t>
  </si>
  <si>
    <t>Skujkoka grīdlīstes krāsotas ierīkošana</t>
  </si>
  <si>
    <t>Linoleja kājlīstes h=80 mm ierīkošana</t>
  </si>
  <si>
    <t>Flīzētas grīdlīstes H=100 mm ierīkošana</t>
  </si>
  <si>
    <t xml:space="preserve">Logu bloku uzstādīšana </t>
  </si>
  <si>
    <t>L1 logu bloks (0,9x1,7m)</t>
  </si>
  <si>
    <t>L3 logu bloks (1,5x0,9m)</t>
  </si>
  <si>
    <t>L4 logu bloks (0,7x0,7m)</t>
  </si>
  <si>
    <t>L5 logu bloks (2,53x2,58m)</t>
  </si>
  <si>
    <t>L6 logu bloks (2,53x1,71m)</t>
  </si>
  <si>
    <t>L7 logu bloks (2,53x1,71m)</t>
  </si>
  <si>
    <t>L8 logu bloks (1,41x0,9m)</t>
  </si>
  <si>
    <t>L9 logu bloks (1,5x1,6m)</t>
  </si>
  <si>
    <t>L11 logu bloks (1,73x3,25m)</t>
  </si>
  <si>
    <t>L12 logu bloks (1,5x1,6m)</t>
  </si>
  <si>
    <t>L13 logu bloks (2x2m)</t>
  </si>
  <si>
    <t>Palīgmateriāli(skavas,putas,silikons, blīvējumi u.c.)</t>
  </si>
  <si>
    <t>Iekšējās palodzes uzstādīšana</t>
  </si>
  <si>
    <t xml:space="preserve">Palodze saplāksnis 30 mm aplīmēta ar plastikātu  </t>
  </si>
  <si>
    <t>Ārējo palodžu montāža</t>
  </si>
  <si>
    <t>Krāsots skārds</t>
  </si>
  <si>
    <t>Dībeļi, skrūves, kniedes, siltumizolācija b=30 mm, palīgmateriāli</t>
  </si>
  <si>
    <t xml:space="preserve">Fasādes stikloto konstrukciju uzstādīšana </t>
  </si>
  <si>
    <t>SF-1</t>
  </si>
  <si>
    <t>SF-2</t>
  </si>
  <si>
    <t>SF-3</t>
  </si>
  <si>
    <t>SF-4</t>
  </si>
  <si>
    <t>SF-5</t>
  </si>
  <si>
    <t>SF-6</t>
  </si>
  <si>
    <t>AD-1 (1x2,1m)</t>
  </si>
  <si>
    <t>AD-2 (1,92x2,94m)</t>
  </si>
  <si>
    <t>AD-3 (1,3x2,1m)</t>
  </si>
  <si>
    <t>AD-4 (2x2,1m)</t>
  </si>
  <si>
    <t>AD-5 (1,3x3,35m)</t>
  </si>
  <si>
    <t>AD-6 (1,3x2,1m)</t>
  </si>
  <si>
    <t>AD-7 (1x1,5m)</t>
  </si>
  <si>
    <t>Palīgmateriāli(skavas,putas,silikons u.c.)</t>
  </si>
  <si>
    <t>D-1 (2,03x2,3m)</t>
  </si>
  <si>
    <t>D-2 (0,8x1,5m)</t>
  </si>
  <si>
    <t>D-3 (0,8x1,5m)</t>
  </si>
  <si>
    <t>D-4 (0,8x2,1m)</t>
  </si>
  <si>
    <t>D-5 (0,9x2,1m)</t>
  </si>
  <si>
    <t>D-6 (1,0x2,1m)</t>
  </si>
  <si>
    <t>D-7 (1x2,1m)</t>
  </si>
  <si>
    <t>D-8 (0,8x2,1m)</t>
  </si>
  <si>
    <t>D-9 (0,7x2,1m)</t>
  </si>
  <si>
    <t>D-10 (1x2,1m)</t>
  </si>
  <si>
    <t>D-11 (2x2,1m)</t>
  </si>
  <si>
    <t>D-12 (1,5x2,1m)</t>
  </si>
  <si>
    <t>D-13 (2x2,42m)</t>
  </si>
  <si>
    <t>D-13* (2x2,42m)</t>
  </si>
  <si>
    <t>D-14 (2x2,42m)</t>
  </si>
  <si>
    <t>D-15 (0,9x2,1m)</t>
  </si>
  <si>
    <t>D-16 (0,9x2,1m)</t>
  </si>
  <si>
    <t>D-17 (2,4x2,5m)</t>
  </si>
  <si>
    <t>D-18 (1,8x2,1m)</t>
  </si>
  <si>
    <t>D-19 (2x2,42m)</t>
  </si>
  <si>
    <t>D-20 (1,3x2,1m)</t>
  </si>
  <si>
    <t>D-21 (1,37x2,1m)</t>
  </si>
  <si>
    <t>D-23 (0,9x1,8m)</t>
  </si>
  <si>
    <t>D-24 (1,3x2,1m)</t>
  </si>
  <si>
    <t>D-25 (0,9x2,1m)</t>
  </si>
  <si>
    <t xml:space="preserve">Garāžas vārtu montāža GV-1 </t>
  </si>
  <si>
    <t>08-L.c</t>
  </si>
  <si>
    <t>Metāla leņķprofila montāža pa logu un ārdurvju perimetru</t>
  </si>
  <si>
    <t>Amoritizējošo dizūzijas lentu iebūve pa logu un ārduvju perimetru (iekšējās un ārējās)</t>
  </si>
  <si>
    <t xml:space="preserve">Griesti </t>
  </si>
  <si>
    <t>Kāpņu apakšdaļas apmetums, gruntēšana, špaktelēšana, krāsošana</t>
  </si>
  <si>
    <t>Piekārto griestu ierīkošana-ISOVER 1200x600 mm</t>
  </si>
  <si>
    <t>Piekārto griestu ierīkošana Ecophon Advantage1200x600 mm</t>
  </si>
  <si>
    <t>Piekārto griestu ierīkošana Ecophon Solo 1200x1200,1200x2400</t>
  </si>
  <si>
    <t>Piekārto griestu ierīkošana Danoline Designpanel T3L4 900x2400</t>
  </si>
  <si>
    <t>Piekārto griestu ierīkošana Paneļi Q65 600x600 mm telpa 1,16</t>
  </si>
  <si>
    <t>Piekārto griestu ierīkošana Paneļi ECOPHONE SOMBRA 1200x1200/1200x2400 mm telpa 1,16;2,18</t>
  </si>
  <si>
    <t>Piekārto griestu ierīkošana ECOPHONE Solo Circle XL M290 1600x1600 mm telpa 1,6</t>
  </si>
  <si>
    <t>Piekārto griestu ierīkošana Paneļi ECOPHONE SOMBRA A gamma+Extra Bass70 telpa 1,16;2,18</t>
  </si>
  <si>
    <t>Gaismas kastes no matēta stikla ierīkošana</t>
  </si>
  <si>
    <t>Knauf sistēmas iekārto griestu D113 metāla karkasa ierīkošana t.sk. Slīpi</t>
  </si>
  <si>
    <t>Knauf Enkurnagla 6x35mm (100gb)</t>
  </si>
  <si>
    <t>Stieple ar cilpu 500 mm</t>
  </si>
  <si>
    <t>Ātrā enkuriekare CD profilam 60x27</t>
  </si>
  <si>
    <t>Krustveida savienotājs CD profilam 60x27</t>
  </si>
  <si>
    <t>CD profilu savienotājs 60x27</t>
  </si>
  <si>
    <t>Knauf ģipškartona plātne GKB</t>
  </si>
  <si>
    <t>Karkasu  apšūšana ar mitrumizturīgo ģipškartonu (1kārta)</t>
  </si>
  <si>
    <t>Ģipškartona plātne GKBI</t>
  </si>
  <si>
    <t>Apmetuma izveidošana griestiem</t>
  </si>
  <si>
    <t xml:space="preserve">Gipškartona špaktelēšana (špaktelējot visā plaknē), slīpēšana </t>
  </si>
  <si>
    <t>Stiklašķiedras šuvju lenta</t>
  </si>
  <si>
    <t>Uniflott 25 kg maiss</t>
  </si>
  <si>
    <t>špaktele</t>
  </si>
  <si>
    <t>Smilšpapīrs</t>
  </si>
  <si>
    <t xml:space="preserve">Apmetuma špaktelēšana, slīpēšana </t>
  </si>
  <si>
    <t>Tiefgrund LF  Dziļumgrunts</t>
  </si>
  <si>
    <t xml:space="preserve">Sagatavotu griestu gruntēšana </t>
  </si>
  <si>
    <t>Gruntskrāsa</t>
  </si>
  <si>
    <t>Sagatavotu griestu krāsošana  2k.</t>
  </si>
  <si>
    <t>Sadolin Bindo7</t>
  </si>
  <si>
    <t>sadolin Bindo 20</t>
  </si>
  <si>
    <t>Sienas</t>
  </si>
  <si>
    <t>Sienu apmetuma izveidošana sienai t.sk. Ailu apmales</t>
  </si>
  <si>
    <t>Apmetuma špaktelēšana, slīpēšana t.sk. Ailu apmales</t>
  </si>
  <si>
    <t xml:space="preserve">Sagatavotu sienu gruntēšana </t>
  </si>
  <si>
    <t>Sagatavotu sienu krāsošana  2k.</t>
  </si>
  <si>
    <t xml:space="preserve">Hidroizolācija no uzziežamas membrānas betonam </t>
  </si>
  <si>
    <t>Sienu flīzēšana</t>
  </si>
  <si>
    <t>Sienu flīzes</t>
  </si>
  <si>
    <t>Akustiskie paneļi Knauf Danoline Contrapanel G200 krāsots2400x600/600x600 mm telpa 1,16</t>
  </si>
  <si>
    <t>Danoline Amfipanel</t>
  </si>
  <si>
    <t>Solid Wood shroeder Diffuser 600x1200 mm</t>
  </si>
  <si>
    <t>Dekoratīva krāsojuma ierīkošana Armourcoat surface finishes/polished plaster skat, Interjera projektu 1, stāva ieejas hallē</t>
  </si>
  <si>
    <t>Dekors- sienas panno. Zīmējumu realizēt atbilstoši skicei. Uz
gludad, apmestas, krāsošanai sagatavotas virsmas montē MDF
vai Ģipškartona joslas; pēc montāžas dekors un fons krāsots
vienā tonī. skat, Interjera projektu 1, stāva ieejas hallē</t>
  </si>
  <si>
    <t>Dekors uz spoguļsienas: tonēts spogulis, matēta līmplēve,
finierētas , aplikatīvas joslas uz spoguļvirsmas. Spoguļa
segmentu robežas- sadurvietas slēptas zem finierētām joslām. skat, Interjera projektu 1, stāva ieejas hallē</t>
  </si>
  <si>
    <t>Pieaudzēta interjera konstrukcija 1. stāva ieejas hallē(uz ass C-Ģipškartons, karkass, krāsots</t>
  </si>
  <si>
    <t>1,13</t>
  </si>
  <si>
    <t>Fasāde</t>
  </si>
  <si>
    <t>Sastatņu uzstādīšana ,nojaukšana ieskaitot nomu(iekļaujot sastatņu aizsargsietu)</t>
  </si>
  <si>
    <t>Logu aizlīmēšana ar plēvi</t>
  </si>
  <si>
    <t>Polietilēna plēve 0,20mm  (UV - stabilizēta) Tvaika izol.</t>
  </si>
  <si>
    <t>Cokola profila ar lāseni montāža</t>
  </si>
  <si>
    <t>Fasādes siltumizolācijas ierīkošana sienu tips 10,11</t>
  </si>
  <si>
    <t xml:space="preserve">  siltumizolācijas plāksnes PAROC WAS35, b=250, palīgmateriāli</t>
  </si>
  <si>
    <t>Fasādes siltumizolācijas ierīkošana</t>
  </si>
  <si>
    <t xml:space="preserve">  siltumizolācijas plāksnes PAROC WAS35, b=150, palīgmateriāli</t>
  </si>
  <si>
    <t xml:space="preserve">  siltumizolācijas plāksnes PAROC WAS35tB, b=150, palīgmateriāli</t>
  </si>
  <si>
    <t>Metāla karkasa uzstādīšana zem apdares plāksnēm</t>
  </si>
  <si>
    <t xml:space="preserve">FUNDERMAX plātņu montāža </t>
  </si>
  <si>
    <t>FUNDERMAX plātes 8mm, palīgmateriāli, blīvējumi</t>
  </si>
  <si>
    <t>Metāla loksnes</t>
  </si>
  <si>
    <t xml:space="preserve">OSB plātņu montāža </t>
  </si>
  <si>
    <t>OSB plātes 16mm, palīgmateriāli, blīvējumi</t>
  </si>
  <si>
    <t>Iesegšana ar metāla loksnēm</t>
  </si>
  <si>
    <t>Ailsāni</t>
  </si>
  <si>
    <t>BIK</t>
  </si>
  <si>
    <t xml:space="preserve">Ailsānu apdare ar FUNDERMAX loksņu apdari </t>
  </si>
  <si>
    <t xml:space="preserve">FUNDERMAX loksnes, siltumizolācija , karkass, palīgmateriāli, montāžas materiāli, </t>
  </si>
  <si>
    <t>Dekoratīvais apmetums</t>
  </si>
  <si>
    <t xml:space="preserve">Fasādes  gruntēšana </t>
  </si>
  <si>
    <t>Dziļumgrunts SAKRET TGW</t>
  </si>
  <si>
    <t xml:space="preserve">Paroc izolācija 150mm uz līmjavas </t>
  </si>
  <si>
    <t>Paroc Linio 15 150 mm</t>
  </si>
  <si>
    <t xml:space="preserve">Dībelis </t>
  </si>
  <si>
    <t>Armējošā sieta iestrāde</t>
  </si>
  <si>
    <t xml:space="preserve">Līmēšanas un armēšanas java </t>
  </si>
  <si>
    <t xml:space="preserve">Stiklašķiedras siets fasādei </t>
  </si>
  <si>
    <t>Fasādes gruntēšana</t>
  </si>
  <si>
    <t>Gruntskrāsa SAKRET PG ( zem dekoratīvā apmetuma)</t>
  </si>
  <si>
    <t>Dekoratīvā apmetuma ieklāšana fasādei</t>
  </si>
  <si>
    <t>Sakret  Dekoratīvais apmetums</t>
  </si>
  <si>
    <t>Fasādes krāsošana ar gruntskrāsu</t>
  </si>
  <si>
    <t>Fasādei - Sakret FM-G grunts</t>
  </si>
  <si>
    <t>Fasādes krāsošana ar fasādes krāsu</t>
  </si>
  <si>
    <t>Sakret SKF krāsa tonēta</t>
  </si>
  <si>
    <t>Akmens vates izolācija ailsāniem</t>
  </si>
  <si>
    <t xml:space="preserve">Vates plāksnes sienai Linio 15 30mm </t>
  </si>
  <si>
    <t>Līmēšanas un armēšanas java SAKRET BAK pelēka</t>
  </si>
  <si>
    <t>Stūru profils</t>
  </si>
  <si>
    <t>Ailsānu gruntēšana</t>
  </si>
  <si>
    <t>Dekoratīvā apmetuma uzklāšana</t>
  </si>
  <si>
    <t xml:space="preserve">Sakret dekoratīvais apmetums </t>
  </si>
  <si>
    <t>Sakret FM krāsa tonēta</t>
  </si>
  <si>
    <t xml:space="preserve">Loga pielaiduma profila SAKRET MAT A/10 montāža </t>
  </si>
  <si>
    <t xml:space="preserve">Stūra profila SAKRET MAT D/29,2 montāža </t>
  </si>
  <si>
    <t xml:space="preserve">Palodzes profila SAKRET  montāža </t>
  </si>
  <si>
    <t>Cokols(Sienu tips 2,3)</t>
  </si>
  <si>
    <t xml:space="preserve">Apdares plātņu montāža </t>
  </si>
  <si>
    <t>Cembridg rock plātes , palīgmateriāli, blīvējumi</t>
  </si>
  <si>
    <t xml:space="preserve"> BK Lifta šahta Dazadi darbi (asīs 1-6;A-F)ieejas halle u.c.</t>
  </si>
  <si>
    <t>Lifta šahta No atzīmes 0.00 bk-1.31;1.32;1.33</t>
  </si>
  <si>
    <t>Tērauda konstrukciju montāža PmID-1</t>
  </si>
  <si>
    <t xml:space="preserve">Akustiskie paneļi Danoline Designepanel T3L4 600x1200 mm </t>
  </si>
  <si>
    <t>Akustiskie paneļi JOCAVI STAIDTREAT BXW ZF apsorbācijas paneļi 600x600 mm krāsots</t>
  </si>
  <si>
    <t>Akustiskie paneļi Danoline Designepanel T3L4 900x2400</t>
  </si>
  <si>
    <t>Akustiskie paneļi KALNAKMENS RD 1200x560;600x560 mm mm telpa krāsots</t>
  </si>
  <si>
    <t>Akustiskie paneļi ECOPHON Solo Square M307 1200x1200 mm telpa krāsots</t>
  </si>
  <si>
    <t>Akustiskie paneļi KNAUF DANOLINE Danopanel Q1 600x600mm telpa krāsots</t>
  </si>
  <si>
    <t>Esošās ķieģeļu mūra ārsienas renovācija skat paskaidrojuma rakstu C punkts-fasādes esošā krāsojuma noņemšana,nesaistītā apmetuma nokalšana,ķieģeļu šuvju iztīrīšana 20 mm dziļumā,iztrūkstošo,bojāto ķieģeļu nomaiņa ar līdzvērtīgiem fasādes silikātķieģeļiem,virsmu gruntēšana ar Sto Hydrogrund,šuvju aizpildīšana starp ķieģeļiem ar Remmers Fugenmortel ECC ,fasādes izdrupuma apmetums</t>
  </si>
  <si>
    <t>Pakāpienu montāža l=980</t>
  </si>
  <si>
    <t>Inventāro veidņu uzstādīšana,eļļošana  un nojaukšana ,noma</t>
  </si>
  <si>
    <t>Armtūras sietu izgatavošana ,uzstādīšana,fiksatoru uzstādīšana kāpņu laukumam .Armatūras stiegru sagarināšanu,sasiešanu ar stiepli veic būvlaukumā,armatūra B500B.Garenvirzienā stiegras savienot ar pārlaidumu , kura garums ir 30 stiegras diametri</t>
  </si>
  <si>
    <t>Pakāpienu montāža l=1280</t>
  </si>
  <si>
    <t>Tāme sastādīta:  2016.gada 16. decembris</t>
  </si>
  <si>
    <t>Pandusa,ieejas virsmu apdare</t>
  </si>
  <si>
    <t>Lieveņa paplašināšana  asis5-6/E+</t>
  </si>
  <si>
    <t>Ārējās kāpnes</t>
  </si>
  <si>
    <t xml:space="preserve">Margu montāža </t>
  </si>
  <si>
    <t>Pandusa virsmu apdare</t>
  </si>
  <si>
    <t>Ārējās kāpnes(vītņveida) Mkap-1 (BK-1-42i</t>
  </si>
  <si>
    <t>Kāpņu pakāpienu pārklāšana ar bezšuvju poliuretāna grīdas pārklājumu (Mapei Mapeflorr PU 400 sistēma)</t>
  </si>
  <si>
    <t>Dzelzsbetona pakāpienu montāža līmeņu maiņu vietās, ieskaitot palīgmateriālus</t>
  </si>
  <si>
    <t>Tāme sastādīta 2015.gada tirgus cenās, pamatojoties uz SIA „Baltex Group” tehniskā projekta rasējumiem un darbu apjomiem</t>
  </si>
  <si>
    <t>MP-1 -(BK-4.2)-5gb</t>
  </si>
  <si>
    <t>MP-2 -(BK-4.2 )-7gb</t>
  </si>
  <si>
    <t>MP-3 -(BK-4.3 )-12gb</t>
  </si>
  <si>
    <t>MP-4-(BK-4.3 )-1gb</t>
  </si>
  <si>
    <t>Pakāpienu montāža 250x700,St3s+Z275</t>
  </si>
  <si>
    <t>Resteļ 30x78/30x3</t>
  </si>
  <si>
    <t>Metāla kāpnes Mkap-3 -BK-3.26</t>
  </si>
  <si>
    <t xml:space="preserve">Tērauda konstrukciju karsti cinkotas izgatavošana,piegāde,montāža montēt ar normālā precizētām 8.8 klases galvenazitētām skrūvēm,,6.stiprības klases uzgriežņiem un atbilstošām paplāksnēm,piemetinot ieliekām detaļām,ieskaitot tērauda konstrukciju virsmu apstrādi, atbilstoši darba zīmējumu prasībām </t>
  </si>
  <si>
    <t>Metāla kāpnes Mkap-4 -BK-3.27</t>
  </si>
  <si>
    <t>Montāžas shēma uz atz.7.010 BK-3.16i</t>
  </si>
  <si>
    <t>PM-1 -(B.K-1.2)-2gb</t>
  </si>
  <si>
    <t>Kolonna DZK-2----3gb-BK-1.17</t>
  </si>
  <si>
    <t>Kolonna DZK-3----1gb-BK-1.18</t>
  </si>
  <si>
    <t>Kolonna DZK-4----1gb-BK-1.19</t>
  </si>
  <si>
    <t>2.stāva nesošās konstrukcijas BK-1.26</t>
  </si>
  <si>
    <t>Profīla polimex Mostostaļ 32x78/30x3</t>
  </si>
  <si>
    <t>Montāžas shēma uz atz.10.000 BK-3.17i</t>
  </si>
  <si>
    <t>Montāžas shēma uz atz.13.150 BK-3.18i</t>
  </si>
  <si>
    <t>Nesošo vertikālo elementu montāžas shēma uz atz.1.010 BK-3.12i;3.13i;3.14i</t>
  </si>
  <si>
    <t>Halfen HD-12/195-3/420.Ha=195</t>
  </si>
  <si>
    <t>PM-13- (BK-1.14i-1gb</t>
  </si>
  <si>
    <t>PM-7- (BK-1.8)-2gb</t>
  </si>
  <si>
    <t>Ārējā terase ĀTK-1  - BK-4.28</t>
  </si>
  <si>
    <t>Ārējā terase ĀTK-2  - BK-4.29</t>
  </si>
  <si>
    <t>Āra kāpnes AK-3 - BK-4.30</t>
  </si>
  <si>
    <t>Pazemes  bedre pa asi 4 -- - BK-4.31; 4 gab.</t>
  </si>
  <si>
    <t>Kāpnes Bkap-1(telpa1.19)BK-4.32</t>
  </si>
  <si>
    <t>Āra kāpnes pie telpass 1.19 (BK-4.32)</t>
  </si>
  <si>
    <t>Ieliekamā detaļa ID-2</t>
  </si>
  <si>
    <t>Ieliekamā detaļa ID-3</t>
  </si>
  <si>
    <t>Ieliekamā detaļa ID-4</t>
  </si>
  <si>
    <t>Monolīto spilvenu Msp-3 izbūve-veidņu uzstādīšana,nojaukšana,armēšana,betona c30/37 iestrāde</t>
  </si>
  <si>
    <t>Monolīto spilvenu Msp-1 izbūve-veidņu uzstādīšana,nojaukšana,armēšana,betona c30/37 iestrāde</t>
  </si>
  <si>
    <t>Pārsegums PM-2 asis G*-5 BK-4.15</t>
  </si>
  <si>
    <t>Pārsedzes 1.stāva līmenī BK-4,16</t>
  </si>
  <si>
    <t>Metāla kāpnes Mkap-2 -BK-3.24i=4gb</t>
  </si>
  <si>
    <t>PM-10- (BK-1.11-1gb)</t>
  </si>
  <si>
    <t>Betona C16/20 iestrādāšana  konstrukcijās,novibrējot,betonu padod ar sūkni</t>
  </si>
  <si>
    <t>Betons C16/20</t>
  </si>
  <si>
    <t>182a</t>
  </si>
  <si>
    <t>%</t>
  </si>
  <si>
    <t>PAROC BLT</t>
  </si>
  <si>
    <t>G-20</t>
  </si>
  <si>
    <t>Hidroizolācija Cemtobent membrāna</t>
  </si>
  <si>
    <t>Siltumizolācijas ierīkošana  b=130 mm</t>
  </si>
  <si>
    <t>Polistirols EPS150 130 mm</t>
  </si>
  <si>
    <t>Stiegrojuma siets d=3 mm Bp I 100/100</t>
  </si>
  <si>
    <t>Betona  slānis 150 mm</t>
  </si>
  <si>
    <t>L2 logu bloks (1,44x8,77m)</t>
  </si>
  <si>
    <t>L14 logu bloks (1,5x0,85m)</t>
  </si>
  <si>
    <t>Ārdurvju bloku uzstādīšana saskaņā ar AR-17,19</t>
  </si>
  <si>
    <t>Durvju bloku uzstādīšana saskaņā ar AR-17,18,19</t>
  </si>
  <si>
    <t>D-24* (1,3x2,1m)</t>
  </si>
  <si>
    <t>D-26 (1,0x2,1m)</t>
  </si>
  <si>
    <t>AD*-3 (1,3x2,1m)</t>
  </si>
  <si>
    <t>PM-2 - (BK-1.3)-3 gb</t>
  </si>
  <si>
    <t>PM-3 - (BK-1.4)-1 gb</t>
  </si>
  <si>
    <t>Betona C325/30 iestrādāšana pamatu konstrukcijās,novibrējot,betonu padod ar sūkni</t>
  </si>
  <si>
    <t>Betona C25/30iestrādāšana pamatu konstrukcijās,novibrējot,betonu padod ar sūkni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</si>
</sst>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 #,##0.00_-;_-* \-??_-;_-@_-"/>
    <numFmt numFmtId="165" formatCode="0.0"/>
    <numFmt numFmtId="166" formatCode="0.0%"/>
    <numFmt numFmtId="167" formatCode="m\o\n\th\ d\,\ yyyy"/>
    <numFmt numFmtId="168" formatCode="#.00"/>
    <numFmt numFmtId="169" formatCode="#."/>
    <numFmt numFmtId="170" formatCode="0.000"/>
    <numFmt numFmtId="171" formatCode="#,##0.00\ _L_s"/>
  </numFmts>
  <fonts count="41" x14ac:knownFonts="1">
    <font>
      <sz val="11"/>
      <color theme="1"/>
      <name val="Calibri"/>
      <family val="2"/>
      <charset val="186"/>
      <scheme val="minor"/>
    </font>
    <font>
      <sz val="11"/>
      <color theme="1"/>
      <name val="Calibri"/>
      <family val="2"/>
      <charset val="186"/>
      <scheme val="minor"/>
    </font>
    <font>
      <sz val="10"/>
      <name val="Arial"/>
      <family val="2"/>
      <charset val="186"/>
    </font>
    <font>
      <b/>
      <sz val="14"/>
      <name val="Arial"/>
      <family val="2"/>
      <charset val="186"/>
    </font>
    <font>
      <sz val="12"/>
      <name val="Arial"/>
      <family val="2"/>
      <charset val="186"/>
    </font>
    <font>
      <sz val="11"/>
      <name val="Arial"/>
      <family val="2"/>
      <charset val="186"/>
    </font>
    <font>
      <sz val="14"/>
      <name val="Arial"/>
      <family val="2"/>
      <charset val="186"/>
    </font>
    <font>
      <b/>
      <sz val="12"/>
      <name val="Arial"/>
      <family val="2"/>
      <charset val="186"/>
    </font>
    <font>
      <b/>
      <sz val="11"/>
      <name val="Arial"/>
      <family val="2"/>
      <charset val="186"/>
    </font>
    <font>
      <sz val="10"/>
      <color theme="0"/>
      <name val="Arial"/>
      <family val="2"/>
      <charset val="186"/>
    </font>
    <font>
      <sz val="12"/>
      <color theme="0"/>
      <name val="Arial"/>
      <family val="2"/>
      <charset val="186"/>
    </font>
    <font>
      <b/>
      <sz val="10"/>
      <name val="Arial"/>
      <family val="2"/>
      <charset val="186"/>
    </font>
    <font>
      <sz val="10"/>
      <color theme="5" tint="-0.499984740745262"/>
      <name val="Arial"/>
      <family val="2"/>
      <charset val="186"/>
    </font>
    <font>
      <i/>
      <sz val="12"/>
      <name val="Arial"/>
      <family val="2"/>
      <charset val="186"/>
    </font>
    <font>
      <b/>
      <sz val="11"/>
      <color theme="1"/>
      <name val="Arial"/>
      <family val="2"/>
      <charset val="186"/>
    </font>
    <font>
      <sz val="11"/>
      <color theme="1"/>
      <name val="Arial"/>
      <family val="2"/>
      <charset val="186"/>
    </font>
    <font>
      <sz val="10"/>
      <color theme="1"/>
      <name val="Arial"/>
      <family val="2"/>
      <charset val="186"/>
    </font>
    <font>
      <b/>
      <sz val="10"/>
      <color theme="1"/>
      <name val="Arial"/>
      <family val="2"/>
      <charset val="186"/>
    </font>
    <font>
      <sz val="12"/>
      <color theme="1"/>
      <name val="Arial"/>
      <family val="2"/>
      <charset val="186"/>
    </font>
    <font>
      <sz val="10"/>
      <name val="Helv"/>
    </font>
    <font>
      <sz val="10"/>
      <name val="Arial"/>
      <family val="2"/>
    </font>
    <font>
      <sz val="9"/>
      <name val="Arial"/>
      <family val="2"/>
      <charset val="186"/>
    </font>
    <font>
      <sz val="11"/>
      <name val="Calibri"/>
      <family val="2"/>
      <charset val="186"/>
      <scheme val="minor"/>
    </font>
    <font>
      <sz val="11"/>
      <color indexed="8"/>
      <name val="Arial"/>
      <family val="2"/>
      <charset val="186"/>
    </font>
    <font>
      <sz val="10"/>
      <color indexed="8"/>
      <name val="Arial"/>
      <family val="2"/>
      <charset val="186"/>
    </font>
    <font>
      <sz val="10"/>
      <color indexed="16"/>
      <name val="Arial"/>
      <family val="2"/>
      <charset val="186"/>
    </font>
    <font>
      <sz val="10"/>
      <name val="Helv"/>
      <family val="2"/>
    </font>
    <font>
      <sz val="11"/>
      <color indexed="8"/>
      <name val="Calibri"/>
      <family val="2"/>
      <charset val="186"/>
    </font>
    <font>
      <sz val="1"/>
      <color indexed="8"/>
      <name val="Courier"/>
      <family val="1"/>
      <charset val="186"/>
    </font>
    <font>
      <sz val="11"/>
      <color indexed="8"/>
      <name val="Calibri"/>
      <family val="2"/>
      <charset val="204"/>
    </font>
    <font>
      <b/>
      <sz val="1"/>
      <color indexed="8"/>
      <name val="Courier"/>
      <family val="1"/>
      <charset val="186"/>
    </font>
    <font>
      <sz val="10"/>
      <color indexed="64"/>
      <name val="Arial"/>
      <family val="2"/>
      <charset val="186"/>
    </font>
    <font>
      <sz val="10"/>
      <name val="Arial"/>
      <family val="2"/>
      <charset val="1"/>
    </font>
    <font>
      <sz val="10"/>
      <color indexed="10"/>
      <name val="Arial"/>
      <family val="2"/>
      <charset val="186"/>
    </font>
    <font>
      <b/>
      <sz val="10"/>
      <color indexed="8"/>
      <name val="Arial"/>
      <family val="2"/>
      <charset val="186"/>
    </font>
    <font>
      <b/>
      <sz val="10"/>
      <color indexed="10"/>
      <name val="Arial"/>
      <family val="2"/>
      <charset val="186"/>
    </font>
    <font>
      <b/>
      <i/>
      <sz val="10"/>
      <name val="Arial"/>
      <family val="2"/>
      <charset val="186"/>
    </font>
    <font>
      <sz val="10"/>
      <color indexed="12"/>
      <name val="Arial"/>
      <family val="2"/>
    </font>
    <font>
      <b/>
      <i/>
      <u/>
      <sz val="10"/>
      <name val="Arial"/>
      <family val="2"/>
      <charset val="186"/>
    </font>
    <font>
      <b/>
      <sz val="11"/>
      <color theme="1"/>
      <name val="Calibri"/>
      <family val="2"/>
      <charset val="186"/>
      <scheme val="minor"/>
    </font>
    <font>
      <b/>
      <i/>
      <sz val="8"/>
      <name val="Arial"/>
      <family val="2"/>
      <charset val="186"/>
    </font>
  </fonts>
  <fills count="1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theme="0"/>
        <bgColor indexed="26"/>
      </patternFill>
    </fill>
    <fill>
      <patternFill patternType="solid">
        <fgColor indexed="44"/>
        <bgColor indexed="31"/>
      </patternFill>
    </fill>
    <fill>
      <patternFill patternType="solid">
        <fgColor rgb="FF92D05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indexed="9"/>
        <bgColor indexed="26"/>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C00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indexed="8"/>
      </right>
      <top style="thin">
        <color indexed="8"/>
      </top>
      <bottom style="thin">
        <color indexed="8"/>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right style="thin">
        <color indexed="22"/>
      </right>
      <top style="thin">
        <color indexed="22"/>
      </top>
      <bottom style="thin">
        <color indexed="22"/>
      </bottom>
      <diagonal/>
    </border>
    <border>
      <left style="thin">
        <color indexed="64"/>
      </left>
      <right/>
      <top/>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75">
    <xf numFmtId="0" fontId="0" fillId="0" borderId="0"/>
    <xf numFmtId="0" fontId="2" fillId="0" borderId="0"/>
    <xf numFmtId="0" fontId="1" fillId="0" borderId="0"/>
    <xf numFmtId="0" fontId="1" fillId="0" borderId="0"/>
    <xf numFmtId="0" fontId="19" fillId="0" borderId="0"/>
    <xf numFmtId="0" fontId="19" fillId="0" borderId="0"/>
    <xf numFmtId="0" fontId="1"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6" fillId="0" borderId="0" applyFill="0" applyBorder="0" applyAlignment="0" applyProtection="0"/>
    <xf numFmtId="43" fontId="27" fillId="0" borderId="0" applyFont="0" applyFill="0" applyBorder="0" applyAlignment="0" applyProtection="0"/>
    <xf numFmtId="167" fontId="28" fillId="0" borderId="0">
      <protection locked="0"/>
    </xf>
    <xf numFmtId="0" fontId="29" fillId="0" borderId="0"/>
    <xf numFmtId="0" fontId="27" fillId="8" borderId="0" applyNumberFormat="0" applyBorder="0" applyAlignment="0" applyProtection="0"/>
    <xf numFmtId="168" fontId="28" fillId="0" borderId="0">
      <protection locked="0"/>
    </xf>
    <xf numFmtId="169" fontId="30" fillId="0" borderId="0">
      <protection locked="0"/>
    </xf>
    <xf numFmtId="169" fontId="30"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3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32" fillId="0" borderId="0"/>
    <xf numFmtId="0" fontId="19" fillId="0" borderId="0"/>
    <xf numFmtId="0" fontId="26"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cellStyleXfs>
  <cellXfs count="532">
    <xf numFmtId="0" fontId="0" fillId="0" borderId="0" xfId="0"/>
    <xf numFmtId="0" fontId="3" fillId="0" borderId="0" xfId="1" applyFont="1" applyAlignment="1">
      <alignment horizontal="center"/>
    </xf>
    <xf numFmtId="0" fontId="2" fillId="0" borderId="0" xfId="1" applyFont="1"/>
    <xf numFmtId="0" fontId="3" fillId="0" borderId="0" xfId="1" applyFont="1" applyAlignment="1">
      <alignment horizontal="right" vertical="top" wrapText="1"/>
    </xf>
    <xf numFmtId="0" fontId="3" fillId="0" borderId="0" xfId="1" applyFont="1" applyAlignment="1">
      <alignment horizontal="center" vertical="top" wrapText="1"/>
    </xf>
    <xf numFmtId="0" fontId="4" fillId="0" borderId="0" xfId="1" applyFont="1" applyAlignment="1">
      <alignment vertical="top" wrapText="1"/>
    </xf>
    <xf numFmtId="0" fontId="2" fillId="0" borderId="0" xfId="1" applyFont="1" applyAlignment="1">
      <alignment horizontal="center"/>
    </xf>
    <xf numFmtId="16" fontId="4" fillId="0" borderId="0" xfId="1" applyNumberFormat="1" applyFont="1" applyAlignment="1">
      <alignment vertical="top" wrapText="1"/>
    </xf>
    <xf numFmtId="0" fontId="5" fillId="0" borderId="0" xfId="1" applyFont="1"/>
    <xf numFmtId="0" fontId="4" fillId="0" borderId="0" xfId="1" applyFont="1" applyAlignment="1">
      <alignment horizontal="right" vertical="top" wrapText="1"/>
    </xf>
    <xf numFmtId="0" fontId="6" fillId="0" borderId="0" xfId="1" applyFont="1" applyAlignment="1">
      <alignment vertical="top" wrapText="1"/>
    </xf>
    <xf numFmtId="4" fontId="8" fillId="3" borderId="5" xfId="1" applyNumberFormat="1" applyFont="1" applyFill="1" applyBorder="1" applyAlignment="1">
      <alignment horizontal="center" vertical="center" wrapText="1"/>
    </xf>
    <xf numFmtId="0" fontId="8" fillId="0" borderId="0" xfId="1" applyFont="1" applyAlignment="1">
      <alignment horizontal="left" vertical="center"/>
    </xf>
    <xf numFmtId="0" fontId="5" fillId="0" borderId="0" xfId="1" applyFont="1" applyAlignment="1">
      <alignment horizontal="right"/>
    </xf>
    <xf numFmtId="4" fontId="9" fillId="0" borderId="0" xfId="1" applyNumberFormat="1" applyFont="1"/>
    <xf numFmtId="0" fontId="10" fillId="0" borderId="0" xfId="1" applyFont="1" applyAlignment="1">
      <alignment horizontal="left"/>
    </xf>
    <xf numFmtId="0" fontId="7" fillId="0" borderId="6" xfId="1" applyFont="1" applyBorder="1" applyAlignment="1">
      <alignment horizontal="center" vertical="center" wrapText="1"/>
    </xf>
    <xf numFmtId="0" fontId="6" fillId="0" borderId="11" xfId="1" applyFont="1" applyBorder="1" applyAlignment="1">
      <alignment horizontal="justify" vertical="top" wrapText="1"/>
    </xf>
    <xf numFmtId="0" fontId="6" fillId="0" borderId="12" xfId="1" applyFont="1" applyBorder="1" applyAlignment="1">
      <alignment horizontal="justify" vertical="top" wrapText="1"/>
    </xf>
    <xf numFmtId="0" fontId="6" fillId="0" borderId="15" xfId="1" applyFont="1" applyBorder="1" applyAlignment="1">
      <alignment horizontal="justify" vertical="top" wrapText="1"/>
    </xf>
    <xf numFmtId="0" fontId="11" fillId="0" borderId="16" xfId="1" applyFont="1" applyBorder="1" applyAlignment="1">
      <alignment horizontal="center" vertical="center" wrapText="1"/>
    </xf>
    <xf numFmtId="49" fontId="11" fillId="0" borderId="17" xfId="1" applyNumberFormat="1" applyFont="1" applyBorder="1" applyAlignment="1">
      <alignment horizontal="center" vertical="center" wrapText="1"/>
    </xf>
    <xf numFmtId="4" fontId="2" fillId="4" borderId="20" xfId="1" applyNumberFormat="1" applyFont="1" applyFill="1" applyBorder="1" applyAlignment="1">
      <alignment horizontal="center"/>
    </xf>
    <xf numFmtId="4" fontId="12" fillId="0" borderId="21" xfId="1" applyNumberFormat="1" applyFont="1" applyBorder="1" applyAlignment="1">
      <alignment horizontal="center"/>
    </xf>
    <xf numFmtId="0" fontId="11" fillId="0" borderId="16" xfId="1" applyFont="1" applyBorder="1" applyAlignment="1">
      <alignment horizontal="center" vertical="top" wrapText="1"/>
    </xf>
    <xf numFmtId="49" fontId="11" fillId="0" borderId="17" xfId="1" applyNumberFormat="1" applyFont="1" applyBorder="1" applyAlignment="1">
      <alignment horizontal="center" vertical="top" wrapText="1"/>
    </xf>
    <xf numFmtId="4" fontId="2" fillId="4" borderId="17" xfId="1" applyNumberFormat="1" applyFont="1" applyFill="1" applyBorder="1" applyAlignment="1">
      <alignment horizontal="center"/>
    </xf>
    <xf numFmtId="4" fontId="2" fillId="0" borderId="22" xfId="1" applyNumberFormat="1" applyFont="1" applyBorder="1" applyAlignment="1">
      <alignment horizontal="center"/>
    </xf>
    <xf numFmtId="0" fontId="6" fillId="0" borderId="6" xfId="1" applyFont="1" applyBorder="1" applyAlignment="1">
      <alignment horizontal="justify" vertical="top" wrapText="1"/>
    </xf>
    <xf numFmtId="0" fontId="7" fillId="0" borderId="6" xfId="1" applyFont="1" applyBorder="1" applyAlignment="1">
      <alignment horizontal="right" vertical="top" wrapText="1"/>
    </xf>
    <xf numFmtId="9" fontId="7" fillId="0" borderId="6" xfId="1" applyNumberFormat="1" applyFont="1" applyBorder="1" applyAlignment="1">
      <alignment horizontal="center" vertical="center" wrapText="1"/>
    </xf>
    <xf numFmtId="0" fontId="7" fillId="0" borderId="6" xfId="1" applyFont="1" applyBorder="1" applyAlignment="1">
      <alignment horizontal="right" vertical="center" wrapText="1"/>
    </xf>
    <xf numFmtId="0" fontId="13" fillId="0" borderId="23" xfId="1" applyFont="1" applyFill="1" applyBorder="1" applyAlignment="1">
      <alignment horizontal="right"/>
    </xf>
    <xf numFmtId="10" fontId="7" fillId="0" borderId="6" xfId="1" applyNumberFormat="1" applyFont="1" applyBorder="1" applyAlignment="1">
      <alignment horizontal="center" vertical="center" wrapText="1"/>
    </xf>
    <xf numFmtId="0" fontId="6" fillId="0" borderId="0" xfId="1" applyFont="1" applyAlignment="1">
      <alignment horizontal="justify"/>
    </xf>
    <xf numFmtId="0" fontId="5" fillId="0" borderId="0" xfId="1" applyFont="1" applyAlignment="1">
      <alignment horizontal="right" vertical="top" wrapText="1"/>
    </xf>
    <xf numFmtId="0" fontId="5" fillId="0" borderId="0" xfId="1" applyFont="1" applyBorder="1" applyAlignment="1">
      <alignment horizontal="center" vertical="top" wrapText="1"/>
    </xf>
    <xf numFmtId="0" fontId="5" fillId="0" borderId="0" xfId="1" applyFont="1" applyBorder="1" applyAlignment="1">
      <alignment vertical="top" wrapText="1"/>
    </xf>
    <xf numFmtId="0" fontId="5" fillId="0" borderId="0" xfId="1" applyFont="1" applyAlignment="1">
      <alignment horizontal="left"/>
    </xf>
    <xf numFmtId="0" fontId="5" fillId="0" borderId="0" xfId="1" applyFont="1" applyAlignment="1">
      <alignment horizontal="center"/>
    </xf>
    <xf numFmtId="0" fontId="2" fillId="0" borderId="0" xfId="2" applyFont="1"/>
    <xf numFmtId="0" fontId="14" fillId="0" borderId="0" xfId="3" applyFont="1"/>
    <xf numFmtId="0" fontId="14" fillId="3" borderId="0" xfId="3" applyFont="1" applyFill="1"/>
    <xf numFmtId="0" fontId="14" fillId="0" borderId="0" xfId="3" applyFont="1" applyAlignment="1">
      <alignment vertical="center"/>
    </xf>
    <xf numFmtId="0" fontId="14" fillId="3" borderId="0" xfId="3" applyFont="1" applyFill="1" applyAlignment="1">
      <alignment vertical="center"/>
    </xf>
    <xf numFmtId="0" fontId="14" fillId="3" borderId="0" xfId="3" applyFont="1" applyFill="1" applyAlignment="1">
      <alignment horizontal="right" vertical="center"/>
    </xf>
    <xf numFmtId="49" fontId="14" fillId="0" borderId="0" xfId="3" applyNumberFormat="1" applyFont="1"/>
    <xf numFmtId="0" fontId="15" fillId="0" borderId="0" xfId="3" applyFont="1" applyAlignment="1">
      <alignment horizontal="right" vertical="center"/>
    </xf>
    <xf numFmtId="0" fontId="15" fillId="3" borderId="0" xfId="3" applyFont="1" applyFill="1" applyAlignment="1">
      <alignment horizontal="right" vertical="center"/>
    </xf>
    <xf numFmtId="0" fontId="15" fillId="0" borderId="0" xfId="3" applyFont="1"/>
    <xf numFmtId="0" fontId="15" fillId="0" borderId="0" xfId="3" applyFont="1" applyAlignment="1">
      <alignment vertical="center"/>
    </xf>
    <xf numFmtId="0" fontId="16" fillId="0" borderId="0" xfId="3" applyFont="1" applyAlignment="1">
      <alignment vertical="top"/>
    </xf>
    <xf numFmtId="0" fontId="16" fillId="3" borderId="0" xfId="3" applyFont="1" applyFill="1" applyAlignment="1">
      <alignment vertical="top"/>
    </xf>
    <xf numFmtId="0" fontId="16" fillId="0" borderId="0" xfId="3" applyFont="1"/>
    <xf numFmtId="0" fontId="15" fillId="3" borderId="0" xfId="3" applyFont="1" applyFill="1" applyAlignment="1">
      <alignment horizontal="left" vertical="center"/>
    </xf>
    <xf numFmtId="0" fontId="15" fillId="3" borderId="0" xfId="3" applyFont="1" applyFill="1" applyAlignment="1">
      <alignment vertical="center"/>
    </xf>
    <xf numFmtId="164" fontId="17" fillId="0" borderId="0" xfId="3" applyNumberFormat="1" applyFont="1"/>
    <xf numFmtId="0" fontId="15" fillId="6" borderId="0" xfId="3" applyFont="1" applyFill="1" applyAlignment="1">
      <alignment horizontal="right" vertical="center"/>
    </xf>
    <xf numFmtId="0" fontId="15" fillId="6" borderId="0" xfId="3" applyFont="1" applyFill="1" applyAlignment="1">
      <alignment vertical="center"/>
    </xf>
    <xf numFmtId="0" fontId="18" fillId="0" borderId="0" xfId="3" applyFont="1" applyAlignment="1">
      <alignment vertical="center"/>
    </xf>
    <xf numFmtId="0" fontId="18" fillId="3" borderId="0" xfId="3" applyFont="1" applyFill="1" applyAlignment="1">
      <alignment vertical="center"/>
    </xf>
    <xf numFmtId="0" fontId="15" fillId="3" borderId="0" xfId="3" applyFont="1" applyFill="1"/>
    <xf numFmtId="0" fontId="16" fillId="0" borderId="0" xfId="3" applyFont="1" applyAlignment="1">
      <alignment vertical="center" wrapText="1"/>
    </xf>
    <xf numFmtId="0" fontId="16" fillId="0" borderId="6" xfId="3" applyFont="1" applyBorder="1" applyAlignment="1">
      <alignment horizontal="center" vertical="center" textRotation="90" wrapText="1"/>
    </xf>
    <xf numFmtId="0" fontId="16" fillId="0" borderId="26" xfId="3" applyFont="1" applyBorder="1" applyAlignment="1">
      <alignment horizontal="center" vertical="center"/>
    </xf>
    <xf numFmtId="0" fontId="7" fillId="5" borderId="28" xfId="4" applyFont="1" applyFill="1" applyBorder="1" applyAlignment="1" applyProtection="1">
      <alignment vertical="center" wrapText="1"/>
      <protection locked="0"/>
    </xf>
    <xf numFmtId="0" fontId="20" fillId="0" borderId="17" xfId="5" applyFont="1" applyBorder="1" applyAlignment="1" applyProtection="1">
      <alignment horizontal="center" vertical="center"/>
      <protection locked="0"/>
    </xf>
    <xf numFmtId="0" fontId="20" fillId="3" borderId="17" xfId="5" applyFont="1" applyFill="1" applyBorder="1" applyAlignment="1" applyProtection="1">
      <alignment horizontal="center" vertical="center"/>
      <protection locked="0"/>
    </xf>
    <xf numFmtId="2" fontId="12" fillId="3" borderId="20" xfId="3" applyNumberFormat="1" applyFont="1" applyFill="1" applyBorder="1" applyAlignment="1">
      <alignment horizontal="center" vertical="center"/>
    </xf>
    <xf numFmtId="2" fontId="16" fillId="3" borderId="20" xfId="3" applyNumberFormat="1" applyFont="1" applyFill="1" applyBorder="1" applyAlignment="1">
      <alignment horizontal="center" vertical="center"/>
    </xf>
    <xf numFmtId="2" fontId="16" fillId="0" borderId="20" xfId="3" applyNumberFormat="1" applyFont="1" applyBorder="1" applyAlignment="1">
      <alignment horizontal="center" vertical="center"/>
    </xf>
    <xf numFmtId="2" fontId="12" fillId="0" borderId="20" xfId="3" applyNumberFormat="1" applyFont="1" applyBorder="1" applyAlignment="1">
      <alignment horizontal="center" vertical="center"/>
    </xf>
    <xf numFmtId="2" fontId="16" fillId="0" borderId="21" xfId="3" applyNumberFormat="1" applyFont="1" applyBorder="1" applyAlignment="1">
      <alignment horizontal="center" vertical="center"/>
    </xf>
    <xf numFmtId="0" fontId="21" fillId="3" borderId="20" xfId="5" applyFont="1" applyFill="1" applyBorder="1" applyAlignment="1">
      <alignment horizontal="center" vertical="center" wrapText="1"/>
    </xf>
    <xf numFmtId="2" fontId="12" fillId="3" borderId="20" xfId="1" applyNumberFormat="1" applyFont="1" applyFill="1" applyBorder="1" applyAlignment="1">
      <alignment horizontal="center" vertical="center"/>
    </xf>
    <xf numFmtId="2" fontId="16" fillId="0" borderId="20" xfId="1" applyNumberFormat="1" applyFont="1" applyBorder="1" applyAlignment="1">
      <alignment horizontal="center" vertical="center"/>
    </xf>
    <xf numFmtId="2" fontId="12" fillId="0" borderId="20" xfId="1" applyNumberFormat="1" applyFont="1" applyBorder="1" applyAlignment="1">
      <alignment horizontal="center" vertical="center"/>
    </xf>
    <xf numFmtId="2" fontId="16" fillId="0" borderId="21" xfId="1" applyNumberFormat="1" applyFont="1" applyBorder="1" applyAlignment="1">
      <alignment horizontal="center" vertical="center"/>
    </xf>
    <xf numFmtId="0" fontId="16" fillId="0" borderId="30" xfId="3" applyFont="1" applyBorder="1" applyAlignment="1">
      <alignment horizontal="center" vertical="center"/>
    </xf>
    <xf numFmtId="0" fontId="16" fillId="3" borderId="31" xfId="3" applyFont="1" applyFill="1" applyBorder="1" applyAlignment="1">
      <alignment horizontal="center" vertical="center"/>
    </xf>
    <xf numFmtId="0" fontId="16" fillId="0" borderId="32" xfId="3" applyFont="1" applyBorder="1" applyAlignment="1">
      <alignment vertical="center" wrapText="1"/>
    </xf>
    <xf numFmtId="0" fontId="16" fillId="0" borderId="32" xfId="3" applyFont="1" applyBorder="1" applyAlignment="1">
      <alignment horizontal="center" vertical="center" wrapText="1"/>
    </xf>
    <xf numFmtId="2" fontId="16" fillId="0" borderId="32" xfId="3" applyNumberFormat="1" applyFont="1" applyBorder="1" applyAlignment="1">
      <alignment horizontal="center" vertical="center"/>
    </xf>
    <xf numFmtId="2" fontId="16" fillId="3" borderId="32" xfId="3" applyNumberFormat="1" applyFont="1" applyFill="1" applyBorder="1" applyAlignment="1">
      <alignment horizontal="center" vertical="center"/>
    </xf>
    <xf numFmtId="2" fontId="16" fillId="0" borderId="33" xfId="3" applyNumberFormat="1" applyFont="1" applyBorder="1" applyAlignment="1">
      <alignment horizontal="center" vertical="center"/>
    </xf>
    <xf numFmtId="0" fontId="15" fillId="0" borderId="6" xfId="3" applyFont="1" applyBorder="1" applyAlignment="1">
      <alignment vertical="top"/>
    </xf>
    <xf numFmtId="0" fontId="15" fillId="3" borderId="6" xfId="3" applyFont="1" applyFill="1" applyBorder="1" applyAlignment="1">
      <alignment vertical="top"/>
    </xf>
    <xf numFmtId="164" fontId="8" fillId="0" borderId="23" xfId="3" applyNumberFormat="1" applyFont="1" applyFill="1" applyBorder="1" applyAlignment="1">
      <alignment horizontal="right" vertical="center"/>
    </xf>
    <xf numFmtId="0" fontId="23" fillId="0" borderId="0" xfId="6" applyFont="1"/>
    <xf numFmtId="0" fontId="23" fillId="4" borderId="0" xfId="6" applyFont="1" applyFill="1"/>
    <xf numFmtId="0" fontId="11" fillId="0" borderId="0" xfId="7" applyFont="1" applyFill="1" applyBorder="1" applyAlignment="1">
      <alignment horizontal="left" vertical="center" wrapText="1"/>
    </xf>
    <xf numFmtId="0" fontId="0" fillId="0" borderId="0" xfId="7" applyFont="1" applyFill="1" applyBorder="1" applyAlignment="1">
      <alignment vertical="center"/>
    </xf>
    <xf numFmtId="0" fontId="5" fillId="0" borderId="0" xfId="6" applyFont="1"/>
    <xf numFmtId="0" fontId="5" fillId="0" borderId="0" xfId="1" applyFont="1" applyBorder="1" applyAlignment="1">
      <alignment horizontal="center" vertical="top" wrapText="1"/>
    </xf>
    <xf numFmtId="0" fontId="5" fillId="0" borderId="0" xfId="1" applyFont="1" applyAlignment="1">
      <alignment horizontal="center"/>
    </xf>
    <xf numFmtId="0" fontId="14" fillId="0" borderId="0" xfId="3" applyFont="1" applyAlignment="1">
      <alignment horizontal="right" vertical="center"/>
    </xf>
    <xf numFmtId="0" fontId="15" fillId="0" borderId="0" xfId="3" applyFont="1" applyAlignment="1">
      <alignment horizontal="left" vertical="center"/>
    </xf>
    <xf numFmtId="0" fontId="16" fillId="0" borderId="35" xfId="3" applyFont="1" applyBorder="1" applyAlignment="1">
      <alignment horizontal="center" vertical="center"/>
    </xf>
    <xf numFmtId="0" fontId="21" fillId="0" borderId="28" xfId="1" applyFont="1" applyFill="1" applyBorder="1" applyAlignment="1">
      <alignment horizontal="center" vertical="center" wrapText="1"/>
    </xf>
    <xf numFmtId="2" fontId="12" fillId="0" borderId="28" xfId="3" applyNumberFormat="1" applyFont="1" applyBorder="1" applyAlignment="1">
      <alignment horizontal="center" vertical="center"/>
    </xf>
    <xf numFmtId="2" fontId="16" fillId="0" borderId="28" xfId="3" applyNumberFormat="1" applyFont="1" applyBorder="1" applyAlignment="1">
      <alignment horizontal="center" vertical="center"/>
    </xf>
    <xf numFmtId="2" fontId="16" fillId="3" borderId="28" xfId="3" applyNumberFormat="1" applyFont="1" applyFill="1" applyBorder="1" applyAlignment="1">
      <alignment horizontal="center" vertical="center"/>
    </xf>
    <xf numFmtId="2" fontId="16" fillId="0" borderId="36" xfId="3" applyNumberFormat="1" applyFont="1" applyBorder="1" applyAlignment="1">
      <alignment horizontal="center" vertical="center"/>
    </xf>
    <xf numFmtId="2" fontId="2" fillId="0" borderId="20" xfId="8" applyNumberFormat="1" applyFont="1" applyBorder="1" applyAlignment="1">
      <alignment horizontal="center" vertical="center"/>
    </xf>
    <xf numFmtId="0" fontId="2" fillId="0" borderId="20" xfId="1" applyFont="1" applyBorder="1" applyAlignment="1">
      <alignment horizontal="center"/>
    </xf>
    <xf numFmtId="0" fontId="14" fillId="0" borderId="6" xfId="3" applyFont="1" applyBorder="1" applyAlignment="1">
      <alignment horizontal="center" vertical="center"/>
    </xf>
    <xf numFmtId="0" fontId="8" fillId="0" borderId="6" xfId="3" applyFont="1" applyFill="1" applyBorder="1" applyAlignment="1">
      <alignment horizontal="right" vertical="center" wrapText="1"/>
    </xf>
    <xf numFmtId="0" fontId="8" fillId="0" borderId="6" xfId="3" applyFont="1" applyFill="1" applyBorder="1" applyAlignment="1">
      <alignment vertical="center" wrapText="1"/>
    </xf>
    <xf numFmtId="0" fontId="8" fillId="7" borderId="6" xfId="3" applyFont="1" applyFill="1" applyBorder="1" applyAlignment="1">
      <alignment horizontal="right" vertical="center" wrapText="1"/>
    </xf>
    <xf numFmtId="164" fontId="8" fillId="0" borderId="6" xfId="3" applyNumberFormat="1" applyFont="1" applyFill="1" applyBorder="1" applyAlignment="1">
      <alignment horizontal="right" vertical="center"/>
    </xf>
    <xf numFmtId="0" fontId="15" fillId="0" borderId="25" xfId="3" applyFont="1" applyBorder="1" applyAlignment="1">
      <alignment vertical="top"/>
    </xf>
    <xf numFmtId="166" fontId="5" fillId="0" borderId="38" xfId="9" applyNumberFormat="1" applyFont="1" applyFill="1" applyBorder="1" applyAlignment="1" applyProtection="1">
      <alignment horizontal="center" vertical="center"/>
    </xf>
    <xf numFmtId="2" fontId="5" fillId="0" borderId="38" xfId="9" applyNumberFormat="1" applyFont="1" applyFill="1" applyBorder="1" applyAlignment="1" applyProtection="1">
      <alignment horizontal="right" vertical="center"/>
    </xf>
    <xf numFmtId="164" fontId="8" fillId="0" borderId="38" xfId="3" applyNumberFormat="1" applyFont="1" applyFill="1" applyBorder="1" applyAlignment="1">
      <alignment horizontal="right" vertical="center"/>
    </xf>
    <xf numFmtId="0" fontId="21" fillId="0" borderId="20" xfId="1" applyFont="1" applyFill="1" applyBorder="1" applyAlignment="1">
      <alignment horizontal="center" vertical="center" wrapText="1"/>
    </xf>
    <xf numFmtId="0" fontId="16" fillId="3" borderId="39" xfId="3" applyFont="1" applyFill="1" applyBorder="1" applyAlignment="1">
      <alignment horizontal="center" vertical="center"/>
    </xf>
    <xf numFmtId="0" fontId="16" fillId="3" borderId="40" xfId="3" applyFont="1" applyFill="1" applyBorder="1" applyAlignment="1">
      <alignment horizontal="center" vertical="center"/>
    </xf>
    <xf numFmtId="0" fontId="20" fillId="3" borderId="41" xfId="5" applyFont="1" applyFill="1" applyBorder="1" applyAlignment="1" applyProtection="1">
      <alignment horizontal="left" vertical="center" wrapText="1" indent="1"/>
      <protection locked="0"/>
    </xf>
    <xf numFmtId="0" fontId="20" fillId="3" borderId="41" xfId="5" applyFont="1" applyFill="1" applyBorder="1" applyAlignment="1" applyProtection="1">
      <alignment horizontal="center" vertical="center"/>
      <protection locked="0"/>
    </xf>
    <xf numFmtId="2" fontId="16" fillId="3" borderId="42" xfId="3" applyNumberFormat="1" applyFont="1" applyFill="1" applyBorder="1" applyAlignment="1">
      <alignment horizontal="center" vertical="center"/>
    </xf>
    <xf numFmtId="2" fontId="12" fillId="3" borderId="42" xfId="3" applyNumberFormat="1" applyFont="1" applyFill="1" applyBorder="1" applyAlignment="1">
      <alignment horizontal="center" vertical="center"/>
    </xf>
    <xf numFmtId="2" fontId="16" fillId="3" borderId="43" xfId="3" applyNumberFormat="1" applyFont="1" applyFill="1" applyBorder="1" applyAlignment="1">
      <alignment horizontal="center" vertical="center"/>
    </xf>
    <xf numFmtId="49" fontId="14" fillId="0" borderId="0" xfId="3" applyNumberFormat="1" applyFont="1" applyAlignment="1">
      <alignment horizontal="center"/>
    </xf>
    <xf numFmtId="0" fontId="16" fillId="0" borderId="27" xfId="3" applyFont="1" applyBorder="1" applyAlignment="1">
      <alignment horizontal="center" vertical="center"/>
    </xf>
    <xf numFmtId="0" fontId="16" fillId="0" borderId="39" xfId="3" applyFont="1" applyBorder="1" applyAlignment="1">
      <alignment horizontal="center" vertical="center"/>
    </xf>
    <xf numFmtId="0" fontId="20" fillId="0" borderId="17" xfId="5" applyFont="1" applyBorder="1" applyAlignment="1" applyProtection="1">
      <alignment horizontal="left" vertical="center" wrapText="1" indent="1"/>
      <protection locked="0"/>
    </xf>
    <xf numFmtId="0" fontId="16" fillId="0" borderId="31" xfId="3" applyFont="1" applyBorder="1" applyAlignment="1">
      <alignment horizontal="center" vertical="center"/>
    </xf>
    <xf numFmtId="0" fontId="14" fillId="0" borderId="0" xfId="3" applyFont="1" applyAlignment="1">
      <alignment wrapText="1"/>
    </xf>
    <xf numFmtId="2" fontId="14" fillId="0" borderId="0" xfId="3" applyNumberFormat="1" applyFont="1" applyAlignment="1">
      <alignment horizontal="center"/>
    </xf>
    <xf numFmtId="0" fontId="15" fillId="0" borderId="0" xfId="3" applyFont="1" applyAlignment="1">
      <alignment horizontal="right" vertical="center" wrapText="1"/>
    </xf>
    <xf numFmtId="0" fontId="15" fillId="0" borderId="0" xfId="3" applyFont="1" applyAlignment="1">
      <alignment wrapText="1"/>
    </xf>
    <xf numFmtId="0" fontId="16" fillId="0" borderId="32" xfId="3" applyFont="1" applyBorder="1" applyAlignment="1">
      <alignment horizontal="center" vertical="center"/>
    </xf>
    <xf numFmtId="2" fontId="12" fillId="3" borderId="20" xfId="0" applyNumberFormat="1" applyFont="1" applyFill="1" applyBorder="1" applyAlignment="1">
      <alignment horizontal="center" vertical="center"/>
    </xf>
    <xf numFmtId="0" fontId="2" fillId="0" borderId="20" xfId="0" applyFont="1" applyBorder="1" applyAlignment="1">
      <alignment horizontal="center" vertical="center"/>
    </xf>
    <xf numFmtId="0" fontId="2" fillId="0" borderId="20" xfId="0" applyFont="1" applyFill="1" applyBorder="1" applyAlignment="1">
      <alignment horizontal="center" vertical="center"/>
    </xf>
    <xf numFmtId="2" fontId="2" fillId="0" borderId="20" xfId="0" applyNumberFormat="1" applyFont="1" applyFill="1" applyBorder="1" applyAlignment="1">
      <alignment horizontal="center" vertical="center"/>
    </xf>
    <xf numFmtId="2" fontId="25" fillId="0" borderId="20" xfId="0" applyNumberFormat="1" applyFont="1" applyBorder="1" applyAlignment="1">
      <alignment horizontal="center" vertical="center"/>
    </xf>
    <xf numFmtId="3" fontId="15" fillId="0" borderId="29" xfId="0" applyNumberFormat="1" applyFont="1" applyBorder="1" applyAlignment="1">
      <alignment horizontal="center" vertical="center" wrapText="1"/>
    </xf>
    <xf numFmtId="4" fontId="15" fillId="0" borderId="20" xfId="0" applyNumberFormat="1" applyFont="1" applyBorder="1" applyAlignment="1">
      <alignment horizontal="left" vertical="center" wrapText="1"/>
    </xf>
    <xf numFmtId="4" fontId="15" fillId="0" borderId="20" xfId="0" applyNumberFormat="1" applyFont="1" applyBorder="1" applyAlignment="1">
      <alignment horizontal="center" vertical="center" wrapText="1"/>
    </xf>
    <xf numFmtId="4" fontId="5" fillId="0" borderId="20" xfId="0" applyNumberFormat="1" applyFont="1" applyFill="1" applyBorder="1" applyAlignment="1">
      <alignment horizontal="center" vertical="center" wrapText="1"/>
    </xf>
    <xf numFmtId="3" fontId="15" fillId="0" borderId="26" xfId="0" applyNumberFormat="1" applyFont="1" applyBorder="1" applyAlignment="1">
      <alignment horizontal="center" vertical="center" wrapText="1"/>
    </xf>
    <xf numFmtId="0" fontId="15" fillId="0" borderId="20" xfId="0" applyFont="1" applyFill="1" applyBorder="1" applyAlignment="1">
      <alignment horizontal="left" vertical="center" wrapText="1"/>
    </xf>
    <xf numFmtId="3" fontId="0" fillId="0" borderId="16" xfId="0" applyNumberFormat="1" applyBorder="1" applyAlignment="1">
      <alignment horizontal="center" vertical="center" wrapText="1"/>
    </xf>
    <xf numFmtId="0" fontId="21" fillId="3" borderId="17" xfId="5" applyFont="1" applyFill="1" applyBorder="1" applyAlignment="1">
      <alignment horizontal="center" vertical="center" wrapText="1"/>
    </xf>
    <xf numFmtId="0" fontId="7" fillId="9" borderId="17" xfId="4" applyFont="1" applyFill="1" applyBorder="1" applyAlignment="1" applyProtection="1">
      <alignment vertical="center" wrapText="1"/>
      <protection locked="0"/>
    </xf>
    <xf numFmtId="4" fontId="0" fillId="0" borderId="17" xfId="0" applyNumberFormat="1" applyBorder="1" applyAlignment="1">
      <alignment horizontal="center" vertical="center" wrapText="1"/>
    </xf>
    <xf numFmtId="4" fontId="22" fillId="0" borderId="17" xfId="0" applyNumberFormat="1" applyFont="1" applyFill="1" applyBorder="1" applyAlignment="1">
      <alignment horizontal="center" vertical="center" wrapText="1"/>
    </xf>
    <xf numFmtId="2" fontId="12" fillId="3" borderId="17" xfId="0" applyNumberFormat="1" applyFont="1" applyFill="1" applyBorder="1" applyAlignment="1">
      <alignment horizontal="center" vertical="center"/>
    </xf>
    <xf numFmtId="2" fontId="16" fillId="3" borderId="17" xfId="67" applyNumberFormat="1" applyFont="1" applyFill="1" applyBorder="1" applyAlignment="1">
      <alignment horizontal="center" vertical="center"/>
    </xf>
    <xf numFmtId="0" fontId="11" fillId="0" borderId="16" xfId="68" applyFont="1" applyBorder="1" applyAlignment="1">
      <alignment horizontal="center" vertical="center"/>
    </xf>
    <xf numFmtId="0" fontId="11" fillId="0" borderId="17" xfId="68" applyFont="1" applyBorder="1" applyAlignment="1">
      <alignment horizontal="center" vertical="center"/>
    </xf>
    <xf numFmtId="0" fontId="11" fillId="0" borderId="17" xfId="68" applyFont="1" applyBorder="1" applyAlignment="1">
      <alignment horizontal="center" vertical="center" wrapText="1"/>
    </xf>
    <xf numFmtId="2" fontId="11" fillId="0" borderId="17" xfId="68" applyNumberFormat="1" applyFont="1" applyBorder="1" applyAlignment="1">
      <alignment horizontal="center" vertical="center" wrapText="1"/>
    </xf>
    <xf numFmtId="2" fontId="11" fillId="0" borderId="17" xfId="68" applyNumberFormat="1" applyFont="1" applyBorder="1" applyAlignment="1">
      <alignment horizontal="center" vertical="center"/>
    </xf>
    <xf numFmtId="0" fontId="2" fillId="0" borderId="16" xfId="68" applyFont="1" applyBorder="1" applyAlignment="1">
      <alignment horizontal="center" vertical="center"/>
    </xf>
    <xf numFmtId="0" fontId="2" fillId="0" borderId="17" xfId="68" applyFont="1" applyBorder="1" applyAlignment="1">
      <alignment horizontal="center" vertical="center"/>
    </xf>
    <xf numFmtId="0" fontId="2" fillId="0" borderId="17" xfId="69" applyFont="1" applyBorder="1" applyAlignment="1">
      <alignment horizontal="left" vertical="center" wrapText="1"/>
    </xf>
    <xf numFmtId="0" fontId="2" fillId="0" borderId="17" xfId="68" applyFont="1" applyBorder="1" applyAlignment="1">
      <alignment horizontal="center" vertical="center" wrapText="1"/>
    </xf>
    <xf numFmtId="2" fontId="2" fillId="0" borderId="17" xfId="68" applyNumberFormat="1" applyFont="1" applyBorder="1" applyAlignment="1">
      <alignment horizontal="center" vertical="center" wrapText="1"/>
    </xf>
    <xf numFmtId="0" fontId="2" fillId="0" borderId="17" xfId="69" applyFont="1" applyBorder="1" applyAlignment="1">
      <alignment horizontal="center" vertical="center"/>
    </xf>
    <xf numFmtId="2" fontId="2" fillId="0" borderId="17" xfId="68" applyNumberFormat="1" applyFont="1" applyBorder="1" applyAlignment="1">
      <alignment horizontal="center" vertical="center"/>
    </xf>
    <xf numFmtId="2" fontId="2" fillId="0" borderId="17" xfId="69" applyNumberFormat="1" applyFont="1" applyBorder="1" applyAlignment="1">
      <alignment vertical="center"/>
    </xf>
    <xf numFmtId="2" fontId="2" fillId="0" borderId="17" xfId="69" applyNumberFormat="1" applyFont="1" applyBorder="1" applyAlignment="1">
      <alignment horizontal="center" vertical="center"/>
    </xf>
    <xf numFmtId="2" fontId="2" fillId="0" borderId="17" xfId="68" applyNumberFormat="1" applyFont="1" applyFill="1" applyBorder="1" applyAlignment="1">
      <alignment horizontal="center" vertical="center" wrapText="1"/>
    </xf>
    <xf numFmtId="0" fontId="2" fillId="0" borderId="17" xfId="69" applyFont="1" applyBorder="1" applyAlignment="1">
      <alignment horizontal="left" vertical="top" wrapText="1"/>
    </xf>
    <xf numFmtId="0" fontId="2" fillId="0" borderId="17" xfId="68" applyFont="1" applyBorder="1" applyAlignment="1">
      <alignment horizontal="left" vertical="center" wrapText="1"/>
    </xf>
    <xf numFmtId="2" fontId="2" fillId="0" borderId="17" xfId="68" applyNumberFormat="1" applyFont="1" applyFill="1" applyBorder="1" applyAlignment="1">
      <alignment horizontal="center" vertical="center"/>
    </xf>
    <xf numFmtId="0" fontId="7" fillId="10" borderId="17" xfId="4" applyFont="1" applyFill="1" applyBorder="1" applyAlignment="1" applyProtection="1">
      <alignment vertical="center" wrapText="1"/>
      <protection locked="0"/>
    </xf>
    <xf numFmtId="0" fontId="7" fillId="11" borderId="17" xfId="4" applyFont="1" applyFill="1" applyBorder="1" applyAlignment="1" applyProtection="1">
      <alignment vertical="center" wrapText="1"/>
      <protection locked="0"/>
    </xf>
    <xf numFmtId="0" fontId="11" fillId="0" borderId="17" xfId="68" applyNumberFormat="1" applyFont="1" applyFill="1" applyBorder="1" applyAlignment="1" applyProtection="1">
      <alignment horizontal="center" vertical="top" wrapText="1"/>
    </xf>
    <xf numFmtId="0" fontId="2" fillId="0" borderId="17" xfId="68" applyNumberFormat="1" applyFont="1" applyFill="1" applyBorder="1" applyAlignment="1" applyProtection="1">
      <alignment horizontal="center" vertical="center" wrapText="1"/>
    </xf>
    <xf numFmtId="2" fontId="2" fillId="0" borderId="17" xfId="68" applyNumberFormat="1" applyFont="1" applyFill="1" applyBorder="1" applyAlignment="1" applyProtection="1">
      <alignment horizontal="center" vertical="center"/>
    </xf>
    <xf numFmtId="0" fontId="2" fillId="12" borderId="17" xfId="68" applyFont="1" applyFill="1" applyBorder="1" applyAlignment="1">
      <alignment horizontal="left" vertical="center" wrapText="1"/>
    </xf>
    <xf numFmtId="0" fontId="2" fillId="0" borderId="17" xfId="68" applyFont="1" applyBorder="1" applyAlignment="1">
      <alignment horizontal="center" wrapText="1"/>
    </xf>
    <xf numFmtId="0" fontId="2" fillId="12" borderId="17" xfId="68" quotePrefix="1" applyFont="1" applyFill="1" applyBorder="1" applyAlignment="1">
      <alignment horizontal="left" vertical="center" wrapText="1"/>
    </xf>
    <xf numFmtId="0" fontId="2" fillId="0" borderId="17" xfId="68" applyFont="1" applyFill="1" applyBorder="1" applyAlignment="1">
      <alignment horizontal="left" vertical="center" wrapText="1"/>
    </xf>
    <xf numFmtId="170" fontId="2" fillId="0" borderId="17" xfId="68" applyNumberFormat="1" applyFont="1" applyBorder="1" applyAlignment="1">
      <alignment horizontal="center" vertical="center" wrapText="1"/>
    </xf>
    <xf numFmtId="0" fontId="2" fillId="0" borderId="17" xfId="68" applyFont="1" applyFill="1" applyBorder="1" applyAlignment="1">
      <alignment horizontal="right" wrapText="1"/>
    </xf>
    <xf numFmtId="0" fontId="2" fillId="0" borderId="17" xfId="68" applyFont="1" applyFill="1" applyBorder="1" applyAlignment="1">
      <alignment horizontal="center"/>
    </xf>
    <xf numFmtId="165" fontId="2" fillId="0" borderId="17" xfId="68" applyNumberFormat="1" applyFont="1" applyFill="1" applyBorder="1" applyAlignment="1">
      <alignment horizontal="center"/>
    </xf>
    <xf numFmtId="0" fontId="24" fillId="0" borderId="17" xfId="70" applyNumberFormat="1" applyFont="1" applyFill="1" applyBorder="1" applyAlignment="1">
      <alignment horizontal="right" vertical="center" wrapText="1"/>
    </xf>
    <xf numFmtId="0" fontId="2" fillId="0" borderId="17" xfId="68" applyFont="1" applyFill="1" applyBorder="1" applyAlignment="1">
      <alignment horizontal="center" vertical="center" wrapText="1"/>
    </xf>
    <xf numFmtId="0" fontId="2" fillId="0" borderId="17" xfId="68" applyFont="1" applyFill="1" applyBorder="1" applyAlignment="1">
      <alignment horizontal="right"/>
    </xf>
    <xf numFmtId="2" fontId="2" fillId="0" borderId="17" xfId="68" applyNumberFormat="1" applyFont="1" applyFill="1" applyBorder="1" applyAlignment="1">
      <alignment horizontal="center"/>
    </xf>
    <xf numFmtId="2" fontId="34" fillId="0" borderId="17" xfId="68" applyNumberFormat="1" applyFont="1" applyBorder="1" applyAlignment="1">
      <alignment horizontal="center" vertical="center"/>
    </xf>
    <xf numFmtId="0" fontId="2" fillId="0" borderId="17" xfId="68" applyFont="1" applyFill="1" applyBorder="1" applyAlignment="1">
      <alignment horizontal="left" wrapText="1"/>
    </xf>
    <xf numFmtId="16" fontId="2" fillId="0" borderId="16" xfId="68" applyNumberFormat="1" applyFont="1" applyBorder="1" applyAlignment="1">
      <alignment horizontal="center" vertical="center"/>
    </xf>
    <xf numFmtId="0" fontId="2" fillId="0" borderId="17" xfId="68" applyFont="1" applyBorder="1" applyAlignment="1">
      <alignment horizontal="left" vertical="center"/>
    </xf>
    <xf numFmtId="0" fontId="24" fillId="0" borderId="17" xfId="68" applyFont="1" applyBorder="1" applyAlignment="1">
      <alignment horizontal="right"/>
    </xf>
    <xf numFmtId="0" fontId="2" fillId="0" borderId="17" xfId="68" applyFont="1" applyBorder="1" applyAlignment="1">
      <alignment horizontal="center"/>
    </xf>
    <xf numFmtId="165" fontId="24" fillId="0" borderId="17" xfId="68" applyNumberFormat="1" applyFont="1" applyFill="1" applyBorder="1" applyAlignment="1">
      <alignment horizontal="center"/>
    </xf>
    <xf numFmtId="0" fontId="2" fillId="0" borderId="17" xfId="68" applyFont="1" applyBorder="1" applyAlignment="1">
      <alignment horizontal="right" vertical="top" wrapText="1"/>
    </xf>
    <xf numFmtId="0" fontId="0" fillId="0" borderId="17" xfId="68" applyFont="1" applyFill="1" applyBorder="1" applyAlignment="1">
      <alignment horizontal="right"/>
    </xf>
    <xf numFmtId="0" fontId="11" fillId="0" borderId="17" xfId="68" applyFont="1" applyFill="1" applyBorder="1" applyAlignment="1">
      <alignment horizontal="center" vertical="center"/>
    </xf>
    <xf numFmtId="2" fontId="34" fillId="0" borderId="17" xfId="68" applyNumberFormat="1" applyFont="1" applyFill="1" applyBorder="1" applyAlignment="1">
      <alignment horizontal="center" vertical="center"/>
    </xf>
    <xf numFmtId="2" fontId="11" fillId="0" borderId="17" xfId="68" applyNumberFormat="1" applyFont="1" applyFill="1" applyBorder="1" applyAlignment="1">
      <alignment horizontal="center" vertical="center"/>
    </xf>
    <xf numFmtId="0" fontId="11" fillId="0" borderId="17" xfId="68" applyFont="1" applyFill="1" applyBorder="1" applyAlignment="1">
      <alignment horizontal="center" wrapText="1"/>
    </xf>
    <xf numFmtId="2" fontId="2" fillId="0" borderId="17" xfId="68" applyNumberFormat="1" applyFont="1" applyBorder="1" applyAlignment="1">
      <alignment horizontal="left" vertical="center"/>
    </xf>
    <xf numFmtId="2" fontId="25" fillId="0" borderId="17" xfId="68" applyNumberFormat="1" applyFont="1" applyBorder="1" applyAlignment="1">
      <alignment horizontal="center" vertical="center"/>
    </xf>
    <xf numFmtId="2" fontId="24" fillId="0" borderId="17" xfId="68" applyNumberFormat="1" applyFont="1" applyBorder="1" applyAlignment="1">
      <alignment horizontal="center" vertical="center"/>
    </xf>
    <xf numFmtId="2" fontId="35" fillId="0" borderId="17" xfId="68" applyNumberFormat="1" applyFont="1" applyBorder="1" applyAlignment="1">
      <alignment horizontal="center" vertical="center"/>
    </xf>
    <xf numFmtId="3" fontId="2" fillId="3" borderId="16" xfId="0" applyNumberFormat="1" applyFont="1" applyFill="1" applyBorder="1" applyAlignment="1">
      <alignment horizontal="center" vertical="center" wrapText="1"/>
    </xf>
    <xf numFmtId="4" fontId="36" fillId="13" borderId="17" xfId="0" applyNumberFormat="1" applyFont="1" applyFill="1" applyBorder="1" applyAlignment="1">
      <alignment horizontal="left" vertical="center" wrapText="1"/>
    </xf>
    <xf numFmtId="4" fontId="2" fillId="3" borderId="17" xfId="0" applyNumberFormat="1" applyFont="1" applyFill="1" applyBorder="1" applyAlignment="1">
      <alignment horizontal="center" vertical="center" wrapText="1"/>
    </xf>
    <xf numFmtId="2" fontId="2" fillId="3" borderId="17" xfId="5" applyNumberFormat="1" applyFont="1" applyFill="1" applyBorder="1" applyAlignment="1" applyProtection="1">
      <alignment horizontal="center" vertical="center"/>
      <protection locked="0"/>
    </xf>
    <xf numFmtId="2" fontId="16" fillId="3" borderId="17" xfId="3" applyNumberFormat="1" applyFont="1" applyFill="1" applyBorder="1" applyAlignment="1">
      <alignment horizontal="center" vertical="center"/>
    </xf>
    <xf numFmtId="4" fontId="36" fillId="3" borderId="17" xfId="0" applyNumberFormat="1" applyFont="1" applyFill="1" applyBorder="1" applyAlignment="1">
      <alignment horizontal="left" vertical="center" wrapText="1"/>
    </xf>
    <xf numFmtId="0" fontId="2" fillId="4" borderId="16" xfId="5" applyFont="1" applyFill="1" applyBorder="1" applyAlignment="1">
      <alignment horizontal="center" vertical="center" wrapText="1"/>
    </xf>
    <xf numFmtId="0" fontId="21" fillId="4" borderId="17" xfId="71" applyFont="1" applyFill="1" applyBorder="1" applyAlignment="1">
      <alignment horizontal="center" vertical="center" wrapText="1"/>
    </xf>
    <xf numFmtId="0" fontId="16" fillId="4" borderId="17" xfId="5" applyFont="1" applyFill="1" applyBorder="1" applyAlignment="1" applyProtection="1">
      <alignment vertical="center" wrapText="1"/>
      <protection locked="0"/>
    </xf>
    <xf numFmtId="0" fontId="2" fillId="3" borderId="17" xfId="5" applyFont="1" applyFill="1" applyBorder="1" applyAlignment="1" applyProtection="1">
      <alignment horizontal="center" vertical="center"/>
      <protection locked="0"/>
    </xf>
    <xf numFmtId="2" fontId="25" fillId="0" borderId="17" xfId="0" applyNumberFormat="1" applyFont="1" applyBorder="1" applyAlignment="1">
      <alignment horizontal="center" vertical="center"/>
    </xf>
    <xf numFmtId="2" fontId="25" fillId="3" borderId="17" xfId="0" applyNumberFormat="1" applyFont="1" applyFill="1" applyBorder="1" applyAlignment="1">
      <alignment horizontal="center" vertical="center"/>
    </xf>
    <xf numFmtId="2" fontId="24" fillId="3" borderId="17" xfId="0" applyNumberFormat="1" applyFont="1" applyFill="1" applyBorder="1" applyAlignment="1">
      <alignment horizontal="center" vertical="center"/>
    </xf>
    <xf numFmtId="0" fontId="0" fillId="0" borderId="17" xfId="5" applyFont="1" applyBorder="1" applyAlignment="1" applyProtection="1">
      <alignment horizontal="left" vertical="center" wrapText="1" indent="1"/>
      <protection locked="0"/>
    </xf>
    <xf numFmtId="0" fontId="2" fillId="0" borderId="17" xfId="5" applyFont="1" applyBorder="1" applyAlignment="1" applyProtection="1">
      <alignment horizontal="left" vertical="center" wrapText="1" indent="1"/>
      <protection locked="0"/>
    </xf>
    <xf numFmtId="2" fontId="16" fillId="3" borderId="17" xfId="0" applyNumberFormat="1" applyFont="1" applyFill="1" applyBorder="1" applyAlignment="1">
      <alignment horizontal="center" vertical="center"/>
    </xf>
    <xf numFmtId="0" fontId="2" fillId="3" borderId="16" xfId="5" applyFont="1" applyFill="1" applyBorder="1" applyAlignment="1">
      <alignment horizontal="center" vertical="center" wrapText="1"/>
    </xf>
    <xf numFmtId="0" fontId="21" fillId="3" borderId="17" xfId="42" applyFont="1" applyFill="1" applyBorder="1" applyAlignment="1">
      <alignment horizontal="center" vertical="center" wrapText="1"/>
    </xf>
    <xf numFmtId="0" fontId="20" fillId="3" borderId="17" xfId="5" applyFont="1" applyFill="1" applyBorder="1" applyAlignment="1" applyProtection="1">
      <alignment vertical="center" wrapText="1"/>
      <protection locked="0"/>
    </xf>
    <xf numFmtId="2" fontId="20" fillId="3" borderId="17" xfId="5" applyNumberFormat="1" applyFont="1" applyFill="1" applyBorder="1" applyAlignment="1" applyProtection="1">
      <alignment horizontal="center" vertical="center"/>
      <protection locked="0"/>
    </xf>
    <xf numFmtId="4" fontId="20" fillId="3" borderId="17" xfId="5" applyNumberFormat="1" applyFont="1" applyFill="1" applyBorder="1" applyAlignment="1" applyProtection="1">
      <alignment horizontal="center" vertical="center"/>
      <protection locked="0"/>
    </xf>
    <xf numFmtId="0" fontId="2" fillId="3" borderId="17" xfId="5" applyFont="1" applyFill="1" applyBorder="1" applyAlignment="1">
      <alignment horizontal="center" vertical="center" wrapText="1"/>
    </xf>
    <xf numFmtId="0" fontId="0" fillId="3" borderId="17" xfId="0" applyFont="1" applyFill="1" applyBorder="1" applyAlignment="1">
      <alignment horizontal="left" wrapText="1"/>
    </xf>
    <xf numFmtId="4" fontId="0" fillId="3" borderId="17" xfId="0" applyNumberFormat="1" applyFill="1" applyBorder="1" applyAlignment="1">
      <alignment horizontal="center" vertical="center" wrapText="1"/>
    </xf>
    <xf numFmtId="2" fontId="25" fillId="0" borderId="17" xfId="41" applyNumberFormat="1" applyFont="1" applyBorder="1" applyAlignment="1">
      <alignment horizontal="center" vertical="center"/>
    </xf>
    <xf numFmtId="2" fontId="24" fillId="3" borderId="17" xfId="41" applyNumberFormat="1" applyFont="1" applyFill="1" applyBorder="1" applyAlignment="1">
      <alignment horizontal="center" vertical="center"/>
    </xf>
    <xf numFmtId="0" fontId="2" fillId="0" borderId="16" xfId="5" applyFont="1" applyFill="1" applyBorder="1" applyAlignment="1">
      <alignment horizontal="center" vertical="center" wrapText="1"/>
    </xf>
    <xf numFmtId="0" fontId="21" fillId="4" borderId="17" xfId="72" applyFont="1" applyFill="1" applyBorder="1" applyAlignment="1">
      <alignment horizontal="center" vertical="center" wrapText="1"/>
    </xf>
    <xf numFmtId="0" fontId="0" fillId="4" borderId="17" xfId="5" applyFont="1" applyFill="1" applyBorder="1" applyAlignment="1" applyProtection="1">
      <alignment vertical="center" wrapText="1"/>
      <protection locked="0"/>
    </xf>
    <xf numFmtId="0" fontId="2" fillId="0" borderId="17" xfId="0" applyFont="1" applyBorder="1" applyAlignment="1">
      <alignment horizontal="center" vertical="center"/>
    </xf>
    <xf numFmtId="0" fontId="2" fillId="3" borderId="17" xfId="0" applyFont="1" applyFill="1" applyBorder="1" applyAlignment="1">
      <alignment horizontal="left" wrapText="1"/>
    </xf>
    <xf numFmtId="0" fontId="0" fillId="3" borderId="17" xfId="5" applyFont="1" applyFill="1" applyBorder="1" applyAlignment="1" applyProtection="1">
      <alignment horizontal="center" vertical="center"/>
      <protection locked="0"/>
    </xf>
    <xf numFmtId="0" fontId="2" fillId="4" borderId="16" xfId="5" applyFont="1" applyFill="1" applyBorder="1" applyAlignment="1">
      <alignment horizontal="center" vertical="top" wrapText="1"/>
    </xf>
    <xf numFmtId="0" fontId="21" fillId="0" borderId="17" xfId="73" applyFont="1" applyFill="1" applyBorder="1" applyAlignment="1">
      <alignment horizontal="center" vertical="center" wrapText="1"/>
    </xf>
    <xf numFmtId="0" fontId="16" fillId="3" borderId="17" xfId="5" applyFont="1" applyFill="1" applyBorder="1" applyAlignment="1" applyProtection="1">
      <alignment vertical="center" wrapText="1"/>
      <protection locked="0"/>
    </xf>
    <xf numFmtId="0" fontId="21" fillId="4" borderId="17" xfId="73" applyFont="1" applyFill="1" applyBorder="1" applyAlignment="1">
      <alignment horizontal="center" vertical="center" wrapText="1"/>
    </xf>
    <xf numFmtId="0" fontId="21" fillId="3" borderId="17" xfId="73" applyFont="1" applyFill="1" applyBorder="1" applyAlignment="1">
      <alignment horizontal="center" vertical="center" wrapText="1"/>
    </xf>
    <xf numFmtId="0" fontId="0" fillId="3" borderId="17" xfId="5" applyFont="1" applyFill="1" applyBorder="1" applyAlignment="1" applyProtection="1">
      <alignment vertical="center" wrapText="1"/>
      <protection locked="0"/>
    </xf>
    <xf numFmtId="0" fontId="2" fillId="4" borderId="17" xfId="5" applyFont="1" applyFill="1" applyBorder="1" applyAlignment="1">
      <alignment horizontal="center" vertical="center" wrapText="1"/>
    </xf>
    <xf numFmtId="0" fontId="2" fillId="3" borderId="17" xfId="5" applyFont="1" applyFill="1" applyBorder="1" applyAlignment="1" applyProtection="1">
      <alignment horizontal="left" vertical="center" wrapText="1" indent="1"/>
      <protection locked="0"/>
    </xf>
    <xf numFmtId="0" fontId="2" fillId="3" borderId="17" xfId="74" applyFill="1" applyBorder="1" applyAlignment="1" applyProtection="1">
      <alignment wrapText="1"/>
      <protection locked="0"/>
    </xf>
    <xf numFmtId="171" fontId="2" fillId="3" borderId="17" xfId="5" applyNumberFormat="1" applyFont="1" applyFill="1" applyBorder="1" applyAlignment="1" applyProtection="1">
      <alignment horizontal="center" vertical="center"/>
      <protection locked="0"/>
    </xf>
    <xf numFmtId="0" fontId="0" fillId="0" borderId="17" xfId="74" applyFont="1" applyBorder="1" applyAlignment="1" applyProtection="1">
      <alignment horizontal="left" wrapText="1" indent="1"/>
      <protection locked="0"/>
    </xf>
    <xf numFmtId="0" fontId="2" fillId="0" borderId="17" xfId="68" applyFont="1" applyBorder="1" applyAlignment="1">
      <alignment horizontal="left" wrapText="1"/>
    </xf>
    <xf numFmtId="0" fontId="2" fillId="0" borderId="17" xfId="68" applyFont="1" applyBorder="1" applyAlignment="1">
      <alignment horizontal="right" wrapText="1"/>
    </xf>
    <xf numFmtId="0" fontId="24" fillId="0" borderId="17" xfId="68" applyFont="1" applyBorder="1" applyAlignment="1">
      <alignment horizontal="left" wrapText="1"/>
    </xf>
    <xf numFmtId="0" fontId="11" fillId="0" borderId="17" xfId="68" applyFont="1" applyBorder="1" applyAlignment="1">
      <alignment horizontal="right" vertical="center"/>
    </xf>
    <xf numFmtId="0" fontId="2" fillId="0" borderId="17" xfId="68" applyFont="1" applyFill="1" applyBorder="1" applyAlignment="1">
      <alignment horizontal="left"/>
    </xf>
    <xf numFmtId="0" fontId="21" fillId="3" borderId="17" xfId="71" applyFont="1" applyFill="1" applyBorder="1" applyAlignment="1">
      <alignment horizontal="center" vertical="center" wrapText="1"/>
    </xf>
    <xf numFmtId="0" fontId="20" fillId="4" borderId="17" xfId="5" applyFont="1" applyFill="1" applyBorder="1" applyAlignment="1" applyProtection="1">
      <alignment horizontal="left" vertical="center" wrapText="1" indent="1"/>
      <protection locked="0"/>
    </xf>
    <xf numFmtId="0" fontId="2" fillId="3" borderId="16" xfId="5" applyFont="1" applyFill="1" applyBorder="1" applyAlignment="1">
      <alignment horizontal="center" vertical="top" wrapText="1"/>
    </xf>
    <xf numFmtId="0" fontId="20" fillId="3" borderId="17" xfId="5" applyFont="1" applyFill="1" applyBorder="1" applyAlignment="1" applyProtection="1">
      <alignment horizontal="left" vertical="center" wrapText="1" indent="1"/>
      <protection locked="0"/>
    </xf>
    <xf numFmtId="0" fontId="2" fillId="0" borderId="16" xfId="0" applyFont="1" applyBorder="1" applyAlignment="1">
      <alignment horizontal="center" vertical="center"/>
    </xf>
    <xf numFmtId="0" fontId="7" fillId="4" borderId="17" xfId="4" applyFont="1" applyFill="1" applyBorder="1" applyAlignment="1" applyProtection="1">
      <alignment vertical="center" wrapText="1"/>
      <protection locked="0"/>
    </xf>
    <xf numFmtId="0" fontId="2" fillId="3" borderId="17" xfId="0" applyFont="1" applyFill="1" applyBorder="1" applyAlignment="1">
      <alignment horizontal="center"/>
    </xf>
    <xf numFmtId="2" fontId="2" fillId="3" borderId="17" xfId="0" applyNumberFormat="1" applyFont="1" applyFill="1" applyBorder="1" applyAlignment="1">
      <alignment horizontal="center"/>
    </xf>
    <xf numFmtId="2" fontId="24" fillId="0" borderId="17" xfId="0" applyNumberFormat="1" applyFont="1" applyBorder="1" applyAlignment="1">
      <alignment horizontal="center" vertical="center"/>
    </xf>
    <xf numFmtId="0" fontId="2" fillId="4" borderId="17" xfId="5" applyFont="1" applyFill="1" applyBorder="1" applyAlignment="1" applyProtection="1">
      <alignment vertical="center" wrapText="1"/>
      <protection locked="0"/>
    </xf>
    <xf numFmtId="0" fontId="0" fillId="4" borderId="17" xfId="5" applyFont="1" applyFill="1" applyBorder="1" applyAlignment="1" applyProtection="1">
      <alignment horizontal="left" vertical="center" wrapText="1" indent="1"/>
      <protection locked="0"/>
    </xf>
    <xf numFmtId="2" fontId="24" fillId="4" borderId="17" xfId="0" applyNumberFormat="1" applyFont="1" applyFill="1" applyBorder="1" applyAlignment="1">
      <alignment horizontal="center" vertical="center"/>
    </xf>
    <xf numFmtId="0" fontId="2" fillId="4" borderId="17" xfId="5" applyFont="1" applyFill="1" applyBorder="1" applyAlignment="1" applyProtection="1">
      <alignment horizontal="left" vertical="center" wrapText="1" indent="1"/>
      <protection locked="0"/>
    </xf>
    <xf numFmtId="0" fontId="2" fillId="3" borderId="17" xfId="5" applyFont="1" applyFill="1" applyBorder="1" applyAlignment="1" applyProtection="1">
      <alignment vertical="center" wrapText="1"/>
      <protection locked="0"/>
    </xf>
    <xf numFmtId="0" fontId="0" fillId="3" borderId="17" xfId="5" applyFont="1" applyFill="1" applyBorder="1" applyAlignment="1" applyProtection="1">
      <alignment horizontal="left" vertical="center" wrapText="1" indent="1"/>
      <protection locked="0"/>
    </xf>
    <xf numFmtId="0" fontId="24" fillId="0" borderId="17" xfId="71" applyFont="1" applyBorder="1" applyAlignment="1">
      <alignment horizontal="center" vertical="center"/>
    </xf>
    <xf numFmtId="0" fontId="2" fillId="4" borderId="17" xfId="0" applyFont="1" applyFill="1" applyBorder="1" applyAlignment="1">
      <alignment horizontal="center"/>
    </xf>
    <xf numFmtId="0" fontId="0" fillId="4" borderId="17" xfId="0" applyFont="1" applyFill="1" applyBorder="1" applyAlignment="1">
      <alignment horizontal="left" wrapText="1"/>
    </xf>
    <xf numFmtId="0" fontId="2" fillId="3" borderId="17" xfId="0" applyFont="1" applyFill="1" applyBorder="1" applyAlignment="1">
      <alignment horizontal="center" vertical="center"/>
    </xf>
    <xf numFmtId="3" fontId="2" fillId="0" borderId="16" xfId="0" applyNumberFormat="1" applyFont="1" applyBorder="1" applyAlignment="1">
      <alignment horizontal="center" vertical="center" wrapText="1"/>
    </xf>
    <xf numFmtId="0" fontId="21" fillId="4" borderId="17" xfId="5" applyFont="1" applyFill="1" applyBorder="1" applyAlignment="1">
      <alignment horizontal="center" vertical="center" wrapText="1"/>
    </xf>
    <xf numFmtId="4" fontId="2" fillId="4" borderId="17" xfId="0" applyNumberFormat="1" applyFont="1" applyFill="1" applyBorder="1" applyAlignment="1">
      <alignment horizontal="left" vertical="center" wrapText="1"/>
    </xf>
    <xf numFmtId="0" fontId="2" fillId="4" borderId="17" xfId="5" applyFont="1" applyFill="1" applyBorder="1" applyAlignment="1" applyProtection="1">
      <alignment horizontal="center" vertical="center"/>
      <protection locked="0"/>
    </xf>
    <xf numFmtId="0" fontId="0" fillId="4" borderId="17" xfId="5" applyFont="1" applyFill="1" applyBorder="1" applyAlignment="1" applyProtection="1">
      <alignment horizontal="center" vertical="center"/>
      <protection locked="0"/>
    </xf>
    <xf numFmtId="0" fontId="24" fillId="0" borderId="17" xfId="68" applyFont="1" applyBorder="1" applyAlignment="1">
      <alignment horizontal="left"/>
    </xf>
    <xf numFmtId="0" fontId="0" fillId="0" borderId="17" xfId="68" applyFont="1" applyFill="1" applyBorder="1" applyAlignment="1">
      <alignment horizontal="left" wrapText="1"/>
    </xf>
    <xf numFmtId="0" fontId="17" fillId="3" borderId="17" xfId="5" applyFont="1" applyFill="1" applyBorder="1" applyAlignment="1" applyProtection="1">
      <alignment vertical="center" wrapText="1"/>
      <protection locked="0"/>
    </xf>
    <xf numFmtId="0" fontId="15" fillId="3" borderId="17" xfId="33" applyFont="1" applyFill="1" applyBorder="1"/>
    <xf numFmtId="0" fontId="0" fillId="0" borderId="17" xfId="0" applyFont="1" applyFill="1" applyBorder="1" applyAlignment="1">
      <alignment horizontal="left" vertical="center" wrapText="1"/>
    </xf>
    <xf numFmtId="0" fontId="2" fillId="0" borderId="17" xfId="0" applyFont="1" applyFill="1" applyBorder="1" applyAlignment="1">
      <alignment horizontal="center"/>
    </xf>
    <xf numFmtId="0" fontId="36" fillId="0" borderId="17" xfId="68" applyFont="1" applyBorder="1" applyAlignment="1">
      <alignment horizontal="center" vertical="center"/>
    </xf>
    <xf numFmtId="0" fontId="2" fillId="0" borderId="17" xfId="68" applyFont="1" applyFill="1" applyBorder="1" applyAlignment="1">
      <alignment horizontal="center" vertical="center"/>
    </xf>
    <xf numFmtId="0" fontId="14" fillId="0" borderId="0" xfId="3" applyFont="1" applyAlignment="1">
      <alignment horizontal="center"/>
    </xf>
    <xf numFmtId="0" fontId="15" fillId="0" borderId="0" xfId="3" applyFont="1" applyAlignment="1">
      <alignment horizontal="center" vertical="center"/>
    </xf>
    <xf numFmtId="0" fontId="15" fillId="6" borderId="0" xfId="3" applyFont="1" applyFill="1" applyAlignment="1">
      <alignment horizontal="center" vertical="center"/>
    </xf>
    <xf numFmtId="0" fontId="18" fillId="0" borderId="0" xfId="3" applyFont="1" applyAlignment="1">
      <alignment horizontal="center" vertical="center"/>
    </xf>
    <xf numFmtId="0" fontId="15" fillId="0" borderId="6" xfId="3" applyFont="1" applyBorder="1" applyAlignment="1">
      <alignment horizontal="center" vertical="top"/>
    </xf>
    <xf numFmtId="0" fontId="23" fillId="0" borderId="0" xfId="6" applyFont="1" applyAlignment="1">
      <alignment horizontal="center"/>
    </xf>
    <xf numFmtId="0" fontId="15" fillId="0" borderId="0" xfId="3" applyFont="1" applyAlignment="1">
      <alignment horizontal="center"/>
    </xf>
    <xf numFmtId="0" fontId="16" fillId="3" borderId="17" xfId="5" applyFont="1" applyFill="1" applyBorder="1" applyAlignment="1" applyProtection="1">
      <alignment horizontal="left" vertical="center" wrapText="1" indent="1"/>
      <protection locked="0"/>
    </xf>
    <xf numFmtId="2" fontId="33" fillId="3" borderId="17" xfId="5" applyNumberFormat="1" applyFont="1" applyFill="1" applyBorder="1" applyAlignment="1" applyProtection="1">
      <alignment horizontal="center" vertical="center"/>
    </xf>
    <xf numFmtId="4" fontId="37" fillId="3" borderId="17" xfId="5" applyNumberFormat="1" applyFont="1" applyFill="1" applyBorder="1" applyAlignment="1" applyProtection="1">
      <alignment horizontal="center" vertical="center"/>
      <protection locked="0"/>
    </xf>
    <xf numFmtId="0" fontId="16" fillId="3" borderId="16" xfId="5" applyFont="1" applyFill="1" applyBorder="1" applyAlignment="1">
      <alignment horizontal="center" vertical="center" wrapText="1"/>
    </xf>
    <xf numFmtId="0" fontId="2" fillId="3" borderId="17" xfId="0" applyFont="1" applyFill="1" applyBorder="1" applyAlignment="1">
      <alignment vertical="top" wrapText="1"/>
    </xf>
    <xf numFmtId="0" fontId="2" fillId="3" borderId="17" xfId="0" applyFont="1" applyFill="1" applyBorder="1" applyAlignment="1">
      <alignment horizontal="center" vertical="center" wrapText="1"/>
    </xf>
    <xf numFmtId="0" fontId="38" fillId="3" borderId="17" xfId="4" applyFont="1" applyFill="1" applyBorder="1" applyAlignment="1" applyProtection="1">
      <alignment vertical="center" wrapText="1"/>
      <protection locked="0"/>
    </xf>
    <xf numFmtId="2" fontId="25" fillId="4" borderId="17" xfId="0" applyNumberFormat="1" applyFont="1" applyFill="1" applyBorder="1" applyAlignment="1">
      <alignment horizontal="center" vertical="center"/>
    </xf>
    <xf numFmtId="4" fontId="0" fillId="3" borderId="17" xfId="0" applyNumberFormat="1" applyFont="1" applyFill="1" applyBorder="1" applyAlignment="1">
      <alignment horizontal="center" vertical="center" wrapText="1"/>
    </xf>
    <xf numFmtId="0" fontId="21" fillId="3" borderId="17" xfId="72" applyFont="1" applyFill="1" applyBorder="1" applyAlignment="1">
      <alignment horizontal="center" vertical="center" wrapText="1"/>
    </xf>
    <xf numFmtId="2" fontId="24" fillId="0" borderId="17" xfId="41" applyNumberFormat="1" applyFont="1" applyBorder="1" applyAlignment="1">
      <alignment horizontal="center" vertical="center"/>
    </xf>
    <xf numFmtId="0" fontId="24" fillId="3" borderId="17" xfId="0" applyFont="1" applyFill="1" applyBorder="1" applyAlignment="1">
      <alignment wrapText="1"/>
    </xf>
    <xf numFmtId="0" fontId="2" fillId="3" borderId="17" xfId="5" applyFont="1" applyFill="1" applyBorder="1" applyAlignment="1" applyProtection="1">
      <alignment horizontal="left" vertical="center" wrapText="1"/>
      <protection locked="0"/>
    </xf>
    <xf numFmtId="0" fontId="36" fillId="3" borderId="17" xfId="5" applyFont="1" applyFill="1" applyBorder="1" applyAlignment="1" applyProtection="1">
      <alignment horizontal="center" vertical="center" wrapText="1"/>
      <protection locked="0"/>
    </xf>
    <xf numFmtId="0" fontId="36" fillId="4" borderId="17" xfId="5" applyFont="1" applyFill="1" applyBorder="1" applyAlignment="1" applyProtection="1">
      <alignment horizontal="center" vertical="center" wrapText="1"/>
      <protection locked="0"/>
    </xf>
    <xf numFmtId="0" fontId="21" fillId="0" borderId="17" xfId="72" applyFont="1" applyFill="1" applyBorder="1" applyAlignment="1">
      <alignment horizontal="center" vertical="center" wrapText="1"/>
    </xf>
    <xf numFmtId="0" fontId="16" fillId="3" borderId="17" xfId="0" applyFont="1" applyFill="1" applyBorder="1" applyAlignment="1">
      <alignment horizontal="left" wrapText="1"/>
    </xf>
    <xf numFmtId="0" fontId="11" fillId="14" borderId="17" xfId="68" applyFont="1" applyFill="1" applyBorder="1" applyAlignment="1">
      <alignment horizontal="center" wrapText="1"/>
    </xf>
    <xf numFmtId="0" fontId="11" fillId="3" borderId="17" xfId="68" applyFont="1" applyFill="1" applyBorder="1" applyAlignment="1">
      <alignment horizontal="center" wrapText="1"/>
    </xf>
    <xf numFmtId="0" fontId="2" fillId="3" borderId="17" xfId="68" applyFont="1" applyFill="1" applyBorder="1" applyAlignment="1">
      <alignment horizontal="center" vertical="center" wrapText="1"/>
    </xf>
    <xf numFmtId="2" fontId="2" fillId="3" borderId="17" xfId="68" applyNumberFormat="1" applyFont="1" applyFill="1" applyBorder="1" applyAlignment="1">
      <alignment horizontal="center" vertical="center" wrapText="1"/>
    </xf>
    <xf numFmtId="2" fontId="2" fillId="3" borderId="17" xfId="68" applyNumberFormat="1" applyFont="1" applyFill="1" applyBorder="1" applyAlignment="1">
      <alignment horizontal="center" vertical="center"/>
    </xf>
    <xf numFmtId="0" fontId="2" fillId="7" borderId="17" xfId="68" applyFont="1" applyFill="1" applyBorder="1" applyAlignment="1">
      <alignment horizontal="left" vertical="center" wrapText="1"/>
    </xf>
    <xf numFmtId="0" fontId="2" fillId="3" borderId="17" xfId="68" applyFont="1" applyFill="1" applyBorder="1" applyAlignment="1">
      <alignment horizontal="left" vertical="center" wrapText="1"/>
    </xf>
    <xf numFmtId="170" fontId="2" fillId="3" borderId="17" xfId="68" applyNumberFormat="1" applyFont="1" applyFill="1" applyBorder="1" applyAlignment="1">
      <alignment horizontal="center" vertical="center" wrapText="1"/>
    </xf>
    <xf numFmtId="0" fontId="2" fillId="3" borderId="17" xfId="68" applyFont="1" applyFill="1" applyBorder="1" applyAlignment="1">
      <alignment horizontal="right" wrapText="1"/>
    </xf>
    <xf numFmtId="0" fontId="2" fillId="3" borderId="17" xfId="68" applyFont="1" applyFill="1" applyBorder="1" applyAlignment="1">
      <alignment horizontal="center"/>
    </xf>
    <xf numFmtId="165" fontId="2" fillId="3" borderId="17" xfId="68" applyNumberFormat="1" applyFont="1" applyFill="1" applyBorder="1" applyAlignment="1">
      <alignment horizontal="center"/>
    </xf>
    <xf numFmtId="0" fontId="24" fillId="3" borderId="17" xfId="70" applyNumberFormat="1" applyFont="1" applyFill="1" applyBorder="1" applyAlignment="1">
      <alignment horizontal="right" vertical="center" wrapText="1"/>
    </xf>
    <xf numFmtId="0" fontId="2" fillId="3" borderId="17" xfId="68" applyFont="1" applyFill="1" applyBorder="1" applyAlignment="1">
      <alignment horizontal="right"/>
    </xf>
    <xf numFmtId="2" fontId="2" fillId="3" borderId="17" xfId="68" applyNumberFormat="1" applyFont="1" applyFill="1" applyBorder="1" applyAlignment="1">
      <alignment horizontal="center"/>
    </xf>
    <xf numFmtId="2" fontId="34" fillId="3" borderId="17" xfId="68" applyNumberFormat="1" applyFont="1" applyFill="1" applyBorder="1" applyAlignment="1">
      <alignment horizontal="center" vertical="center"/>
    </xf>
    <xf numFmtId="2" fontId="11" fillId="3" borderId="17" xfId="68" applyNumberFormat="1" applyFont="1" applyFill="1" applyBorder="1" applyAlignment="1">
      <alignment horizontal="center" vertical="center"/>
    </xf>
    <xf numFmtId="0" fontId="0" fillId="3" borderId="17" xfId="0" applyFill="1" applyBorder="1" applyAlignment="1">
      <alignment horizontal="center"/>
    </xf>
    <xf numFmtId="0" fontId="0" fillId="3" borderId="17" xfId="0" applyFont="1" applyFill="1" applyBorder="1" applyAlignment="1">
      <alignment vertical="top" wrapText="1"/>
    </xf>
    <xf numFmtId="2" fontId="16" fillId="3" borderId="20" xfId="1" applyNumberFormat="1" applyFont="1" applyFill="1" applyBorder="1" applyAlignment="1">
      <alignment horizontal="center" vertical="center"/>
    </xf>
    <xf numFmtId="2" fontId="16" fillId="3" borderId="21" xfId="1" applyNumberFormat="1" applyFont="1" applyFill="1" applyBorder="1" applyAlignment="1">
      <alignment horizontal="center" vertical="center"/>
    </xf>
    <xf numFmtId="0" fontId="0" fillId="3" borderId="17" xfId="68" applyFont="1" applyFill="1" applyBorder="1" applyAlignment="1">
      <alignment horizontal="right"/>
    </xf>
    <xf numFmtId="0" fontId="2" fillId="3" borderId="17" xfId="68" applyFont="1" applyFill="1" applyBorder="1" applyAlignment="1">
      <alignment horizontal="left" wrapText="1"/>
    </xf>
    <xf numFmtId="0" fontId="0" fillId="3" borderId="17" xfId="68" applyFont="1" applyFill="1" applyBorder="1" applyAlignment="1">
      <alignment horizontal="left" wrapText="1"/>
    </xf>
    <xf numFmtId="0" fontId="0" fillId="3" borderId="17" xfId="68" applyFont="1" applyFill="1" applyBorder="1" applyAlignment="1">
      <alignment horizontal="center" vertical="center" wrapText="1"/>
    </xf>
    <xf numFmtId="0" fontId="2" fillId="3" borderId="17" xfId="68" applyFont="1" applyFill="1" applyBorder="1" applyAlignment="1">
      <alignment horizontal="left" vertical="center"/>
    </xf>
    <xf numFmtId="0" fontId="7" fillId="3" borderId="17" xfId="4" applyFont="1" applyFill="1" applyBorder="1" applyAlignment="1" applyProtection="1">
      <alignment vertical="center" wrapText="1"/>
      <protection locked="0"/>
    </xf>
    <xf numFmtId="4" fontId="22" fillId="3" borderId="17" xfId="0" applyNumberFormat="1" applyFont="1" applyFill="1" applyBorder="1" applyAlignment="1">
      <alignment horizontal="center" vertical="center" wrapText="1"/>
    </xf>
    <xf numFmtId="2" fontId="24" fillId="3" borderId="17" xfId="71" applyNumberFormat="1" applyFont="1" applyFill="1" applyBorder="1" applyAlignment="1">
      <alignment horizontal="center" vertical="center"/>
    </xf>
    <xf numFmtId="2" fontId="2" fillId="3" borderId="17" xfId="0" applyNumberFormat="1" applyFont="1" applyFill="1" applyBorder="1" applyAlignment="1">
      <alignment horizontal="center" vertical="center" wrapText="1"/>
    </xf>
    <xf numFmtId="2" fontId="2" fillId="3" borderId="17" xfId="68" applyNumberFormat="1" applyFont="1" applyFill="1" applyBorder="1" applyAlignment="1">
      <alignment horizontal="left" vertical="center"/>
    </xf>
    <xf numFmtId="0" fontId="0" fillId="3" borderId="17" xfId="68" applyFont="1" applyFill="1" applyBorder="1" applyAlignment="1">
      <alignment horizontal="right" wrapText="1"/>
    </xf>
    <xf numFmtId="0" fontId="0" fillId="3" borderId="17" xfId="68" applyFont="1" applyFill="1" applyBorder="1" applyAlignment="1">
      <alignment horizontal="center"/>
    </xf>
    <xf numFmtId="0" fontId="0" fillId="3" borderId="17" xfId="68" applyFont="1" applyFill="1" applyBorder="1" applyAlignment="1">
      <alignment horizontal="left" vertical="center" wrapText="1"/>
    </xf>
    <xf numFmtId="0" fontId="2" fillId="3" borderId="17" xfId="68" applyFont="1" applyFill="1" applyBorder="1" applyAlignment="1">
      <alignment horizontal="center" vertical="center"/>
    </xf>
    <xf numFmtId="0" fontId="34" fillId="3" borderId="17" xfId="68" applyFont="1" applyFill="1" applyBorder="1" applyAlignment="1">
      <alignment horizontal="center"/>
    </xf>
    <xf numFmtId="0" fontId="2" fillId="3" borderId="17" xfId="69" applyFont="1" applyFill="1" applyBorder="1" applyAlignment="1">
      <alignment horizontal="left" vertical="center" wrapText="1"/>
    </xf>
    <xf numFmtId="0" fontId="2" fillId="3" borderId="17" xfId="69" applyFont="1" applyFill="1" applyBorder="1" applyAlignment="1">
      <alignment horizontal="center" vertical="center"/>
    </xf>
    <xf numFmtId="2" fontId="2" fillId="3" borderId="17" xfId="69" applyNumberFormat="1" applyFont="1" applyFill="1" applyBorder="1" applyAlignment="1">
      <alignment vertical="center"/>
    </xf>
    <xf numFmtId="2" fontId="2" fillId="3" borderId="17" xfId="69" applyNumberFormat="1" applyFont="1" applyFill="1" applyBorder="1" applyAlignment="1">
      <alignment horizontal="center" vertical="center"/>
    </xf>
    <xf numFmtId="0" fontId="2" fillId="3" borderId="17" xfId="69" applyFont="1" applyFill="1" applyBorder="1" applyAlignment="1">
      <alignment horizontal="left" vertical="top" wrapText="1"/>
    </xf>
    <xf numFmtId="0" fontId="2" fillId="3" borderId="17" xfId="68" applyFont="1" applyFill="1" applyBorder="1" applyAlignment="1">
      <alignment horizontal="center" wrapText="1"/>
    </xf>
    <xf numFmtId="2" fontId="2" fillId="3" borderId="17" xfId="68" applyNumberFormat="1" applyFont="1" applyFill="1" applyBorder="1" applyAlignment="1" applyProtection="1">
      <alignment horizontal="center" vertical="center"/>
    </xf>
    <xf numFmtId="0" fontId="11" fillId="3" borderId="17" xfId="68" applyFont="1" applyFill="1" applyBorder="1" applyAlignment="1">
      <alignment horizontal="center" vertical="center"/>
    </xf>
    <xf numFmtId="0" fontId="0" fillId="3" borderId="17" xfId="68" applyFont="1" applyFill="1" applyBorder="1" applyAlignment="1">
      <alignment horizontal="left" vertical="center"/>
    </xf>
    <xf numFmtId="0" fontId="24" fillId="3" borderId="17" xfId="68" applyFont="1" applyFill="1" applyBorder="1" applyAlignment="1">
      <alignment horizontal="right"/>
    </xf>
    <xf numFmtId="0" fontId="2" fillId="3" borderId="17" xfId="68" applyFont="1" applyFill="1" applyBorder="1" applyAlignment="1">
      <alignment horizontal="right" vertical="top" wrapText="1"/>
    </xf>
    <xf numFmtId="0" fontId="0" fillId="3" borderId="17" xfId="68" applyFont="1" applyFill="1" applyBorder="1" applyAlignment="1">
      <alignment horizontal="center" vertical="center"/>
    </xf>
    <xf numFmtId="2" fontId="11" fillId="3" borderId="17" xfId="68" applyNumberFormat="1" applyFont="1" applyFill="1" applyBorder="1" applyAlignment="1">
      <alignment horizontal="center" vertical="center" wrapText="1"/>
    </xf>
    <xf numFmtId="0" fontId="16" fillId="0" borderId="45" xfId="3" applyFont="1" applyBorder="1" applyAlignment="1">
      <alignment horizontal="center" vertical="center"/>
    </xf>
    <xf numFmtId="0" fontId="21" fillId="0" borderId="0" xfId="1" applyFont="1" applyFill="1" applyBorder="1" applyAlignment="1">
      <alignment horizontal="center" vertical="center" wrapText="1"/>
    </xf>
    <xf numFmtId="0" fontId="5" fillId="0" borderId="0" xfId="1" applyFont="1" applyAlignment="1">
      <alignment horizontal="center"/>
    </xf>
    <xf numFmtId="0" fontId="15" fillId="0" borderId="6" xfId="3" applyFont="1" applyBorder="1" applyAlignment="1">
      <alignment horizontal="center" vertical="center"/>
    </xf>
    <xf numFmtId="0" fontId="14" fillId="0" borderId="0" xfId="3" applyFont="1" applyAlignment="1">
      <alignment horizontal="center" vertical="center"/>
    </xf>
    <xf numFmtId="2" fontId="25" fillId="3" borderId="17" xfId="41" applyNumberFormat="1" applyFont="1" applyFill="1" applyBorder="1" applyAlignment="1">
      <alignment horizontal="center" vertical="center"/>
    </xf>
    <xf numFmtId="4" fontId="2" fillId="4" borderId="20" xfId="1" applyNumberFormat="1" applyFont="1" applyFill="1" applyBorder="1" applyAlignment="1">
      <alignment horizontal="center" vertical="center"/>
    </xf>
    <xf numFmtId="4" fontId="12" fillId="0" borderId="21" xfId="1" applyNumberFormat="1" applyFont="1" applyBorder="1" applyAlignment="1">
      <alignment horizontal="center" vertical="center"/>
    </xf>
    <xf numFmtId="3" fontId="0" fillId="0" borderId="16" xfId="0" applyNumberFormat="1" applyFont="1" applyBorder="1" applyAlignment="1">
      <alignment horizontal="center" vertical="center" wrapText="1"/>
    </xf>
    <xf numFmtId="0" fontId="5" fillId="0" borderId="0" xfId="1" applyFont="1" applyAlignment="1">
      <alignment horizontal="center" vertical="center"/>
    </xf>
    <xf numFmtId="0" fontId="23" fillId="0" borderId="0" xfId="6" applyFont="1" applyAlignment="1">
      <alignment horizontal="center" vertical="center"/>
    </xf>
    <xf numFmtId="0" fontId="2" fillId="0" borderId="0" xfId="1" applyFont="1" applyAlignment="1">
      <alignment horizontal="center" vertical="center"/>
    </xf>
    <xf numFmtId="0" fontId="2" fillId="3" borderId="20" xfId="5" applyFont="1" applyFill="1" applyBorder="1" applyAlignment="1">
      <alignment horizontal="center" vertical="center" wrapText="1"/>
    </xf>
    <xf numFmtId="0" fontId="2" fillId="3" borderId="16" xfId="0" applyFont="1" applyFill="1" applyBorder="1" applyAlignment="1">
      <alignment horizontal="center" vertical="center"/>
    </xf>
    <xf numFmtId="3" fontId="0" fillId="3" borderId="16" xfId="0" applyNumberFormat="1" applyFill="1" applyBorder="1" applyAlignment="1">
      <alignment horizontal="center" vertical="center" wrapText="1"/>
    </xf>
    <xf numFmtId="0" fontId="2" fillId="3" borderId="16" xfId="68" applyFont="1" applyFill="1" applyBorder="1" applyAlignment="1">
      <alignment horizontal="center" vertical="center"/>
    </xf>
    <xf numFmtId="0" fontId="0" fillId="7" borderId="17" xfId="68"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3" borderId="17" xfId="69" applyFont="1" applyFill="1" applyBorder="1" applyAlignment="1">
      <alignment horizontal="left" vertical="top" wrapText="1"/>
    </xf>
    <xf numFmtId="1" fontId="2" fillId="0" borderId="20" xfId="0" applyNumberFormat="1" applyFont="1" applyFill="1" applyBorder="1" applyAlignment="1">
      <alignment horizontal="center" vertical="center"/>
    </xf>
    <xf numFmtId="4" fontId="40" fillId="3" borderId="17" xfId="0" applyNumberFormat="1" applyFont="1" applyFill="1" applyBorder="1" applyAlignment="1">
      <alignment horizontal="left" vertical="center" wrapText="1"/>
    </xf>
    <xf numFmtId="0" fontId="7" fillId="0" borderId="17" xfId="4" applyFont="1" applyFill="1" applyBorder="1" applyAlignment="1" applyProtection="1">
      <alignment vertical="center" wrapText="1"/>
      <protection locked="0"/>
    </xf>
    <xf numFmtId="0" fontId="11" fillId="16" borderId="17" xfId="68" applyFont="1" applyFill="1" applyBorder="1" applyAlignment="1">
      <alignment horizontal="center" wrapText="1"/>
    </xf>
    <xf numFmtId="0" fontId="15" fillId="0" borderId="25" xfId="3" applyFont="1" applyBorder="1" applyAlignment="1">
      <alignment horizontal="center" vertical="top"/>
    </xf>
    <xf numFmtId="0" fontId="16" fillId="0" borderId="11" xfId="3" applyFont="1" applyBorder="1" applyAlignment="1">
      <alignment horizontal="center" vertical="center"/>
    </xf>
    <xf numFmtId="0" fontId="21" fillId="0" borderId="12" xfId="1" applyFont="1" applyFill="1" applyBorder="1" applyAlignment="1">
      <alignment horizontal="center" vertical="center" wrapText="1"/>
    </xf>
    <xf numFmtId="0" fontId="7" fillId="5" borderId="12" xfId="4" applyFont="1" applyFill="1" applyBorder="1" applyAlignment="1" applyProtection="1">
      <alignment vertical="center" wrapText="1"/>
      <protection locked="0"/>
    </xf>
    <xf numFmtId="0" fontId="20" fillId="0" borderId="12" xfId="5" applyFont="1" applyBorder="1" applyAlignment="1" applyProtection="1">
      <alignment horizontal="center" vertical="center"/>
      <protection locked="0"/>
    </xf>
    <xf numFmtId="0" fontId="20" fillId="3" borderId="12" xfId="5" applyFont="1" applyFill="1" applyBorder="1" applyAlignment="1" applyProtection="1">
      <alignment horizontal="center" vertical="center"/>
      <protection locked="0"/>
    </xf>
    <xf numFmtId="2" fontId="12" fillId="0" borderId="12" xfId="1" applyNumberFormat="1" applyFont="1" applyBorder="1" applyAlignment="1">
      <alignment horizontal="center" vertical="center"/>
    </xf>
    <xf numFmtId="2" fontId="16" fillId="3" borderId="12" xfId="3" applyNumberFormat="1" applyFont="1" applyFill="1" applyBorder="1" applyAlignment="1">
      <alignment horizontal="center" vertical="center"/>
    </xf>
    <xf numFmtId="2" fontId="16" fillId="0" borderId="12" xfId="3" applyNumberFormat="1" applyFont="1" applyBorder="1" applyAlignment="1">
      <alignment horizontal="center" vertical="center"/>
    </xf>
    <xf numFmtId="2" fontId="16" fillId="0" borderId="12" xfId="1" applyNumberFormat="1" applyFont="1" applyBorder="1" applyAlignment="1">
      <alignment horizontal="center" vertical="center"/>
    </xf>
    <xf numFmtId="2" fontId="16" fillId="0" borderId="15" xfId="1" applyNumberFormat="1" applyFont="1" applyBorder="1" applyAlignment="1">
      <alignment horizontal="center" vertical="center"/>
    </xf>
    <xf numFmtId="2" fontId="16" fillId="0" borderId="17" xfId="1" applyNumberFormat="1" applyFont="1" applyBorder="1" applyAlignment="1">
      <alignment horizontal="center" vertical="center"/>
    </xf>
    <xf numFmtId="2" fontId="12" fillId="0" borderId="17" xfId="1" applyNumberFormat="1" applyFont="1" applyBorder="1" applyAlignment="1">
      <alignment horizontal="center" vertical="center"/>
    </xf>
    <xf numFmtId="2" fontId="16" fillId="0" borderId="22" xfId="1" applyNumberFormat="1" applyFont="1" applyBorder="1" applyAlignment="1">
      <alignment horizontal="center" vertical="center"/>
    </xf>
    <xf numFmtId="2" fontId="16" fillId="3" borderId="17" xfId="1" applyNumberFormat="1" applyFont="1" applyFill="1" applyBorder="1" applyAlignment="1">
      <alignment horizontal="center" vertical="center"/>
    </xf>
    <xf numFmtId="2" fontId="12" fillId="3" borderId="17" xfId="1" applyNumberFormat="1" applyFont="1" applyFill="1" applyBorder="1" applyAlignment="1">
      <alignment horizontal="center" vertical="center"/>
    </xf>
    <xf numFmtId="2" fontId="16" fillId="3" borderId="22" xfId="1" applyNumberFormat="1" applyFont="1" applyFill="1" applyBorder="1" applyAlignment="1">
      <alignment horizontal="center" vertical="center"/>
    </xf>
    <xf numFmtId="0" fontId="0" fillId="3" borderId="17" xfId="0" applyFill="1" applyBorder="1"/>
    <xf numFmtId="0" fontId="0" fillId="3" borderId="22" xfId="0" applyFill="1" applyBorder="1"/>
    <xf numFmtId="0" fontId="0" fillId="3" borderId="17" xfId="0" applyFill="1" applyBorder="1" applyAlignment="1">
      <alignment horizontal="left" vertical="center" wrapText="1"/>
    </xf>
    <xf numFmtId="2" fontId="16" fillId="3" borderId="22" xfId="0" applyNumberFormat="1" applyFont="1" applyFill="1" applyBorder="1" applyAlignment="1">
      <alignment horizontal="center" vertical="center"/>
    </xf>
    <xf numFmtId="0" fontId="16" fillId="0" borderId="46" xfId="3" applyFont="1" applyBorder="1" applyAlignment="1">
      <alignment horizontal="center" vertical="center"/>
    </xf>
    <xf numFmtId="0" fontId="16" fillId="0" borderId="47" xfId="3" applyFont="1" applyBorder="1" applyAlignment="1">
      <alignment horizontal="center" vertical="center"/>
    </xf>
    <xf numFmtId="0" fontId="16" fillId="0" borderId="47" xfId="3" applyFont="1" applyBorder="1" applyAlignment="1">
      <alignment vertical="center" wrapText="1"/>
    </xf>
    <xf numFmtId="0" fontId="16" fillId="0" borderId="47" xfId="3" applyFont="1" applyBorder="1" applyAlignment="1">
      <alignment horizontal="center" vertical="center" wrapText="1"/>
    </xf>
    <xf numFmtId="2" fontId="16" fillId="0" borderId="47" xfId="3" applyNumberFormat="1" applyFont="1" applyBorder="1" applyAlignment="1">
      <alignment horizontal="center" vertical="center"/>
    </xf>
    <xf numFmtId="2" fontId="16" fillId="3" borderId="47" xfId="3" applyNumberFormat="1" applyFont="1" applyFill="1" applyBorder="1" applyAlignment="1">
      <alignment horizontal="center" vertical="center"/>
    </xf>
    <xf numFmtId="2" fontId="16" fillId="0" borderId="48" xfId="3" applyNumberFormat="1" applyFont="1" applyBorder="1" applyAlignment="1">
      <alignment horizontal="center" vertical="center"/>
    </xf>
    <xf numFmtId="0" fontId="39" fillId="3" borderId="17" xfId="68" applyFont="1" applyFill="1" applyBorder="1" applyAlignment="1">
      <alignment horizontal="center" vertical="center"/>
    </xf>
    <xf numFmtId="0" fontId="0" fillId="3" borderId="17" xfId="69" applyFont="1" applyFill="1" applyBorder="1" applyAlignment="1">
      <alignment horizontal="left" vertical="center" wrapText="1"/>
    </xf>
    <xf numFmtId="0" fontId="24" fillId="3" borderId="17" xfId="68" applyFont="1" applyFill="1" applyBorder="1" applyAlignment="1">
      <alignment horizontal="left"/>
    </xf>
    <xf numFmtId="0" fontId="24" fillId="3" borderId="17" xfId="70" applyNumberFormat="1" applyFont="1" applyFill="1" applyBorder="1" applyAlignment="1">
      <alignment horizontal="left" vertical="center" wrapText="1"/>
    </xf>
    <xf numFmtId="16" fontId="2" fillId="3" borderId="16" xfId="68" applyNumberFormat="1" applyFont="1" applyFill="1" applyBorder="1" applyAlignment="1">
      <alignment horizontal="center" vertical="center"/>
    </xf>
    <xf numFmtId="2" fontId="16" fillId="0" borderId="20" xfId="1" applyNumberFormat="1" applyFont="1" applyFill="1" applyBorder="1" applyAlignment="1">
      <alignment horizontal="center" vertical="center"/>
    </xf>
    <xf numFmtId="2" fontId="12" fillId="0" borderId="20" xfId="1" applyNumberFormat="1" applyFont="1" applyFill="1" applyBorder="1" applyAlignment="1">
      <alignment horizontal="center" vertical="center"/>
    </xf>
    <xf numFmtId="2" fontId="16" fillId="0" borderId="21" xfId="1" applyNumberFormat="1" applyFont="1" applyFill="1" applyBorder="1" applyAlignment="1">
      <alignment horizontal="center" vertical="center"/>
    </xf>
    <xf numFmtId="0" fontId="2" fillId="0" borderId="20" xfId="5" applyFont="1" applyFill="1" applyBorder="1" applyAlignment="1">
      <alignment horizontal="center" vertical="center" wrapText="1"/>
    </xf>
    <xf numFmtId="170" fontId="2" fillId="0" borderId="17" xfId="68" applyNumberFormat="1" applyFont="1" applyFill="1" applyBorder="1" applyAlignment="1">
      <alignment horizontal="center" vertical="center" wrapText="1"/>
    </xf>
    <xf numFmtId="0" fontId="24" fillId="0" borderId="17" xfId="68" applyFont="1" applyFill="1" applyBorder="1" applyAlignment="1">
      <alignment horizontal="right"/>
    </xf>
    <xf numFmtId="0" fontId="2" fillId="0" borderId="17" xfId="68" applyFont="1" applyFill="1" applyBorder="1" applyAlignment="1">
      <alignment horizontal="right" vertical="top" wrapText="1"/>
    </xf>
    <xf numFmtId="0" fontId="24" fillId="0" borderId="17" xfId="68" applyFont="1" applyFill="1" applyBorder="1" applyAlignment="1">
      <alignment horizontal="left"/>
    </xf>
    <xf numFmtId="0" fontId="2" fillId="15" borderId="17" xfId="68" applyFont="1" applyFill="1" applyBorder="1" applyAlignment="1">
      <alignment horizontal="center" vertical="center" wrapText="1"/>
    </xf>
    <xf numFmtId="165" fontId="2" fillId="15" borderId="17" xfId="68" applyNumberFormat="1" applyFont="1" applyFill="1" applyBorder="1" applyAlignment="1">
      <alignment horizontal="center"/>
    </xf>
    <xf numFmtId="0" fontId="20" fillId="15" borderId="17" xfId="5" applyFont="1" applyFill="1" applyBorder="1" applyAlignment="1" applyProtection="1">
      <alignment horizontal="left" vertical="center" wrapText="1" indent="1"/>
      <protection locked="0"/>
    </xf>
    <xf numFmtId="0" fontId="2" fillId="15" borderId="16" xfId="5" applyFont="1" applyFill="1" applyBorder="1" applyAlignment="1">
      <alignment horizontal="center" vertical="center" wrapText="1"/>
    </xf>
    <xf numFmtId="0" fontId="21" fillId="15" borderId="17" xfId="71" applyFont="1" applyFill="1" applyBorder="1" applyAlignment="1">
      <alignment horizontal="center" vertical="center" wrapText="1"/>
    </xf>
    <xf numFmtId="0" fontId="16" fillId="15" borderId="17" xfId="5" applyFont="1" applyFill="1" applyBorder="1" applyAlignment="1" applyProtection="1">
      <alignment vertical="center" wrapText="1"/>
      <protection locked="0"/>
    </xf>
    <xf numFmtId="0" fontId="0" fillId="15" borderId="17" xfId="5" applyFont="1" applyFill="1" applyBorder="1" applyAlignment="1" applyProtection="1">
      <alignment horizontal="center" vertical="center"/>
      <protection locked="0"/>
    </xf>
    <xf numFmtId="2" fontId="2" fillId="15" borderId="17" xfId="5" applyNumberFormat="1" applyFont="1" applyFill="1" applyBorder="1" applyAlignment="1" applyProtection="1">
      <alignment horizontal="center" vertical="center"/>
      <protection locked="0"/>
    </xf>
    <xf numFmtId="3" fontId="2" fillId="15" borderId="16" xfId="0" applyNumberFormat="1" applyFont="1" applyFill="1" applyBorder="1" applyAlignment="1">
      <alignment horizontal="center" vertical="center" wrapText="1"/>
    </xf>
    <xf numFmtId="0" fontId="2" fillId="15" borderId="17" xfId="5" applyFont="1" applyFill="1" applyBorder="1" applyAlignment="1">
      <alignment horizontal="center" vertical="center" wrapText="1"/>
    </xf>
    <xf numFmtId="4" fontId="36" fillId="15" borderId="17" xfId="0" applyNumberFormat="1" applyFont="1" applyFill="1" applyBorder="1" applyAlignment="1">
      <alignment horizontal="left" vertical="center" wrapText="1"/>
    </xf>
    <xf numFmtId="4" fontId="2" fillId="15" borderId="17" xfId="0" applyNumberFormat="1" applyFont="1" applyFill="1" applyBorder="1" applyAlignment="1">
      <alignment horizontal="center" vertical="center" wrapText="1"/>
    </xf>
    <xf numFmtId="0" fontId="0" fillId="15" borderId="17" xfId="5" applyFont="1" applyFill="1" applyBorder="1" applyAlignment="1" applyProtection="1">
      <alignment vertical="center" wrapText="1"/>
      <protection locked="0"/>
    </xf>
    <xf numFmtId="0" fontId="2" fillId="15" borderId="17" xfId="5" applyFont="1" applyFill="1" applyBorder="1" applyAlignment="1" applyProtection="1">
      <alignment horizontal="center" vertical="center"/>
      <protection locked="0"/>
    </xf>
    <xf numFmtId="0" fontId="0" fillId="15" borderId="17" xfId="5" applyFont="1" applyFill="1" applyBorder="1" applyAlignment="1" applyProtection="1">
      <alignment horizontal="left" vertical="center" wrapText="1" indent="1"/>
      <protection locked="0"/>
    </xf>
    <xf numFmtId="0" fontId="2" fillId="15" borderId="17" xfId="5" applyFont="1" applyFill="1" applyBorder="1" applyAlignment="1" applyProtection="1">
      <alignment vertical="center" wrapText="1"/>
      <protection locked="0"/>
    </xf>
    <xf numFmtId="0" fontId="2" fillId="15" borderId="17" xfId="5" applyFont="1" applyFill="1" applyBorder="1" applyAlignment="1" applyProtection="1">
      <alignment horizontal="left" vertical="center" wrapText="1" indent="1"/>
      <protection locked="0"/>
    </xf>
    <xf numFmtId="0" fontId="2" fillId="15" borderId="17" xfId="72" applyFont="1" applyFill="1" applyBorder="1" applyAlignment="1">
      <alignment horizontal="center" vertical="center" wrapText="1"/>
    </xf>
    <xf numFmtId="0" fontId="16" fillId="15" borderId="17" xfId="5" applyFont="1" applyFill="1" applyBorder="1" applyAlignment="1" applyProtection="1">
      <alignment horizontal="center" vertical="center"/>
      <protection locked="0"/>
    </xf>
    <xf numFmtId="0" fontId="16" fillId="15" borderId="17" xfId="5" applyFont="1" applyFill="1" applyBorder="1" applyAlignment="1" applyProtection="1">
      <alignment horizontal="left" vertical="center" wrapText="1" indent="1"/>
      <protection locked="0"/>
    </xf>
    <xf numFmtId="0" fontId="2" fillId="15" borderId="17" xfId="71" applyFont="1" applyFill="1" applyBorder="1" applyAlignment="1">
      <alignment horizontal="center" vertical="center" wrapText="1"/>
    </xf>
    <xf numFmtId="0" fontId="0" fillId="15" borderId="17" xfId="0" applyFill="1" applyBorder="1" applyAlignment="1">
      <alignment horizontal="center"/>
    </xf>
    <xf numFmtId="0" fontId="2" fillId="0" borderId="49" xfId="68" applyFont="1" applyBorder="1" applyAlignment="1">
      <alignment horizontal="center" vertical="center"/>
    </xf>
    <xf numFmtId="2" fontId="16" fillId="0" borderId="27" xfId="1" applyNumberFormat="1" applyFont="1" applyBorder="1" applyAlignment="1">
      <alignment horizontal="center" vertical="center"/>
    </xf>
    <xf numFmtId="0" fontId="11" fillId="0" borderId="41" xfId="68" applyFont="1" applyFill="1" applyBorder="1" applyAlignment="1">
      <alignment horizontal="center" vertical="center"/>
    </xf>
    <xf numFmtId="0" fontId="0" fillId="0" borderId="41" xfId="68" applyFont="1" applyFill="1" applyBorder="1" applyAlignment="1">
      <alignment horizontal="center"/>
    </xf>
    <xf numFmtId="2" fontId="2" fillId="0" borderId="41" xfId="68" applyNumberFormat="1" applyFont="1" applyFill="1" applyBorder="1" applyAlignment="1">
      <alignment horizontal="center"/>
    </xf>
    <xf numFmtId="2" fontId="34" fillId="0" borderId="41" xfId="68" applyNumberFormat="1" applyFont="1" applyFill="1" applyBorder="1" applyAlignment="1">
      <alignment horizontal="center" vertical="center"/>
    </xf>
    <xf numFmtId="2" fontId="2" fillId="0" borderId="41" xfId="68" applyNumberFormat="1" applyFont="1" applyFill="1" applyBorder="1" applyAlignment="1">
      <alignment horizontal="center" vertical="center" wrapText="1"/>
    </xf>
    <xf numFmtId="2" fontId="2" fillId="0" borderId="41" xfId="68" applyNumberFormat="1" applyFont="1" applyFill="1" applyBorder="1" applyAlignment="1">
      <alignment horizontal="center" vertical="center"/>
    </xf>
    <xf numFmtId="2" fontId="11" fillId="0" borderId="41" xfId="68" applyNumberFormat="1" applyFont="1" applyFill="1" applyBorder="1" applyAlignment="1">
      <alignment horizontal="center" vertical="center"/>
    </xf>
    <xf numFmtId="0" fontId="11" fillId="0" borderId="50" xfId="68" applyNumberFormat="1" applyFont="1" applyFill="1" applyBorder="1" applyAlignment="1" applyProtection="1">
      <alignment horizontal="center" vertical="top" wrapText="1"/>
    </xf>
    <xf numFmtId="0" fontId="2" fillId="0" borderId="50" xfId="68" applyNumberFormat="1" applyFont="1" applyFill="1" applyBorder="1" applyAlignment="1" applyProtection="1">
      <alignment horizontal="center" vertical="center" wrapText="1"/>
    </xf>
    <xf numFmtId="2" fontId="2" fillId="0" borderId="50" xfId="68" applyNumberFormat="1" applyFont="1" applyFill="1" applyBorder="1" applyAlignment="1" applyProtection="1">
      <alignment horizontal="center" vertical="center"/>
    </xf>
    <xf numFmtId="2" fontId="2" fillId="0" borderId="50" xfId="68" applyNumberFormat="1" applyFont="1" applyBorder="1" applyAlignment="1">
      <alignment horizontal="center" vertical="center"/>
    </xf>
    <xf numFmtId="2" fontId="2" fillId="0" borderId="50" xfId="68" applyNumberFormat="1" applyFont="1" applyBorder="1" applyAlignment="1">
      <alignment horizontal="center" vertical="center" wrapText="1"/>
    </xf>
    <xf numFmtId="0" fontId="21" fillId="15" borderId="17" xfId="72" applyFont="1" applyFill="1" applyBorder="1" applyAlignment="1">
      <alignment horizontal="center" vertical="center" wrapText="1"/>
    </xf>
    <xf numFmtId="0" fontId="20" fillId="15" borderId="17" xfId="5" applyFont="1" applyFill="1" applyBorder="1" applyAlignment="1" applyProtection="1">
      <alignment horizontal="center" vertical="center"/>
      <protection locked="0"/>
    </xf>
    <xf numFmtId="4" fontId="8" fillId="0" borderId="6" xfId="1" applyNumberFormat="1" applyFont="1" applyFill="1" applyBorder="1" applyAlignment="1">
      <alignment horizontal="center" vertical="top" wrapText="1"/>
    </xf>
    <xf numFmtId="0" fontId="16" fillId="0" borderId="27" xfId="3" applyFont="1" applyFill="1" applyBorder="1" applyAlignment="1">
      <alignment horizontal="center" vertical="center"/>
    </xf>
    <xf numFmtId="0" fontId="7" fillId="0" borderId="28" xfId="4" applyFont="1" applyFill="1" applyBorder="1" applyAlignment="1" applyProtection="1">
      <alignment vertical="center" wrapText="1"/>
      <protection locked="0"/>
    </xf>
    <xf numFmtId="0" fontId="20" fillId="0" borderId="17" xfId="5" applyFont="1" applyFill="1" applyBorder="1" applyAlignment="1" applyProtection="1">
      <alignment horizontal="center" vertical="center"/>
      <protection locked="0"/>
    </xf>
    <xf numFmtId="0" fontId="20" fillId="0" borderId="28" xfId="5" applyFont="1" applyFill="1" applyBorder="1" applyAlignment="1" applyProtection="1">
      <alignment horizontal="center" vertical="center"/>
      <protection locked="0"/>
    </xf>
    <xf numFmtId="2" fontId="12" fillId="0" borderId="20" xfId="3" applyNumberFormat="1" applyFont="1" applyFill="1" applyBorder="1" applyAlignment="1">
      <alignment horizontal="center" vertical="center"/>
    </xf>
    <xf numFmtId="0" fontId="21" fillId="0" borderId="17" xfId="5" applyFont="1" applyFill="1" applyBorder="1" applyAlignment="1">
      <alignment horizontal="center" vertical="center" wrapText="1"/>
    </xf>
    <xf numFmtId="4" fontId="0" fillId="0" borderId="17" xfId="0" applyNumberFormat="1" applyFill="1" applyBorder="1" applyAlignment="1">
      <alignment horizontal="center" vertical="center" wrapText="1"/>
    </xf>
    <xf numFmtId="0" fontId="34" fillId="0" borderId="17" xfId="68" applyFont="1" applyFill="1" applyBorder="1" applyAlignment="1">
      <alignment horizontal="center"/>
    </xf>
    <xf numFmtId="0" fontId="2" fillId="0" borderId="17" xfId="68" applyFont="1" applyFill="1" applyBorder="1" applyAlignment="1">
      <alignment horizontal="center" wrapText="1"/>
    </xf>
    <xf numFmtId="0" fontId="2" fillId="0" borderId="17" xfId="68" quotePrefix="1" applyFont="1" applyFill="1" applyBorder="1" applyAlignment="1">
      <alignment horizontal="left" vertical="center" wrapText="1"/>
    </xf>
    <xf numFmtId="0" fontId="2" fillId="0" borderId="17" xfId="68" applyFont="1" applyFill="1" applyBorder="1" applyAlignment="1">
      <alignment horizontal="left" vertical="center"/>
    </xf>
    <xf numFmtId="0" fontId="2" fillId="0" borderId="17" xfId="69" applyFont="1" applyFill="1" applyBorder="1" applyAlignment="1">
      <alignment horizontal="left" vertical="center" wrapText="1"/>
    </xf>
    <xf numFmtId="0" fontId="2" fillId="0" borderId="17" xfId="69" applyFont="1" applyFill="1" applyBorder="1" applyAlignment="1">
      <alignment horizontal="left" vertical="top" wrapText="1"/>
    </xf>
    <xf numFmtId="0" fontId="34" fillId="0" borderId="41" xfId="68" applyFont="1" applyFill="1" applyBorder="1" applyAlignment="1">
      <alignment horizontal="center"/>
    </xf>
    <xf numFmtId="0" fontId="2" fillId="0" borderId="17" xfId="70" applyNumberFormat="1" applyFont="1" applyFill="1" applyBorder="1" applyAlignment="1">
      <alignment horizontal="right" vertical="center" wrapText="1"/>
    </xf>
    <xf numFmtId="0" fontId="0" fillId="0" borderId="17" xfId="68" applyFont="1" applyFill="1" applyBorder="1" applyAlignment="1">
      <alignment horizontal="left"/>
    </xf>
    <xf numFmtId="0" fontId="0" fillId="0" borderId="17" xfId="68" applyFont="1" applyFill="1" applyBorder="1" applyAlignment="1">
      <alignment horizontal="center"/>
    </xf>
    <xf numFmtId="0" fontId="2" fillId="0" borderId="50" xfId="68" applyFont="1" applyFill="1" applyBorder="1" applyAlignment="1">
      <alignment horizontal="center" vertical="center"/>
    </xf>
    <xf numFmtId="2" fontId="2" fillId="0" borderId="17" xfId="68" applyNumberFormat="1" applyFont="1" applyFill="1" applyBorder="1" applyAlignment="1">
      <alignment horizontal="left" vertical="center"/>
    </xf>
    <xf numFmtId="0" fontId="11" fillId="0" borderId="17" xfId="68" applyFont="1" applyFill="1" applyBorder="1" applyAlignment="1">
      <alignment horizontal="left" vertical="center"/>
    </xf>
    <xf numFmtId="0" fontId="0" fillId="0" borderId="17" xfId="68" applyFont="1" applyFill="1" applyBorder="1" applyAlignment="1">
      <alignment horizontal="left" vertical="center"/>
    </xf>
    <xf numFmtId="0" fontId="0" fillId="0" borderId="17" xfId="68" applyFont="1" applyFill="1" applyBorder="1" applyAlignment="1">
      <alignment horizontal="left" vertical="center" wrapText="1"/>
    </xf>
    <xf numFmtId="0" fontId="0" fillId="0" borderId="17" xfId="68" applyFont="1" applyFill="1" applyBorder="1" applyAlignment="1">
      <alignment horizontal="center" vertical="center"/>
    </xf>
    <xf numFmtId="0" fontId="20" fillId="0" borderId="44" xfId="5" applyFont="1" applyFill="1" applyBorder="1" applyAlignment="1" applyProtection="1">
      <alignment horizontal="left" vertical="center" wrapText="1" indent="1"/>
      <protection locked="0"/>
    </xf>
    <xf numFmtId="0" fontId="20" fillId="0" borderId="5" xfId="5" applyFont="1" applyFill="1" applyBorder="1" applyAlignment="1" applyProtection="1">
      <alignment horizontal="center" vertical="center"/>
      <protection locked="0"/>
    </xf>
    <xf numFmtId="2" fontId="16" fillId="0" borderId="20" xfId="3" applyNumberFormat="1" applyFont="1" applyFill="1" applyBorder="1" applyAlignment="1">
      <alignment horizontal="center" vertical="center"/>
    </xf>
    <xf numFmtId="0" fontId="2" fillId="0" borderId="17" xfId="5" applyFont="1" applyFill="1" applyBorder="1" applyAlignment="1" applyProtection="1">
      <alignment horizontal="center" vertical="center"/>
      <protection locked="0"/>
    </xf>
    <xf numFmtId="0" fontId="3" fillId="0" borderId="0" xfId="1" applyFont="1" applyFill="1" applyBorder="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4" fillId="0" borderId="0" xfId="1" applyFont="1" applyAlignment="1">
      <alignment horizontal="right" vertical="center" wrapText="1"/>
    </xf>
    <xf numFmtId="0" fontId="4" fillId="0" borderId="0" xfId="1" applyFont="1" applyAlignment="1">
      <alignment horizontal="left" vertical="top" wrapText="1"/>
    </xf>
    <xf numFmtId="0" fontId="4" fillId="0" borderId="0" xfId="1" applyFont="1" applyAlignment="1">
      <alignment horizontal="right" vertical="top"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0" xfId="1" applyFont="1" applyAlignment="1">
      <alignment horizontal="center" vertical="top" wrapText="1"/>
    </xf>
    <xf numFmtId="0" fontId="7" fillId="0" borderId="4" xfId="1" applyFont="1" applyBorder="1" applyAlignment="1">
      <alignment horizontal="center" vertical="top"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6" fillId="0" borderId="13" xfId="1" applyFont="1" applyBorder="1" applyAlignment="1">
      <alignment horizontal="center" vertical="top" wrapText="1"/>
    </xf>
    <xf numFmtId="0" fontId="6" fillId="0" borderId="14" xfId="1" applyFont="1" applyBorder="1" applyAlignment="1">
      <alignment horizontal="center" vertical="top" wrapText="1"/>
    </xf>
    <xf numFmtId="0" fontId="6" fillId="0" borderId="6" xfId="1" applyFont="1" applyBorder="1" applyAlignment="1">
      <alignment horizontal="justify" vertical="top" wrapText="1"/>
    </xf>
    <xf numFmtId="0" fontId="7" fillId="0" borderId="6" xfId="1" applyFont="1" applyBorder="1" applyAlignment="1">
      <alignment horizontal="right" vertical="center" wrapText="1"/>
    </xf>
    <xf numFmtId="0" fontId="14" fillId="0" borderId="0" xfId="3" applyFont="1" applyAlignment="1">
      <alignment horizontal="center" vertical="center"/>
    </xf>
    <xf numFmtId="0" fontId="14" fillId="0" borderId="0" xfId="3" applyFont="1" applyAlignment="1">
      <alignment horizontal="left" vertical="center"/>
    </xf>
    <xf numFmtId="0" fontId="16" fillId="0" borderId="0" xfId="3" applyFont="1" applyAlignment="1">
      <alignment horizontal="left" vertical="center" wrapText="1"/>
    </xf>
    <xf numFmtId="0" fontId="5" fillId="0" borderId="0" xfId="1" applyFont="1" applyAlignment="1">
      <alignment horizontal="center"/>
    </xf>
    <xf numFmtId="0" fontId="15" fillId="0" borderId="6" xfId="3" applyFont="1" applyBorder="1" applyAlignment="1">
      <alignment horizontal="center" vertical="center"/>
    </xf>
    <xf numFmtId="0" fontId="8" fillId="0" borderId="34" xfId="3" applyFont="1" applyFill="1" applyBorder="1" applyAlignment="1">
      <alignment horizontal="right" vertical="center" wrapText="1"/>
    </xf>
    <xf numFmtId="0" fontId="8" fillId="0" borderId="23" xfId="3" applyFont="1" applyFill="1" applyBorder="1" applyAlignment="1">
      <alignment horizontal="right" vertical="center" wrapText="1"/>
    </xf>
    <xf numFmtId="0" fontId="2" fillId="0" borderId="0" xfId="1" applyFont="1" applyFill="1" applyAlignment="1">
      <alignment horizontal="left" vertical="center" wrapText="1"/>
    </xf>
    <xf numFmtId="0" fontId="2" fillId="0" borderId="0" xfId="1" applyFont="1" applyBorder="1" applyAlignment="1">
      <alignment horizontal="left" vertical="center" wrapText="1"/>
    </xf>
    <xf numFmtId="0" fontId="5" fillId="0" borderId="0" xfId="1" applyFont="1" applyBorder="1" applyAlignment="1">
      <alignment horizontal="center" vertical="top" wrapText="1"/>
    </xf>
    <xf numFmtId="0" fontId="16" fillId="0" borderId="6" xfId="3" applyFont="1" applyBorder="1" applyAlignment="1">
      <alignment horizontal="center" vertical="center" textRotation="90"/>
    </xf>
    <xf numFmtId="0" fontId="16" fillId="3" borderId="24" xfId="3" applyFont="1" applyFill="1" applyBorder="1" applyAlignment="1">
      <alignment horizontal="center" vertical="center" textRotation="90"/>
    </xf>
    <xf numFmtId="0" fontId="16" fillId="3" borderId="25" xfId="3" applyFont="1" applyFill="1" applyBorder="1" applyAlignment="1">
      <alignment horizontal="center" vertical="center" textRotation="90"/>
    </xf>
    <xf numFmtId="0" fontId="15" fillId="0" borderId="6" xfId="3" applyFont="1" applyBorder="1" applyAlignment="1">
      <alignment horizontal="center" vertical="center" wrapText="1"/>
    </xf>
    <xf numFmtId="0" fontId="16" fillId="0" borderId="6" xfId="3" applyFont="1" applyBorder="1" applyAlignment="1">
      <alignment horizontal="center" vertical="center" textRotation="90" wrapText="1"/>
    </xf>
    <xf numFmtId="0" fontId="8" fillId="0" borderId="37" xfId="3" applyFont="1" applyFill="1" applyBorder="1" applyAlignment="1">
      <alignment horizontal="right" vertical="center"/>
    </xf>
    <xf numFmtId="0" fontId="8" fillId="0" borderId="38" xfId="3" applyFont="1" applyFill="1" applyBorder="1" applyAlignment="1">
      <alignment horizontal="right" vertical="center"/>
    </xf>
    <xf numFmtId="0" fontId="16" fillId="0" borderId="24" xfId="3" applyFont="1" applyBorder="1" applyAlignment="1">
      <alignment horizontal="center" vertical="center" textRotation="90"/>
    </xf>
    <xf numFmtId="0" fontId="16" fillId="0" borderId="25" xfId="3" applyFont="1" applyBorder="1" applyAlignment="1">
      <alignment horizontal="center" vertical="center" textRotation="90"/>
    </xf>
    <xf numFmtId="0" fontId="8" fillId="0" borderId="37" xfId="3" applyFont="1" applyFill="1" applyBorder="1" applyAlignment="1">
      <alignment horizontal="right" vertical="center" wrapText="1"/>
    </xf>
    <xf numFmtId="0" fontId="8" fillId="0" borderId="38" xfId="3" applyFont="1" applyFill="1" applyBorder="1" applyAlignment="1">
      <alignment horizontal="right" vertical="center" wrapText="1"/>
    </xf>
    <xf numFmtId="0" fontId="7" fillId="15" borderId="28" xfId="4" applyFont="1" applyFill="1" applyBorder="1" applyAlignment="1" applyProtection="1">
      <alignment vertical="center" wrapText="1"/>
      <protection locked="0"/>
    </xf>
    <xf numFmtId="0" fontId="34" fillId="15" borderId="17" xfId="68" applyFont="1" applyFill="1" applyBorder="1" applyAlignment="1">
      <alignment horizontal="center"/>
    </xf>
    <xf numFmtId="0" fontId="2" fillId="15" borderId="17" xfId="68" applyFont="1" applyFill="1" applyBorder="1" applyAlignment="1">
      <alignment horizontal="left" vertical="center" wrapText="1"/>
    </xf>
    <xf numFmtId="0" fontId="2" fillId="15" borderId="17" xfId="68" applyFont="1" applyFill="1" applyBorder="1" applyAlignment="1">
      <alignment horizontal="right"/>
    </xf>
    <xf numFmtId="2" fontId="2" fillId="15" borderId="17" xfId="68" applyNumberFormat="1" applyFont="1" applyFill="1" applyBorder="1" applyAlignment="1">
      <alignment horizontal="center" vertical="center" wrapText="1"/>
    </xf>
    <xf numFmtId="2" fontId="2" fillId="15" borderId="17" xfId="68" applyNumberFormat="1" applyFont="1" applyFill="1" applyBorder="1" applyAlignment="1" applyProtection="1">
      <alignment horizontal="center" vertical="center"/>
    </xf>
    <xf numFmtId="2" fontId="2" fillId="15" borderId="17" xfId="68" applyNumberFormat="1" applyFont="1" applyFill="1" applyBorder="1" applyAlignment="1">
      <alignment horizontal="center"/>
    </xf>
  </cellXfs>
  <cellStyles count="75">
    <cellStyle name="Comma 2" xfId="10"/>
    <cellStyle name="Comma 2 2" xfId="11"/>
    <cellStyle name="Comma 2 3" xfId="12"/>
    <cellStyle name="Comma 2 3 2" xfId="13"/>
    <cellStyle name="Comma 3" xfId="14"/>
    <cellStyle name="Comma 4" xfId="15"/>
    <cellStyle name="Comma 5" xfId="9"/>
    <cellStyle name="Comma 5 2" xfId="16"/>
    <cellStyle name="Date" xfId="17"/>
    <cellStyle name="Excel Built-in Normal" xfId="18"/>
    <cellStyle name="Excel_BuiltIn_40% - Accent1 1" xfId="19"/>
    <cellStyle name="Fixed" xfId="20"/>
    <cellStyle name="Heading1" xfId="21"/>
    <cellStyle name="Heading2" xfId="22"/>
    <cellStyle name="Normal" xfId="0" builtinId="0"/>
    <cellStyle name="Normal 10" xfId="23"/>
    <cellStyle name="Normal 10 2" xfId="24"/>
    <cellStyle name="Normal 10 3" xfId="25"/>
    <cellStyle name="Normal 10 3 2" xfId="26"/>
    <cellStyle name="Normal 10 3 3" xfId="27"/>
    <cellStyle name="Normal 10 3 4" xfId="28"/>
    <cellStyle name="Normal 10 4" xfId="7"/>
    <cellStyle name="Normal 10 4 2" xfId="29"/>
    <cellStyle name="Normal 11" xfId="30"/>
    <cellStyle name="Normal 12" xfId="3"/>
    <cellStyle name="Normal 12 2" xfId="6"/>
    <cellStyle name="Normal 12 2 2" xfId="31"/>
    <cellStyle name="Normal 12 2 2 2 2" xfId="32"/>
    <cellStyle name="Normal 12 3" xfId="33"/>
    <cellStyle name="Normal 12 3 2 2" xfId="34"/>
    <cellStyle name="Normal 12 3 2 2 2" xfId="35"/>
    <cellStyle name="Normal 12 3 2 2 2 2" xfId="36"/>
    <cellStyle name="Normal 12 3 2 2 3" xfId="37"/>
    <cellStyle name="Normal 12 3 3" xfId="38"/>
    <cellStyle name="Normal 12 4" xfId="67"/>
    <cellStyle name="Normal 13" xfId="39"/>
    <cellStyle name="Normal 13 2" xfId="40"/>
    <cellStyle name="Normal 14" xfId="41"/>
    <cellStyle name="Normal 15" xfId="42"/>
    <cellStyle name="Normal 15 2" xfId="71"/>
    <cellStyle name="Normal 15 2 2" xfId="73"/>
    <cellStyle name="Normal 15 3" xfId="72"/>
    <cellStyle name="Normal 16 2" xfId="68"/>
    <cellStyle name="Normal 2" xfId="43"/>
    <cellStyle name="Normal 2 2" xfId="1"/>
    <cellStyle name="Normal 2 2 2" xfId="44"/>
    <cellStyle name="Normal 2 2_OlainesPP_Magonite_08_12_1(no groz)" xfId="45"/>
    <cellStyle name="Normal 2 3" xfId="46"/>
    <cellStyle name="Normal 2 3 2" xfId="47"/>
    <cellStyle name="Normal 3" xfId="48"/>
    <cellStyle name="Normal 4" xfId="49"/>
    <cellStyle name="Normal 5" xfId="50"/>
    <cellStyle name="Normal 5 2" xfId="51"/>
    <cellStyle name="Normal 5 2 2" xfId="52"/>
    <cellStyle name="Normal 5 2 3" xfId="2"/>
    <cellStyle name="Normal 5 2 3 2" xfId="53"/>
    <cellStyle name="Normal 5 3" xfId="54"/>
    <cellStyle name="Normal 6" xfId="55"/>
    <cellStyle name="Normal 7" xfId="56"/>
    <cellStyle name="Normal 7 2" xfId="57"/>
    <cellStyle name="Normal 7 3" xfId="58"/>
    <cellStyle name="Normal 8" xfId="59"/>
    <cellStyle name="Normal 8 2" xfId="60"/>
    <cellStyle name="Normal 9" xfId="61"/>
    <cellStyle name="Normal 9 2" xfId="62"/>
    <cellStyle name="Normal_Būvdarbi" xfId="8"/>
    <cellStyle name="Normal_Būvdarbi 2" xfId="69"/>
    <cellStyle name="Normal_Kazino kazino tauers klub" xfId="70"/>
    <cellStyle name="Normal_SandisP_rem_07" xfId="4"/>
    <cellStyle name="Normal_SIENAS" xfId="74"/>
    <cellStyle name="Style 1" xfId="5"/>
    <cellStyle name="Style 1 2" xfId="63"/>
    <cellStyle name="Style 1 3" xfId="64"/>
    <cellStyle name="Обычный_Jelgava 1.internatskola tame (version 1)" xfId="65"/>
    <cellStyle name="Стиль 1" xfId="66"/>
  </cellStyles>
  <dxfs count="840">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C000"/>
        </patternFill>
      </fill>
    </dxf>
    <dxf>
      <fill>
        <patternFill>
          <bgColor theme="6" tint="0.39994506668294322"/>
        </patternFill>
      </fill>
    </dxf>
    <dxf>
      <fill>
        <patternFill>
          <bgColor rgb="FFFF0000"/>
        </patternFill>
      </fill>
    </dxf>
    <dxf>
      <fill>
        <patternFill>
          <bgColor rgb="FFFF0000"/>
        </patternFill>
      </fill>
    </dxf>
    <dxf>
      <fill>
        <patternFill>
          <bgColor theme="5" tint="0.39994506668294322"/>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
      <fill>
        <patternFill>
          <bgColor indexed="29"/>
        </patternFill>
      </fill>
    </dxf>
    <dxf>
      <fill>
        <patternFill>
          <bgColor indexed="11"/>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17</xdr:row>
      <xdr:rowOff>0</xdr:rowOff>
    </xdr:from>
    <xdr:to>
      <xdr:col>3</xdr:col>
      <xdr:colOff>85725</xdr:colOff>
      <xdr:row>21</xdr:row>
      <xdr:rowOff>13759</xdr:rowOff>
    </xdr:to>
    <xdr:sp macro="" textlink="">
      <xdr:nvSpPr>
        <xdr:cNvPr id="2" name="Text Box 6"/>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 name="Text Box 7"/>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 name="Text Box 8"/>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5" name="Text Box 9"/>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6" name="Text Box 10"/>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7" name="Text Box 11"/>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8" name="Text Box 12"/>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9" name="Text Box 13"/>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0" name="Text Box 14"/>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1" name="Text Box 15"/>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2" name="Text Box 16"/>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3" name="Text Box 17"/>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4" name="Text Box 6"/>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5" name="Text Box 7"/>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6" name="Text Box 8"/>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7" name="Text Box 9"/>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8" name="Text Box 10"/>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19" name="Text Box 11"/>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0" name="Text Box 12"/>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1" name="Text Box 13"/>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2" name="Text Box 14"/>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3" name="Text Box 15"/>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4" name="Text Box 16"/>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5" name="Text Box 17"/>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6" name="Text Box 7"/>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7" name="Text Box 8"/>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8" name="Text Box 9"/>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29" name="Text Box 10"/>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0" name="Text Box 11"/>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1" name="Text Box 12"/>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2" name="Text Box 13"/>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3" name="Text Box 14"/>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4" name="Text Box 15"/>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5" name="Text Box 16"/>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6" name="Text Box 17"/>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7" name="Text Box 6"/>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8" name="Text Box 7"/>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39" name="Text Box 8"/>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0" name="Text Box 9"/>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1" name="Text Box 10"/>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2" name="Text Box 11"/>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3" name="Text Box 12"/>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4" name="Text Box 13"/>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5" name="Text Box 14"/>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6" name="Text Box 15"/>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7" name="Text Box 16"/>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13759</xdr:rowOff>
    </xdr:to>
    <xdr:sp macro="" textlink="">
      <xdr:nvSpPr>
        <xdr:cNvPr id="48" name="Text Box 17"/>
        <xdr:cNvSpPr txBox="1">
          <a:spLocks noChangeArrowheads="1"/>
        </xdr:cNvSpPr>
      </xdr:nvSpPr>
      <xdr:spPr bwMode="auto">
        <a:xfrm>
          <a:off x="3914775" y="4162425"/>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9"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0"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1"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2"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3"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4"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5"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6"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7"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8"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59"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0"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1"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2"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3"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4"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5"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6"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7"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8"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69"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0"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1"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2"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3"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4"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5"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6"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7"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8"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79"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0"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1"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2"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3"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4"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5"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6"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7"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8"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89"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0"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1"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2"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3"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4"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5"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6"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7"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8"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99"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0"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1"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2"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3"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4"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5"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6"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7"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8"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09"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0"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1"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2"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3"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4"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5"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6"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7"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8"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19"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0"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1"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2"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3"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4"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5"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6"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7"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8"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29"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0"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1"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2"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3"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4"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5"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6"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7"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8"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39"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40"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41"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142"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43" name="Text Box 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44" name="Text Box 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45" name="Text Box 8"/>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46" name="Text Box 9"/>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47" name="Text Box 10"/>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48" name="Text Box 11"/>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49" name="Text Box 12"/>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0" name="Text Box 13"/>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1" name="Text Box 14"/>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2" name="Text Box 15"/>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3" name="Text Box 1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4" name="Text Box 1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5" name="Text Box 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6" name="Text Box 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7" name="Text Box 8"/>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8" name="Text Box 9"/>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59" name="Text Box 10"/>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0" name="Text Box 11"/>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1" name="Text Box 12"/>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2" name="Text Box 13"/>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3" name="Text Box 14"/>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4" name="Text Box 15"/>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5" name="Text Box 1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6" name="Text Box 1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7" name="Text Box 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8" name="Text Box 8"/>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69" name="Text Box 9"/>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0" name="Text Box 10"/>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1" name="Text Box 11"/>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2" name="Text Box 12"/>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3" name="Text Box 13"/>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4" name="Text Box 14"/>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5" name="Text Box 15"/>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6" name="Text Box 1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7" name="Text Box 1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8" name="Text Box 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79" name="Text Box 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0" name="Text Box 8"/>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1" name="Text Box 9"/>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2" name="Text Box 10"/>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3" name="Text Box 11"/>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4" name="Text Box 12"/>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5" name="Text Box 13"/>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6" name="Text Box 14"/>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7" name="Text Box 15"/>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8" name="Text Box 1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89" name="Text Box 1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0" name="Text Box 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1" name="Text Box 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2" name="Text Box 8"/>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3" name="Text Box 9"/>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4" name="Text Box 10"/>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5" name="Text Box 11"/>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6" name="Text Box 12"/>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7" name="Text Box 13"/>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8" name="Text Box 14"/>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199" name="Text Box 15"/>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0" name="Text Box 1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1" name="Text Box 1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2" name="Text Box 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3" name="Text Box 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4" name="Text Box 8"/>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5" name="Text Box 9"/>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6" name="Text Box 10"/>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7" name="Text Box 11"/>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8" name="Text Box 12"/>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09" name="Text Box 13"/>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0" name="Text Box 14"/>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1" name="Text Box 15"/>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2" name="Text Box 1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3" name="Text Box 1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4" name="Text Box 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5" name="Text Box 8"/>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6" name="Text Box 9"/>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7" name="Text Box 10"/>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8" name="Text Box 11"/>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19" name="Text Box 12"/>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0" name="Text Box 13"/>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1" name="Text Box 14"/>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2" name="Text Box 15"/>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3" name="Text Box 1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4" name="Text Box 1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5" name="Text Box 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6" name="Text Box 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7" name="Text Box 8"/>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8" name="Text Box 9"/>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29" name="Text Box 10"/>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30" name="Text Box 11"/>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31" name="Text Box 12"/>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32" name="Text Box 13"/>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33" name="Text Box 14"/>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34" name="Text Box 15"/>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35" name="Text Box 16"/>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109008</xdr:rowOff>
    </xdr:to>
    <xdr:sp macro="" textlink="">
      <xdr:nvSpPr>
        <xdr:cNvPr id="236" name="Text Box 17"/>
        <xdr:cNvSpPr txBox="1">
          <a:spLocks noChangeArrowheads="1"/>
        </xdr:cNvSpPr>
      </xdr:nvSpPr>
      <xdr:spPr bwMode="auto">
        <a:xfrm>
          <a:off x="3914775" y="5248275"/>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37"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38"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39"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0"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1"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2"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3"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4"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5"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6"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7"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8"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49"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0"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1"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2"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3"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4"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5"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6"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7"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8"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59"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0"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1"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2"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3"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4"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5"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6"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7"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8"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69"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0"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1"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2"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3"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4"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5"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6"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7"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8"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79"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0"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1"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2"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3"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4"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5"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6"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7"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8"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89"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0"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1"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2"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3"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4"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5"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6"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7"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8"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299"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0"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1"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2"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3"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4"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5"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6"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7"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8"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09"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0"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1"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2"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3"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4"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5"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6"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7"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8"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19"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0"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1"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2"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3"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4"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5"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6"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7"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8"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29"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0"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1"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2"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3"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4"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5"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6"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7"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8"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39"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0"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1"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2"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3"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4"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5"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6"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7"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8"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49"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0"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1"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2"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3"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4"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5"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6"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7"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8"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59"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0"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1"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2"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3"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4"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5"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6"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7"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8"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69"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0"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1"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2"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3"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4"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5"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6"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7"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8"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79"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0"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1"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2"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3"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4"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5"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6"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7"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8"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89"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0"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1"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2"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3"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4"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5"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6"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7"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8"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399"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0"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1"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2"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3"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4"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5"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6"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7"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8"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09"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0"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1"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2"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3"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4"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5"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6"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7"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8"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19"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20"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21"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22"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23"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24"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25"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26"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27"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28"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29"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0"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1"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2"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3"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4"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5"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6"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7"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8"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39"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0"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1"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2"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3"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4"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5"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6"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7"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8"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49"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0"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1"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2"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3"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4"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5"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6"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7"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8"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59"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0" name="Text Box 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1" name="Text Box 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2" name="Text Box 8"/>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3" name="Text Box 9"/>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4" name="Text Box 10"/>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5" name="Text Box 11"/>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6" name="Text Box 12"/>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7" name="Text Box 13"/>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8" name="Text Box 14"/>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69" name="Text Box 15"/>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70" name="Text Box 16"/>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127002</xdr:rowOff>
    </xdr:to>
    <xdr:sp macro="" textlink="">
      <xdr:nvSpPr>
        <xdr:cNvPr id="471" name="Text Box 17"/>
        <xdr:cNvSpPr txBox="1">
          <a:spLocks noChangeArrowheads="1"/>
        </xdr:cNvSpPr>
      </xdr:nvSpPr>
      <xdr:spPr bwMode="auto">
        <a:xfrm>
          <a:off x="3914775" y="4343400"/>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72"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73"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74"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75"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76"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77"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78"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79"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0"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1"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2"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3"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4"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5"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6"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7"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8"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89"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0"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1"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2"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3"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4"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5"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6"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7"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8"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499"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0"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1"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2"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3"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4"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5"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6"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7"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8"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09"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0"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1"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2"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3"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4"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5"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6"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7"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8"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19"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0"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1"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2"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3"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4"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5"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6"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7"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8"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29"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0"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1"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2"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3"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4"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5"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6"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7"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8"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39"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0"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1"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2"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3"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4"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5"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6"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7"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8"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49"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0"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1"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2"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3"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4"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5"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6"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7"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8"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59"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0"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1"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2"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3"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4"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5"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6"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7"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8"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69"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0"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1"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2"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3"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4"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5"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6"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7"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8"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79"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0"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1"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2"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3"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4"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5"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6"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7"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8"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89"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0"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1"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2"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3"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4"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5"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6"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7"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8"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599"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0"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1"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2"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3"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4"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5"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6"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7"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8"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09"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0"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1"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2"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3"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4"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5"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6"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7"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8"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19"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0"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1"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2"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3"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4"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5"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6"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7"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8"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29"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0"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1"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2"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3"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4"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5"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6"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7"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8"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39"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0"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1"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2"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3"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4"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5"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6"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7"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8" name="Text Box 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49" name="Text Box 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0" name="Text Box 8"/>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1" name="Text Box 9"/>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2" name="Text Box 10"/>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3" name="Text Box 11"/>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4" name="Text Box 12"/>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5" name="Text Box 13"/>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6" name="Text Box 14"/>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7" name="Text Box 15"/>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8" name="Text Box 16"/>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25</xdr:row>
      <xdr:rowOff>148168</xdr:rowOff>
    </xdr:to>
    <xdr:sp macro="" textlink="">
      <xdr:nvSpPr>
        <xdr:cNvPr id="659" name="Text Box 17"/>
        <xdr:cNvSpPr txBox="1">
          <a:spLocks noChangeArrowheads="1"/>
        </xdr:cNvSpPr>
      </xdr:nvSpPr>
      <xdr:spPr bwMode="auto">
        <a:xfrm>
          <a:off x="3914775" y="5429250"/>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0" name="Text Box 6"/>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1" name="Text Box 7"/>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2" name="Text Box 8"/>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3" name="Text Box 9"/>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4" name="Text Box 10"/>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5" name="Text Box 11"/>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6" name="Text Box 12"/>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7" name="Text Box 13"/>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8" name="Text Box 14"/>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69" name="Text Box 15"/>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0" name="Text Box 16"/>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1" name="Text Box 17"/>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2" name="Text Box 6"/>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3" name="Text Box 7"/>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4" name="Text Box 8"/>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5" name="Text Box 9"/>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6" name="Text Box 10"/>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7" name="Text Box 11"/>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8" name="Text Box 12"/>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79" name="Text Box 13"/>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0" name="Text Box 14"/>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1" name="Text Box 15"/>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2" name="Text Box 16"/>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3" name="Text Box 17"/>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4" name="Text Box 7"/>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5" name="Text Box 8"/>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6" name="Text Box 9"/>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7" name="Text Box 10"/>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8" name="Text Box 11"/>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89" name="Text Box 12"/>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0" name="Text Box 13"/>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1" name="Text Box 14"/>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2" name="Text Box 15"/>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3" name="Text Box 16"/>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4" name="Text Box 17"/>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5" name="Text Box 6"/>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6" name="Text Box 7"/>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7" name="Text Box 8"/>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8" name="Text Box 9"/>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699" name="Text Box 10"/>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700" name="Text Box 11"/>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701" name="Text Box 12"/>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702" name="Text Box 13"/>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703" name="Text Box 14"/>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704" name="Text Box 15"/>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705" name="Text Box 16"/>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85725</xdr:colOff>
      <xdr:row>21</xdr:row>
      <xdr:rowOff>56092</xdr:rowOff>
    </xdr:to>
    <xdr:sp macro="" textlink="">
      <xdr:nvSpPr>
        <xdr:cNvPr id="706" name="Text Box 17"/>
        <xdr:cNvSpPr txBox="1">
          <a:spLocks noChangeArrowheads="1"/>
        </xdr:cNvSpPr>
      </xdr:nvSpPr>
      <xdr:spPr bwMode="auto">
        <a:xfrm>
          <a:off x="3914775" y="4152900"/>
          <a:ext cx="85725" cy="737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07"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08"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09"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0"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1"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2"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3"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4"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5"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6"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7"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8"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19"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0"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1"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2"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3"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4"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5"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6"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7"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8"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29"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0"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1"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2"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3"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4"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5"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6"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7"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8"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39"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0"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1"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2"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3"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4"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5"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6"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7"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8"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49"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0"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1"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2"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3"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4"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5"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6"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7"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8"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59"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0"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1"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2"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3"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4"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5"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6"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7"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8"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69"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0"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1"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2"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3"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4"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5"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6"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7"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8"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79"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0"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1"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2"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3"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4"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5"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6"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7"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8"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89"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0"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1"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2"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3"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4"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5"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6"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7"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8"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799"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800"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1" name="Text Box 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2" name="Text Box 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3" name="Text Box 8"/>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4" name="Text Box 9"/>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5" name="Text Box 10"/>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6" name="Text Box 11"/>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7" name="Text Box 12"/>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8" name="Text Box 13"/>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09" name="Text Box 14"/>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0" name="Text Box 15"/>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1" name="Text Box 1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2" name="Text Box 1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3" name="Text Box 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4" name="Text Box 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5" name="Text Box 8"/>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6" name="Text Box 9"/>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7" name="Text Box 10"/>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8" name="Text Box 11"/>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19" name="Text Box 12"/>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0" name="Text Box 13"/>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1" name="Text Box 14"/>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2" name="Text Box 15"/>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3" name="Text Box 1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4" name="Text Box 1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5" name="Text Box 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6" name="Text Box 8"/>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7" name="Text Box 9"/>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8" name="Text Box 10"/>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29" name="Text Box 11"/>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0" name="Text Box 12"/>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1" name="Text Box 13"/>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2" name="Text Box 14"/>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3" name="Text Box 15"/>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4" name="Text Box 1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5" name="Text Box 1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6" name="Text Box 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7" name="Text Box 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8" name="Text Box 8"/>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39" name="Text Box 9"/>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0" name="Text Box 10"/>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1" name="Text Box 11"/>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2" name="Text Box 12"/>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3" name="Text Box 13"/>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4" name="Text Box 14"/>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5" name="Text Box 15"/>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6" name="Text Box 1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7" name="Text Box 1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8" name="Text Box 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49" name="Text Box 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0" name="Text Box 8"/>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1" name="Text Box 9"/>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2" name="Text Box 10"/>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3" name="Text Box 11"/>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4" name="Text Box 12"/>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5" name="Text Box 13"/>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6" name="Text Box 14"/>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7" name="Text Box 15"/>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8" name="Text Box 1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59" name="Text Box 1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0" name="Text Box 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1" name="Text Box 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2" name="Text Box 8"/>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3" name="Text Box 9"/>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4" name="Text Box 10"/>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5" name="Text Box 11"/>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6" name="Text Box 12"/>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7" name="Text Box 13"/>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8" name="Text Box 14"/>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69" name="Text Box 15"/>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0" name="Text Box 1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1" name="Text Box 1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2" name="Text Box 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3" name="Text Box 8"/>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4" name="Text Box 9"/>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5" name="Text Box 10"/>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6" name="Text Box 11"/>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7" name="Text Box 12"/>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8" name="Text Box 13"/>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79" name="Text Box 14"/>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0" name="Text Box 15"/>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1" name="Text Box 1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2" name="Text Box 1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3" name="Text Box 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4" name="Text Box 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5" name="Text Box 8"/>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6" name="Text Box 9"/>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7" name="Text Box 10"/>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8" name="Text Box 11"/>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89" name="Text Box 12"/>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90" name="Text Box 13"/>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91" name="Text Box 14"/>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92" name="Text Box 15"/>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93" name="Text Box 16"/>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85725</xdr:colOff>
      <xdr:row>26</xdr:row>
      <xdr:rowOff>172508</xdr:rowOff>
    </xdr:to>
    <xdr:sp macro="" textlink="">
      <xdr:nvSpPr>
        <xdr:cNvPr id="894" name="Text Box 17"/>
        <xdr:cNvSpPr txBox="1">
          <a:spLocks noChangeArrowheads="1"/>
        </xdr:cNvSpPr>
      </xdr:nvSpPr>
      <xdr:spPr bwMode="auto">
        <a:xfrm>
          <a:off x="3914775" y="5238750"/>
          <a:ext cx="85725" cy="64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895"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896"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897"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898"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899"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0"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1"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2"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3"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4"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5"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6"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7"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8"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09"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0"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1"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2"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3"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4"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5"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6"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7"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8"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19"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0"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1"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2"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3"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4"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5"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6"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7"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8"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29"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0"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1"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2"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3"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4"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5"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6"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7"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8"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39"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0"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1"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2"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3"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4"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5"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6"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7"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8"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49"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0"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1"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2"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3"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4"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5"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6"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7"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8"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59"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0"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1"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2"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3"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4"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5"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6"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7"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8"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69"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0"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1"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2"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3"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4"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5"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6"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7"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8"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79"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0"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1"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2"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3"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4"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5"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6"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7"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8"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89"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0"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1"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2"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3"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4"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5"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6"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7"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8"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999"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0"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1"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2"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3"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4"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5"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6"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7"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8"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09"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0"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1"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2"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3"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4"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5"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6"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7"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8"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19"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0"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1"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2"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3"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4"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5"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6"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7"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8"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29"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0"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1"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2"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3"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4"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5"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6"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7"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8"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39"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0"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1"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2"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3"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4"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5"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6"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7"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8"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49"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0"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1"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2"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3"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4"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5"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6"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7"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8"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59"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0"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1"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2"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3"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4"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5"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6"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7"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8"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69"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0"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1"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2"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3"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4"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5"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6"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7"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8"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79"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80"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81"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082"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83"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84"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85"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86"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87"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88"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89"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0"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1"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2"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3"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4"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5"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6"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7"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8"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099"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0"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1"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2"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3"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4"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5"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6"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7"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8"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09"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0"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1"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2"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3"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4"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5"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6"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7"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8" name="Text Box 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19" name="Text Box 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0" name="Text Box 8"/>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1" name="Text Box 9"/>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2" name="Text Box 10"/>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3" name="Text Box 11"/>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4" name="Text Box 12"/>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5" name="Text Box 13"/>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6" name="Text Box 14"/>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7" name="Text Box 15"/>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8" name="Text Box 16"/>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85725</xdr:colOff>
      <xdr:row>20</xdr:row>
      <xdr:rowOff>148169</xdr:rowOff>
    </xdr:to>
    <xdr:sp macro="" textlink="">
      <xdr:nvSpPr>
        <xdr:cNvPr id="1129" name="Text Box 17"/>
        <xdr:cNvSpPr txBox="1">
          <a:spLocks noChangeArrowheads="1"/>
        </xdr:cNvSpPr>
      </xdr:nvSpPr>
      <xdr:spPr bwMode="auto">
        <a:xfrm>
          <a:off x="3914775" y="4333875"/>
          <a:ext cx="85725" cy="488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0"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1"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2"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3"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4"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5"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6"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7"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8"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39"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0"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1"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2"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3"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4"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5"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6"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7"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8"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49"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0"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1"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2"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3"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4"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5"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6"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7"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8"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59"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0"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1"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2"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3"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4"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5"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6"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7"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8"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69"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0"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1"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2"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3"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4"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5"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6"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7"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8"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79"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0"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1"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2"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3"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4"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5"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6"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7"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8"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89"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0"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1"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2"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3"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4"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5"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6"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7"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8"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199"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0"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1"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2"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3"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4"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5"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6"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7"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8"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09"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0"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1"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2"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3"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4"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5"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6"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7"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8"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19"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0"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1"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2"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3"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4"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5"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6"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7"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8"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29"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0"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1"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2"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3"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4"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5"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6"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7"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8"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39"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0"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1"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2"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3"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4"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5"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6"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7"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8"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49"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0"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1"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2"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3"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4"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5"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6"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7"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8"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59"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0"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1"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2"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3"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4"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5"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6"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7"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8"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69"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0"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1"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2"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3"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4"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5"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6"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7"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8"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79"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0"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1"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2"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3"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4"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5"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6"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7"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8"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89"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0"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1"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2"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3"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4"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5"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6"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7"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8"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299"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0"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1"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2"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3"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4"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5"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6" name="Text Box 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7" name="Text Box 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8" name="Text Box 8"/>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09" name="Text Box 9"/>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10" name="Text Box 10"/>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11" name="Text Box 11"/>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12" name="Text Box 12"/>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13" name="Text Box 13"/>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14" name="Text Box 14"/>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15" name="Text Box 15"/>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16" name="Text Box 16"/>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85725</xdr:colOff>
      <xdr:row>26</xdr:row>
      <xdr:rowOff>21169</xdr:rowOff>
    </xdr:to>
    <xdr:sp macro="" textlink="">
      <xdr:nvSpPr>
        <xdr:cNvPr id="1317" name="Text Box 17"/>
        <xdr:cNvSpPr txBox="1">
          <a:spLocks noChangeArrowheads="1"/>
        </xdr:cNvSpPr>
      </xdr:nvSpPr>
      <xdr:spPr bwMode="auto">
        <a:xfrm>
          <a:off x="3914775" y="5419725"/>
          <a:ext cx="85725" cy="32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18"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19"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0"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1"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2"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3"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4"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5"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6"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7"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8"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29"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0"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1"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2"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3"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4"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5"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6"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7"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8"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39"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0"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1"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2"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3"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4"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5"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6"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7"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8"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49"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0"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1"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2"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3"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4"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5"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6"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7"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8"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59"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0"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1"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2"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3"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4"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5"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6"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7"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8"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69"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0"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1"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2"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3"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4"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5"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6"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7"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8"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79"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0"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1"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2"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3"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4"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5"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6"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7"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8"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89"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0"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1"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2"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3"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4"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5"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6"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7"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8"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399"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0"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1"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2"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3"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4"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5"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6"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7"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8"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09"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0"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1"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2"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3"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4"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5"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6"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7"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8"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19"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0"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1"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2"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3"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4"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5"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6"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7"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8"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29"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0"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1"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2"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3"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4"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5"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6"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7"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8"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39"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0"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1"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2"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3"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4"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5"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6"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7"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8"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49"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0"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1"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2"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3"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4"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5"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6"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7"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8"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59"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0"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1"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2"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3"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4"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5"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6"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7"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8"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69"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0"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1"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2"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3"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4"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5"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6"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7"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8"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79"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0"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1"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2"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3"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4"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5"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6"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7"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8"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89"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0"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1"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2"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3"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4"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5"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6"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7"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8"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499"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0"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1"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2"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3"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4"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5"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6"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7"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8"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09"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0"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1"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2"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3"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4"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5"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6"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7"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8"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19"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0"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1"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2"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3"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4"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5"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6"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7"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8"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29"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0"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1"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2"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3"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4"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5"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6"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7"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8"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39"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0"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1"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2"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3"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4"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5"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6"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7"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8"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49"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0"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1"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2"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3"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4"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5"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6"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7"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8"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59"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0"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1"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2"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3"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4"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5"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6"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7"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8"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69"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0"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1"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2"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3"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4"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5"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6"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7"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8"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79"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0"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1"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2"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3"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4"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5"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6"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7"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8"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89"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0"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1"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2"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3"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4"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5"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6"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7"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8"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599"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0"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1"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2"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3"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4"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5"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6"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7"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8"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09"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0"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1"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2"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3"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4"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5"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6"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7"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8"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19"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0"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1"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2"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3"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4"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5"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6"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7"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8"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29"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0"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1"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2"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3"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4"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5"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6"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7"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8"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39"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0"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1"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2"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3"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4"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5"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6"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7"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8"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49"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0"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1"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2"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3"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4"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5"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6"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7"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8"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59"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0"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1"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2"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3"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4"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5"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6"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7"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8"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69"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0"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1"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2"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3"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4"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5"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6"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7"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8"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79"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0"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1"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2" name="Text Box 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3" name="Text Box 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4" name="Text Box 8"/>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5" name="Text Box 9"/>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6" name="Text Box 10"/>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7" name="Text Box 11"/>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8" name="Text Box 12"/>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89" name="Text Box 13"/>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90" name="Text Box 14"/>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91" name="Text Box 15"/>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92" name="Text Box 16"/>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25</xdr:row>
      <xdr:rowOff>0</xdr:rowOff>
    </xdr:from>
    <xdr:to>
      <xdr:col>3</xdr:col>
      <xdr:colOff>85725</xdr:colOff>
      <xdr:row>25</xdr:row>
      <xdr:rowOff>161925</xdr:rowOff>
    </xdr:to>
    <xdr:sp macro="" textlink="">
      <xdr:nvSpPr>
        <xdr:cNvPr id="1693" name="Text Box 17"/>
        <xdr:cNvSpPr txBox="1">
          <a:spLocks noChangeArrowheads="1"/>
        </xdr:cNvSpPr>
      </xdr:nvSpPr>
      <xdr:spPr bwMode="auto">
        <a:xfrm>
          <a:off x="3781425" y="7686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me2\c\Tames&amp;Tames\Formati\kop-tamem-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TORS/Documents/karklins/23%2011%202015%20Baltex_Ropazi(darbnica)_15.11_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RNIS/AppData/Local/Temp/Baltex_Siguldas%20kult%20centrs_VCD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TORS/AppData/Local/Temp/A.K.Dokumenti/tames%20darbam/02%2010%202014Baltex_Jelgava%20sporta%20zale_14.9_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ropbox/1MANI%20DOCUMENTI/2015_11novembris/1KAS_JAPILDA2015/2_DARBS_2015/IZMAKSAS_2015_11.3(18.11.2015)(Baltex)JAUNA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ropbox/1MANI%20DOCUMENTI/2015_12decembris/Baltex_Group/Babite(AivarsMaurins)/Baltex_Babite%20soc%20centrs_VCD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 val="Sat,rād_4"/>
      <sheetName val="Sat,rād_5"/>
      <sheetName val="_veids24"/>
    </sheetNames>
    <sheetDataSet>
      <sheetData sheetId="0" refreshError="1"/>
      <sheetData sheetId="1" refreshError="1"/>
      <sheetData sheetId="2" refreshError="1"/>
      <sheetData sheetId="3" refreshError="1"/>
      <sheetData sheetId="4" refreshError="1">
        <row r="1">
          <cell r="A1">
            <v>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sheetName val="BK asis 1-6;A-F"/>
      <sheetName val="BKasis 3-4;I-J-6A-F"/>
      <sheetName val="bk-3skatuve"/>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v t"/>
      <sheetName val="Pas Koptame"/>
      <sheetName val="kops1"/>
      <sheetName val="1,1"/>
      <sheetName val="1,2"/>
      <sheetName val="1,3"/>
      <sheetName val="1,4"/>
      <sheetName val="1,5"/>
      <sheetName val="1,6"/>
      <sheetName val="1,7"/>
      <sheetName val="1,8"/>
      <sheetName val="1,9"/>
      <sheetName val="1,10"/>
      <sheetName val="1,11"/>
      <sheetName val="1,12"/>
      <sheetName val="1,13"/>
      <sheetName val="kops2"/>
      <sheetName val="2,1"/>
      <sheetName val="2,2"/>
      <sheetName val="2,3"/>
      <sheetName val="2,4"/>
      <sheetName val="2,5"/>
      <sheetName val="2,6"/>
      <sheetName val="2,7"/>
      <sheetName val="2,8"/>
      <sheetName val="2,9"/>
      <sheetName val="2,10"/>
      <sheetName val="2,11"/>
      <sheetName val="kops3"/>
      <sheetName val="3,1"/>
      <sheetName val="3,2"/>
      <sheetName val="3,3"/>
      <sheetName val="3,4"/>
      <sheetName val="3,5"/>
      <sheetName val="kops4"/>
      <sheetName val="4,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E2015_EU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50"/>
  <sheetViews>
    <sheetView showZeros="0" view="pageBreakPreview" zoomScale="90" zoomScaleNormal="100" zoomScaleSheetLayoutView="90" workbookViewId="0">
      <selection activeCell="E34" sqref="E34:I39"/>
    </sheetView>
  </sheetViews>
  <sheetFormatPr defaultRowHeight="12.75" x14ac:dyDescent="0.2"/>
  <cols>
    <col min="1" max="1" width="10.28515625" style="2" customWidth="1"/>
    <col min="2" max="2" width="12.7109375" style="2" customWidth="1"/>
    <col min="3" max="3" width="32.7109375" style="2" customWidth="1"/>
    <col min="4" max="4" width="10" style="2" customWidth="1"/>
    <col min="5" max="5" width="13.28515625" style="2" customWidth="1"/>
    <col min="6" max="6" width="13.7109375" style="2" customWidth="1"/>
    <col min="7" max="7" width="17.5703125" style="2" customWidth="1"/>
    <col min="8" max="8" width="12.85546875" style="2" customWidth="1"/>
    <col min="9" max="9" width="16" style="2" customWidth="1"/>
    <col min="10" max="16384" width="9.140625" style="2"/>
  </cols>
  <sheetData>
    <row r="1" spans="1:9" ht="18" x14ac:dyDescent="0.25">
      <c r="A1" s="1"/>
    </row>
    <row r="2" spans="1:9" ht="18" customHeight="1" x14ac:dyDescent="0.25">
      <c r="A2" s="484" t="s">
        <v>0</v>
      </c>
      <c r="B2" s="484"/>
      <c r="C2" s="484"/>
      <c r="D2" s="484"/>
      <c r="E2" s="484"/>
      <c r="F2" s="484"/>
      <c r="G2" s="484"/>
      <c r="H2" s="484"/>
      <c r="I2" s="484"/>
    </row>
    <row r="3" spans="1:9" ht="18" x14ac:dyDescent="0.2">
      <c r="C3" s="3"/>
      <c r="D3" s="4"/>
      <c r="F3" s="5"/>
      <c r="G3" s="5"/>
      <c r="H3" s="5"/>
      <c r="I3" s="5"/>
    </row>
    <row r="4" spans="1:9" ht="18" x14ac:dyDescent="0.2">
      <c r="C4" s="3"/>
      <c r="D4" s="4"/>
      <c r="F4" s="5"/>
      <c r="G4" s="5"/>
      <c r="H4" s="5"/>
      <c r="I4" s="5"/>
    </row>
    <row r="5" spans="1:9" x14ac:dyDescent="0.2">
      <c r="A5" s="6"/>
    </row>
    <row r="6" spans="1:9" ht="18" x14ac:dyDescent="0.25">
      <c r="A6" s="485" t="s">
        <v>99</v>
      </c>
      <c r="B6" s="486"/>
      <c r="C6" s="486"/>
      <c r="D6" s="486"/>
      <c r="E6" s="486"/>
      <c r="F6" s="486"/>
      <c r="G6" s="486"/>
      <c r="H6" s="486"/>
      <c r="I6" s="487"/>
    </row>
    <row r="7" spans="1:9" x14ac:dyDescent="0.2">
      <c r="A7" s="6"/>
    </row>
    <row r="8" spans="1:9" ht="15" x14ac:dyDescent="0.2">
      <c r="A8" s="488" t="s">
        <v>1</v>
      </c>
      <c r="B8" s="488"/>
      <c r="C8" s="489" t="s">
        <v>94</v>
      </c>
      <c r="D8" s="489"/>
      <c r="E8" s="489"/>
      <c r="F8" s="489"/>
      <c r="G8" s="489"/>
      <c r="H8" s="489"/>
      <c r="I8" s="489"/>
    </row>
    <row r="9" spans="1:9" ht="15.75" customHeight="1" x14ac:dyDescent="0.2">
      <c r="A9" s="490" t="s">
        <v>2</v>
      </c>
      <c r="B9" s="490"/>
      <c r="C9" s="489" t="s">
        <v>95</v>
      </c>
      <c r="D9" s="489"/>
      <c r="E9" s="489"/>
      <c r="F9" s="489"/>
      <c r="G9" s="489"/>
      <c r="H9" s="489"/>
      <c r="I9" s="489"/>
    </row>
    <row r="10" spans="1:9" ht="15" x14ac:dyDescent="0.2">
      <c r="A10" s="490" t="s">
        <v>3</v>
      </c>
      <c r="B10" s="490"/>
      <c r="C10" s="489" t="s">
        <v>96</v>
      </c>
      <c r="D10" s="489"/>
      <c r="E10" s="489"/>
      <c r="F10" s="489"/>
      <c r="G10" s="489"/>
      <c r="H10" s="489"/>
      <c r="I10" s="489"/>
    </row>
    <row r="11" spans="1:9" ht="15" x14ac:dyDescent="0.2">
      <c r="A11" s="490" t="s">
        <v>100</v>
      </c>
      <c r="B11" s="490"/>
      <c r="C11" s="7" t="s">
        <v>97</v>
      </c>
      <c r="D11" s="5"/>
      <c r="F11" s="8"/>
      <c r="G11" s="8"/>
      <c r="H11" s="8"/>
      <c r="I11" s="8"/>
    </row>
    <row r="12" spans="1:9" ht="15" customHeight="1" x14ac:dyDescent="0.2">
      <c r="A12" s="9"/>
      <c r="B12" s="9"/>
      <c r="C12" s="5"/>
      <c r="D12" s="5"/>
      <c r="F12" s="8"/>
      <c r="G12" s="8"/>
      <c r="H12" s="8"/>
      <c r="I12" s="8"/>
    </row>
    <row r="13" spans="1:9" ht="18" customHeight="1" x14ac:dyDescent="0.2">
      <c r="A13" s="10"/>
      <c r="F13" s="496" t="s">
        <v>4</v>
      </c>
      <c r="G13" s="497"/>
      <c r="H13" s="11">
        <f>E39</f>
        <v>0</v>
      </c>
      <c r="I13" s="12"/>
    </row>
    <row r="14" spans="1:9" ht="18" x14ac:dyDescent="0.2">
      <c r="A14" s="10"/>
      <c r="F14" s="496" t="s">
        <v>5</v>
      </c>
      <c r="G14" s="497"/>
      <c r="H14" s="11">
        <f>I34</f>
        <v>0</v>
      </c>
      <c r="I14" s="12"/>
    </row>
    <row r="15" spans="1:9" ht="14.25" x14ac:dyDescent="0.2">
      <c r="G15" s="13" t="s">
        <v>736</v>
      </c>
      <c r="H15" s="14" t="e">
        <v>#REF!</v>
      </c>
    </row>
    <row r="16" spans="1:9" ht="14.25" x14ac:dyDescent="0.2">
      <c r="G16" s="13"/>
    </row>
    <row r="17" spans="1:9" ht="15" x14ac:dyDescent="0.2">
      <c r="A17" s="15"/>
    </row>
    <row r="18" spans="1:9" ht="51" customHeight="1" x14ac:dyDescent="0.2">
      <c r="A18" s="491" t="s">
        <v>6</v>
      </c>
      <c r="B18" s="491" t="s">
        <v>7</v>
      </c>
      <c r="C18" s="492" t="s">
        <v>8</v>
      </c>
      <c r="D18" s="493"/>
      <c r="E18" s="491" t="s">
        <v>9</v>
      </c>
      <c r="F18" s="491" t="s">
        <v>10</v>
      </c>
      <c r="G18" s="491"/>
      <c r="H18" s="491"/>
      <c r="I18" s="491" t="s">
        <v>11</v>
      </c>
    </row>
    <row r="19" spans="1:9" ht="40.5" customHeight="1" x14ac:dyDescent="0.2">
      <c r="A19" s="491"/>
      <c r="B19" s="491"/>
      <c r="C19" s="494"/>
      <c r="D19" s="495"/>
      <c r="E19" s="491"/>
      <c r="F19" s="16" t="s">
        <v>12</v>
      </c>
      <c r="G19" s="16" t="s">
        <v>13</v>
      </c>
      <c r="H19" s="16" t="s">
        <v>14</v>
      </c>
      <c r="I19" s="491"/>
    </row>
    <row r="20" spans="1:9" ht="18" x14ac:dyDescent="0.2">
      <c r="A20" s="17"/>
      <c r="B20" s="18"/>
      <c r="C20" s="500"/>
      <c r="D20" s="501"/>
      <c r="E20" s="18"/>
      <c r="F20" s="18"/>
      <c r="G20" s="18"/>
      <c r="H20" s="18"/>
      <c r="I20" s="19"/>
    </row>
    <row r="21" spans="1:9" ht="26.25" customHeight="1" x14ac:dyDescent="0.2">
      <c r="A21" s="20">
        <v>1</v>
      </c>
      <c r="B21" s="21" t="s">
        <v>15</v>
      </c>
      <c r="C21" s="498" t="s">
        <v>16</v>
      </c>
      <c r="D21" s="499"/>
      <c r="E21" s="22">
        <f>'1,1'!P28</f>
        <v>0</v>
      </c>
      <c r="F21" s="22">
        <f>'1,1'!M28</f>
        <v>0</v>
      </c>
      <c r="G21" s="22">
        <f>'1,1'!N28</f>
        <v>0</v>
      </c>
      <c r="H21" s="22">
        <f>'1,1'!O28</f>
        <v>0</v>
      </c>
      <c r="I21" s="23">
        <f>'1,1'!L28</f>
        <v>0</v>
      </c>
    </row>
    <row r="22" spans="1:9" x14ac:dyDescent="0.2">
      <c r="A22" s="20">
        <v>2</v>
      </c>
      <c r="B22" s="21" t="s">
        <v>17</v>
      </c>
      <c r="C22" s="498" t="s">
        <v>18</v>
      </c>
      <c r="D22" s="499"/>
      <c r="E22" s="22">
        <f>'1,2'!P31</f>
        <v>0</v>
      </c>
      <c r="F22" s="22">
        <f>'1,2'!M31</f>
        <v>0</v>
      </c>
      <c r="G22" s="22">
        <f>'1,2'!N31</f>
        <v>0</v>
      </c>
      <c r="H22" s="22">
        <f>'1,2'!O31</f>
        <v>0</v>
      </c>
      <c r="I22" s="23">
        <f>'1,2'!L31</f>
        <v>0</v>
      </c>
    </row>
    <row r="23" spans="1:9" x14ac:dyDescent="0.2">
      <c r="A23" s="20">
        <v>3</v>
      </c>
      <c r="B23" s="21" t="s">
        <v>19</v>
      </c>
      <c r="C23" s="498" t="s">
        <v>20</v>
      </c>
      <c r="D23" s="499"/>
      <c r="E23" s="22">
        <f>'1,3'!P40</f>
        <v>0</v>
      </c>
      <c r="F23" s="22">
        <f>'1,3'!M40</f>
        <v>0</v>
      </c>
      <c r="G23" s="22">
        <f>'1,3'!N40</f>
        <v>0</v>
      </c>
      <c r="H23" s="22">
        <f>'1,3'!O40</f>
        <v>0</v>
      </c>
      <c r="I23" s="23">
        <f>'1,3'!L40</f>
        <v>0</v>
      </c>
    </row>
    <row r="24" spans="1:9" x14ac:dyDescent="0.2">
      <c r="A24" s="20">
        <v>4</v>
      </c>
      <c r="B24" s="21" t="s">
        <v>21</v>
      </c>
      <c r="C24" s="498" t="s">
        <v>103</v>
      </c>
      <c r="D24" s="499"/>
      <c r="E24" s="360">
        <f>'1,4'!P459</f>
        <v>0</v>
      </c>
      <c r="F24" s="360">
        <f>'1,4'!M459</f>
        <v>0</v>
      </c>
      <c r="G24" s="360">
        <f>'1,4'!N459</f>
        <v>0</v>
      </c>
      <c r="H24" s="360">
        <f>'1,4'!O459</f>
        <v>0</v>
      </c>
      <c r="I24" s="361">
        <f>'1,4'!L459</f>
        <v>0</v>
      </c>
    </row>
    <row r="25" spans="1:9" ht="12.75" customHeight="1" x14ac:dyDescent="0.2">
      <c r="A25" s="20">
        <v>5</v>
      </c>
      <c r="B25" s="21" t="s">
        <v>22</v>
      </c>
      <c r="C25" s="498" t="s">
        <v>104</v>
      </c>
      <c r="D25" s="499"/>
      <c r="E25" s="22">
        <f>'1,5'!P325</f>
        <v>0</v>
      </c>
      <c r="F25" s="22">
        <f>'1,5'!M325</f>
        <v>0</v>
      </c>
      <c r="G25" s="22">
        <f>'1,5'!N325</f>
        <v>0</v>
      </c>
      <c r="H25" s="22">
        <f>'1,5'!O325</f>
        <v>0</v>
      </c>
      <c r="I25" s="23">
        <f>'1,5'!L325</f>
        <v>0</v>
      </c>
    </row>
    <row r="26" spans="1:9" ht="12.75" customHeight="1" x14ac:dyDescent="0.2">
      <c r="A26" s="20">
        <v>6</v>
      </c>
      <c r="B26" s="21" t="s">
        <v>23</v>
      </c>
      <c r="C26" s="498" t="s">
        <v>105</v>
      </c>
      <c r="D26" s="499"/>
      <c r="E26" s="22">
        <f>'1,6'!P110</f>
        <v>0</v>
      </c>
      <c r="F26" s="22">
        <f>'1,6'!M110</f>
        <v>0</v>
      </c>
      <c r="G26" s="22">
        <f>'1,6'!N110</f>
        <v>0</v>
      </c>
      <c r="H26" s="22">
        <f>'1,6'!O110</f>
        <v>0</v>
      </c>
      <c r="I26" s="23">
        <f>'1,6'!L110</f>
        <v>0</v>
      </c>
    </row>
    <row r="27" spans="1:9" x14ac:dyDescent="0.2">
      <c r="A27" s="20">
        <v>7</v>
      </c>
      <c r="B27" s="21" t="s">
        <v>24</v>
      </c>
      <c r="C27" s="498" t="s">
        <v>106</v>
      </c>
      <c r="D27" s="499"/>
      <c r="E27" s="22">
        <f>'1,7'!P185</f>
        <v>0</v>
      </c>
      <c r="F27" s="22">
        <f>'1,7'!M185</f>
        <v>0</v>
      </c>
      <c r="G27" s="22">
        <f>'1,7'!N185</f>
        <v>0</v>
      </c>
      <c r="H27" s="22">
        <f>'1,7'!O185</f>
        <v>0</v>
      </c>
      <c r="I27" s="23">
        <f>'1,7'!L185</f>
        <v>0</v>
      </c>
    </row>
    <row r="28" spans="1:9" x14ac:dyDescent="0.2">
      <c r="A28" s="20">
        <v>8</v>
      </c>
      <c r="B28" s="21" t="s">
        <v>25</v>
      </c>
      <c r="C28" s="498" t="s">
        <v>107</v>
      </c>
      <c r="D28" s="499"/>
      <c r="E28" s="22">
        <f>'1,8'!P271</f>
        <v>0</v>
      </c>
      <c r="F28" s="22">
        <f>'1,8'!M271</f>
        <v>0</v>
      </c>
      <c r="G28" s="22">
        <f>'1,8'!N271</f>
        <v>0</v>
      </c>
      <c r="H28" s="22">
        <f>'1,8'!O271</f>
        <v>0</v>
      </c>
      <c r="I28" s="23">
        <f>'1,8'!L271</f>
        <v>0</v>
      </c>
    </row>
    <row r="29" spans="1:9" x14ac:dyDescent="0.2">
      <c r="A29" s="20">
        <v>9</v>
      </c>
      <c r="B29" s="21" t="s">
        <v>26</v>
      </c>
      <c r="C29" s="498" t="s">
        <v>108</v>
      </c>
      <c r="D29" s="499"/>
      <c r="E29" s="22">
        <f>'1,9'!P253</f>
        <v>0</v>
      </c>
      <c r="F29" s="22">
        <f>'1,9'!M253</f>
        <v>0</v>
      </c>
      <c r="G29" s="22">
        <f>'1,9'!N253</f>
        <v>0</v>
      </c>
      <c r="H29" s="22">
        <f>'1,9'!O253</f>
        <v>0</v>
      </c>
      <c r="I29" s="23">
        <f>'1,9'!L253</f>
        <v>0</v>
      </c>
    </row>
    <row r="30" spans="1:9" ht="12.75" customHeight="1" x14ac:dyDescent="0.2">
      <c r="A30" s="20">
        <v>10</v>
      </c>
      <c r="B30" s="21" t="s">
        <v>27</v>
      </c>
      <c r="C30" s="498" t="s">
        <v>109</v>
      </c>
      <c r="D30" s="499"/>
      <c r="E30" s="22">
        <f>'1,10'!P86</f>
        <v>0</v>
      </c>
      <c r="F30" s="22">
        <f>'1,10'!M86</f>
        <v>0</v>
      </c>
      <c r="G30" s="22">
        <f>'1,10'!N86</f>
        <v>0</v>
      </c>
      <c r="H30" s="22">
        <f>'1,10'!O86</f>
        <v>0</v>
      </c>
      <c r="I30" s="23">
        <f>'1,10'!L86</f>
        <v>0</v>
      </c>
    </row>
    <row r="31" spans="1:9" x14ac:dyDescent="0.2">
      <c r="A31" s="20">
        <v>11</v>
      </c>
      <c r="B31" s="21" t="s">
        <v>28</v>
      </c>
      <c r="C31" s="498" t="s">
        <v>110</v>
      </c>
      <c r="D31" s="499"/>
      <c r="E31" s="22">
        <f>'1,11'!P95</f>
        <v>0</v>
      </c>
      <c r="F31" s="22">
        <f>'1,11'!M95</f>
        <v>0</v>
      </c>
      <c r="G31" s="22">
        <f>'1,11'!N95</f>
        <v>0</v>
      </c>
      <c r="H31" s="22">
        <f>'1,11'!O95</f>
        <v>0</v>
      </c>
      <c r="I31" s="23">
        <f>'1,11'!L95</f>
        <v>0</v>
      </c>
    </row>
    <row r="32" spans="1:9" ht="12.75" customHeight="1" x14ac:dyDescent="0.2">
      <c r="A32" s="20">
        <v>12</v>
      </c>
      <c r="B32" s="21" t="s">
        <v>29</v>
      </c>
      <c r="C32" s="498" t="s">
        <v>670</v>
      </c>
      <c r="D32" s="499"/>
      <c r="E32" s="22">
        <f>'1,12'!P98</f>
        <v>0</v>
      </c>
      <c r="F32" s="22">
        <f>'1,12'!M98</f>
        <v>0</v>
      </c>
      <c r="G32" s="22">
        <f>'1,12'!N98</f>
        <v>0</v>
      </c>
      <c r="H32" s="22">
        <f>'1,12'!O98</f>
        <v>0</v>
      </c>
      <c r="I32" s="23">
        <f>'1,12'!L98</f>
        <v>0</v>
      </c>
    </row>
    <row r="33" spans="1:9" x14ac:dyDescent="0.2">
      <c r="A33" s="24">
        <v>13</v>
      </c>
      <c r="B33" s="25" t="s">
        <v>669</v>
      </c>
      <c r="C33" s="498" t="s">
        <v>111</v>
      </c>
      <c r="D33" s="499"/>
      <c r="E33" s="26">
        <f>'1,13'!P44</f>
        <v>0</v>
      </c>
      <c r="F33" s="26">
        <f>'1,13'!M44</f>
        <v>0</v>
      </c>
      <c r="G33" s="26">
        <f>'1,13'!N44</f>
        <v>0</v>
      </c>
      <c r="H33" s="26">
        <f>'1,13'!O44</f>
        <v>0</v>
      </c>
      <c r="I33" s="27">
        <f>'1,13'!L44</f>
        <v>0</v>
      </c>
    </row>
    <row r="34" spans="1:9" ht="16.5" customHeight="1" x14ac:dyDescent="0.2">
      <c r="A34" s="28"/>
      <c r="B34" s="28"/>
      <c r="C34" s="29" t="s">
        <v>30</v>
      </c>
      <c r="D34" s="29"/>
      <c r="E34" s="456">
        <f>SUM(E21:E33)</f>
        <v>0</v>
      </c>
      <c r="F34" s="456">
        <f>SUM(F21:F33)</f>
        <v>0</v>
      </c>
      <c r="G34" s="456">
        <f>SUM(G21:G33)</f>
        <v>0</v>
      </c>
      <c r="H34" s="456">
        <f>SUM(H21:H33)</f>
        <v>0</v>
      </c>
      <c r="I34" s="456">
        <f>SUM(I21:I33)</f>
        <v>0</v>
      </c>
    </row>
    <row r="35" spans="1:9" ht="15.75" x14ac:dyDescent="0.2">
      <c r="A35" s="503" t="s">
        <v>31</v>
      </c>
      <c r="B35" s="503"/>
      <c r="C35" s="503"/>
      <c r="D35" s="30" t="s">
        <v>786</v>
      </c>
      <c r="E35" s="456"/>
      <c r="F35" s="456"/>
      <c r="G35" s="456"/>
      <c r="H35" s="456"/>
      <c r="I35" s="456"/>
    </row>
    <row r="36" spans="1:9" ht="15.75" x14ac:dyDescent="0.2">
      <c r="A36" s="31"/>
      <c r="B36" s="31"/>
      <c r="C36" s="32" t="s">
        <v>32</v>
      </c>
      <c r="D36" s="30"/>
      <c r="E36" s="456"/>
      <c r="F36" s="456"/>
      <c r="G36" s="456"/>
      <c r="H36" s="456"/>
      <c r="I36" s="456"/>
    </row>
    <row r="37" spans="1:9" ht="15.75" x14ac:dyDescent="0.2">
      <c r="A37" s="503" t="s">
        <v>33</v>
      </c>
      <c r="B37" s="503"/>
      <c r="C37" s="503"/>
      <c r="D37" s="30" t="s">
        <v>786</v>
      </c>
      <c r="E37" s="456"/>
      <c r="F37" s="456"/>
      <c r="G37" s="456"/>
      <c r="H37" s="456"/>
      <c r="I37" s="456"/>
    </row>
    <row r="38" spans="1:9" ht="21.75" customHeight="1" x14ac:dyDescent="0.2">
      <c r="A38" s="503" t="s">
        <v>34</v>
      </c>
      <c r="B38" s="503"/>
      <c r="C38" s="503"/>
      <c r="D38" s="33">
        <v>0.2359</v>
      </c>
      <c r="E38" s="456"/>
      <c r="F38" s="456"/>
      <c r="G38" s="456"/>
      <c r="H38" s="456"/>
      <c r="I38" s="456"/>
    </row>
    <row r="39" spans="1:9" ht="18" customHeight="1" x14ac:dyDescent="0.2">
      <c r="A39" s="502"/>
      <c r="B39" s="502"/>
      <c r="C39" s="29" t="s">
        <v>35</v>
      </c>
      <c r="D39" s="29"/>
      <c r="E39" s="456"/>
      <c r="F39" s="456"/>
      <c r="G39" s="456"/>
      <c r="H39" s="456"/>
      <c r="I39" s="456"/>
    </row>
    <row r="40" spans="1:9" ht="18" x14ac:dyDescent="0.25">
      <c r="A40" s="34"/>
    </row>
    <row r="41" spans="1:9" ht="18" x14ac:dyDescent="0.25">
      <c r="A41" s="34"/>
    </row>
    <row r="42" spans="1:9" ht="14.25" x14ac:dyDescent="0.2">
      <c r="A42" s="35"/>
      <c r="B42" s="35" t="s">
        <v>36</v>
      </c>
      <c r="C42" s="8"/>
      <c r="F42" s="8"/>
    </row>
    <row r="43" spans="1:9" ht="14.25" x14ac:dyDescent="0.2">
      <c r="A43" s="8"/>
      <c r="B43" s="8"/>
      <c r="C43" s="36"/>
      <c r="D43" s="37"/>
      <c r="E43" s="37"/>
      <c r="F43" s="8"/>
    </row>
    <row r="44" spans="1:9" ht="14.25" x14ac:dyDescent="0.2">
      <c r="A44" s="38"/>
      <c r="B44" s="35"/>
      <c r="C44" s="39"/>
      <c r="D44" s="8"/>
      <c r="E44" s="8"/>
      <c r="F44" s="8"/>
    </row>
    <row r="45" spans="1:9" ht="14.25" x14ac:dyDescent="0.2">
      <c r="B45" s="35"/>
      <c r="C45" s="39"/>
    </row>
    <row r="46" spans="1:9" ht="14.25" x14ac:dyDescent="0.2">
      <c r="B46" s="35"/>
      <c r="C46" s="39"/>
    </row>
    <row r="47" spans="1:9" ht="14.25" x14ac:dyDescent="0.2">
      <c r="B47" s="38"/>
    </row>
    <row r="48" spans="1:9" ht="14.25" x14ac:dyDescent="0.2">
      <c r="B48" s="35" t="s">
        <v>98</v>
      </c>
      <c r="C48" s="40"/>
    </row>
    <row r="49" spans="2:3" ht="14.25" x14ac:dyDescent="0.2">
      <c r="B49" s="8"/>
      <c r="C49" s="36"/>
    </row>
    <row r="50" spans="2:3" ht="14.25" x14ac:dyDescent="0.2">
      <c r="B50" s="35"/>
      <c r="C50" s="39"/>
    </row>
  </sheetData>
  <mergeCells count="35">
    <mergeCell ref="A39:B39"/>
    <mergeCell ref="C31:D31"/>
    <mergeCell ref="C32:D32"/>
    <mergeCell ref="C33:D33"/>
    <mergeCell ref="A35:C35"/>
    <mergeCell ref="A37:C37"/>
    <mergeCell ref="A38:C38"/>
    <mergeCell ref="C30:D30"/>
    <mergeCell ref="I18:I19"/>
    <mergeCell ref="C20:D20"/>
    <mergeCell ref="C21:D21"/>
    <mergeCell ref="C22:D22"/>
    <mergeCell ref="C23:D23"/>
    <mergeCell ref="C24:D24"/>
    <mergeCell ref="C25:D25"/>
    <mergeCell ref="C26:D26"/>
    <mergeCell ref="C27:D27"/>
    <mergeCell ref="C28:D28"/>
    <mergeCell ref="C29:D29"/>
    <mergeCell ref="A10:B10"/>
    <mergeCell ref="C10:I10"/>
    <mergeCell ref="A11:B11"/>
    <mergeCell ref="F13:G13"/>
    <mergeCell ref="F14:G14"/>
    <mergeCell ref="A18:A19"/>
    <mergeCell ref="B18:B19"/>
    <mergeCell ref="C18:D19"/>
    <mergeCell ref="E18:E19"/>
    <mergeCell ref="F18:H18"/>
    <mergeCell ref="A2:I2"/>
    <mergeCell ref="A6:I6"/>
    <mergeCell ref="A8:B8"/>
    <mergeCell ref="C8:I8"/>
    <mergeCell ref="A9:B9"/>
    <mergeCell ref="C9:I9"/>
  </mergeCells>
  <printOptions horizontalCentered="1"/>
  <pageMargins left="0.15748031496062992" right="0.23622047244094491" top="0.23622047244094491" bottom="0.39370078740157483" header="0.15748031496062992" footer="0.27559055118110237"/>
  <pageSetup paperSize="9" scale="70" orientation="portrait" horizontalDpi="4294967295"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63"/>
  <sheetViews>
    <sheetView showZeros="0" view="pageBreakPreview" topLeftCell="A161" zoomScale="80" zoomScaleNormal="100" zoomScaleSheetLayoutView="80" workbookViewId="0">
      <selection activeCell="F202" sqref="F202"/>
    </sheetView>
  </sheetViews>
  <sheetFormatPr defaultRowHeight="14.25" x14ac:dyDescent="0.2"/>
  <cols>
    <col min="1" max="1" width="9" style="49" customWidth="1"/>
    <col min="2" max="2" width="9.42578125" style="49" customWidth="1"/>
    <col min="3" max="3" width="40.28515625" style="49" customWidth="1"/>
    <col min="4" max="4" width="8.140625" style="49" customWidth="1"/>
    <col min="5" max="11" width="9.140625" style="49"/>
    <col min="12" max="12" width="11.5703125" style="49" customWidth="1"/>
    <col min="13" max="13" width="12.28515625" style="49" customWidth="1"/>
    <col min="14" max="14" width="13.85546875" style="49" customWidth="1"/>
    <col min="15" max="15" width="11.5703125" style="49" customWidth="1"/>
    <col min="16" max="16" width="16.28515625" style="49" customWidth="1"/>
    <col min="17" max="16384" width="9.140625" style="49"/>
  </cols>
  <sheetData>
    <row r="1" spans="1:16" s="41" customFormat="1" ht="15" x14ac:dyDescent="0.25">
      <c r="E1" s="43"/>
      <c r="F1" s="43"/>
      <c r="G1" s="95" t="s">
        <v>37</v>
      </c>
      <c r="H1" s="122" t="str">
        <f>kops1!B29</f>
        <v>1,9</v>
      </c>
    </row>
    <row r="2" spans="1:16" s="41" customFormat="1" ht="15" x14ac:dyDescent="0.25">
      <c r="A2" s="504" t="str">
        <f>C13</f>
        <v>Grīdas</v>
      </c>
      <c r="B2" s="504"/>
      <c r="C2" s="504"/>
      <c r="D2" s="504"/>
      <c r="E2" s="504"/>
      <c r="F2" s="504"/>
      <c r="G2" s="504"/>
      <c r="H2" s="504"/>
      <c r="I2" s="504"/>
      <c r="J2" s="504"/>
      <c r="K2" s="504"/>
      <c r="L2" s="504"/>
      <c r="M2" s="504"/>
      <c r="N2" s="504"/>
      <c r="O2" s="504"/>
      <c r="P2" s="504"/>
    </row>
    <row r="3" spans="1:16" ht="15" x14ac:dyDescent="0.2">
      <c r="A3" s="47"/>
      <c r="B3" s="47"/>
      <c r="C3" s="47" t="s">
        <v>38</v>
      </c>
      <c r="D3" s="505" t="s">
        <v>94</v>
      </c>
      <c r="E3" s="505"/>
      <c r="F3" s="505"/>
      <c r="G3" s="505"/>
      <c r="H3" s="505"/>
      <c r="I3" s="505"/>
      <c r="J3" s="505"/>
      <c r="K3" s="505"/>
      <c r="L3" s="505"/>
      <c r="M3" s="505"/>
      <c r="N3" s="505"/>
      <c r="O3" s="505"/>
      <c r="P3" s="505"/>
    </row>
    <row r="4" spans="1:16" ht="15" x14ac:dyDescent="0.2">
      <c r="A4" s="47"/>
      <c r="B4" s="47"/>
      <c r="C4" s="47" t="s">
        <v>39</v>
      </c>
      <c r="D4" s="505" t="s">
        <v>95</v>
      </c>
      <c r="E4" s="505"/>
      <c r="F4" s="505"/>
      <c r="G4" s="505"/>
      <c r="H4" s="505"/>
      <c r="I4" s="505"/>
      <c r="J4" s="505"/>
      <c r="K4" s="505"/>
      <c r="L4" s="505"/>
      <c r="M4" s="505"/>
      <c r="N4" s="505"/>
      <c r="O4" s="505"/>
      <c r="P4" s="505"/>
    </row>
    <row r="5" spans="1:16" ht="15" x14ac:dyDescent="0.2">
      <c r="A5" s="47"/>
      <c r="B5" s="47"/>
      <c r="C5" s="47" t="s">
        <v>40</v>
      </c>
      <c r="D5" s="505" t="s">
        <v>96</v>
      </c>
      <c r="E5" s="505"/>
      <c r="F5" s="505"/>
      <c r="G5" s="505"/>
      <c r="H5" s="505"/>
      <c r="I5" s="505"/>
      <c r="J5" s="505"/>
      <c r="K5" s="505"/>
      <c r="L5" s="505"/>
      <c r="M5" s="505"/>
      <c r="N5" s="505"/>
      <c r="O5" s="505"/>
      <c r="P5" s="505"/>
    </row>
    <row r="6" spans="1:16" x14ac:dyDescent="0.2">
      <c r="A6" s="47"/>
      <c r="B6" s="47"/>
      <c r="C6" s="47" t="s">
        <v>100</v>
      </c>
      <c r="D6" s="50" t="s">
        <v>97</v>
      </c>
      <c r="E6" s="51"/>
      <c r="F6" s="51"/>
      <c r="G6" s="51"/>
      <c r="H6" s="51"/>
      <c r="I6" s="51"/>
      <c r="J6" s="51"/>
      <c r="K6" s="51"/>
      <c r="L6" s="51"/>
      <c r="M6" s="51"/>
      <c r="N6" s="51"/>
      <c r="O6" s="51"/>
      <c r="P6" s="53"/>
    </row>
    <row r="7" spans="1:16" x14ac:dyDescent="0.2">
      <c r="A7" s="8" t="s">
        <v>745</v>
      </c>
      <c r="B7" s="96"/>
      <c r="D7" s="50"/>
      <c r="E7" s="50"/>
      <c r="F7" s="50"/>
      <c r="G7" s="50"/>
      <c r="H7" s="50"/>
      <c r="I7" s="50"/>
      <c r="J7" s="50"/>
      <c r="K7" s="51"/>
      <c r="L7" s="51"/>
      <c r="M7" s="51"/>
      <c r="N7" s="51"/>
      <c r="O7" s="47" t="s">
        <v>41</v>
      </c>
      <c r="P7" s="56">
        <f>P253</f>
        <v>0</v>
      </c>
    </row>
    <row r="8" spans="1:16" x14ac:dyDescent="0.2">
      <c r="A8" s="57"/>
      <c r="B8" s="57"/>
      <c r="D8" s="58"/>
      <c r="E8" s="51"/>
      <c r="F8" s="51"/>
      <c r="G8" s="51"/>
      <c r="H8" s="51"/>
      <c r="I8" s="51"/>
      <c r="J8" s="51"/>
      <c r="K8" s="51"/>
      <c r="N8" s="51"/>
      <c r="O8" s="51"/>
      <c r="P8" s="53"/>
    </row>
    <row r="9" spans="1:16" ht="15" customHeight="1" x14ac:dyDescent="0.2">
      <c r="A9" s="59"/>
      <c r="B9" s="59"/>
      <c r="J9" s="62"/>
      <c r="K9" s="62"/>
      <c r="L9" s="506" t="s">
        <v>736</v>
      </c>
      <c r="M9" s="506"/>
      <c r="N9" s="506"/>
      <c r="O9" s="506"/>
      <c r="P9" s="62"/>
    </row>
    <row r="10" spans="1:16" ht="15" x14ac:dyDescent="0.2">
      <c r="A10" s="59"/>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73.5" customHeight="1"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v>0</v>
      </c>
      <c r="C13" s="65" t="str">
        <f>kops1!C29</f>
        <v>Grīdas</v>
      </c>
      <c r="D13" s="66"/>
      <c r="E13" s="67"/>
      <c r="F13" s="76">
        <v>0</v>
      </c>
      <c r="G13" s="76">
        <v>0</v>
      </c>
      <c r="H13" s="69"/>
      <c r="I13" s="70"/>
      <c r="J13" s="70"/>
      <c r="K13" s="75">
        <f t="shared" ref="K13" si="0">SUM(H13:J13)</f>
        <v>0</v>
      </c>
      <c r="L13" s="76">
        <f t="shared" ref="L13" si="1">ROUND(F13*E13,2)</f>
        <v>0</v>
      </c>
      <c r="M13" s="75">
        <f t="shared" ref="M13" si="2">ROUND(H13*E13,2)</f>
        <v>0</v>
      </c>
      <c r="N13" s="75">
        <f t="shared" ref="N13" si="3">ROUND(I13*E13,2)</f>
        <v>0</v>
      </c>
      <c r="O13" s="75">
        <f t="shared" ref="O13" si="4">ROUND(J13*E13,2)</f>
        <v>0</v>
      </c>
      <c r="P13" s="77">
        <f t="shared" ref="P13" si="5">SUM(M13:O13)</f>
        <v>0</v>
      </c>
    </row>
    <row r="14" spans="1:16" s="61" customFormat="1" x14ac:dyDescent="0.2">
      <c r="A14" s="202">
        <v>0</v>
      </c>
      <c r="B14" s="144"/>
      <c r="C14" s="203" t="s">
        <v>339</v>
      </c>
      <c r="D14" s="204"/>
      <c r="E14" s="205"/>
      <c r="F14" s="148">
        <v>0</v>
      </c>
      <c r="G14" s="148">
        <v>0</v>
      </c>
      <c r="H14" s="206"/>
      <c r="I14" s="206"/>
      <c r="J14" s="206"/>
      <c r="K14" s="75">
        <f>SUM(H14:J14)</f>
        <v>0</v>
      </c>
      <c r="L14" s="76">
        <f>ROUND(F14*E14,2)</f>
        <v>0</v>
      </c>
      <c r="M14" s="75">
        <f>ROUND(H14*E14,2)</f>
        <v>0</v>
      </c>
      <c r="N14" s="75">
        <f>ROUND(I14*E14,2)</f>
        <v>0</v>
      </c>
      <c r="O14" s="75">
        <f>ROUND(J14*E14,2)</f>
        <v>0</v>
      </c>
      <c r="P14" s="77">
        <f>SUM(M14:O14)</f>
        <v>0</v>
      </c>
    </row>
    <row r="15" spans="1:16" s="61" customFormat="1" x14ac:dyDescent="0.2">
      <c r="A15" s="202">
        <v>0</v>
      </c>
      <c r="B15" s="144"/>
      <c r="C15" s="207" t="s">
        <v>483</v>
      </c>
      <c r="D15" s="204"/>
      <c r="E15" s="205"/>
      <c r="F15" s="148">
        <v>0</v>
      </c>
      <c r="G15" s="148">
        <v>0</v>
      </c>
      <c r="H15" s="217">
        <f t="shared" ref="H15" si="6">ROUND(F15*G15,2)</f>
        <v>0</v>
      </c>
      <c r="I15" s="217"/>
      <c r="J15" s="217"/>
      <c r="K15" s="75">
        <f t="shared" ref="K15:K16" si="7">SUM(H15:J15)</f>
        <v>0</v>
      </c>
      <c r="L15" s="76">
        <f t="shared" ref="L15:L16" si="8">ROUND(F15*E15,2)</f>
        <v>0</v>
      </c>
      <c r="M15" s="75">
        <f t="shared" ref="M15:M16" si="9">ROUND(H15*E15,2)</f>
        <v>0</v>
      </c>
      <c r="N15" s="75">
        <f t="shared" ref="N15:N16" si="10">ROUND(I15*E15,2)</f>
        <v>0</v>
      </c>
      <c r="O15" s="75">
        <f t="shared" ref="O15:O16" si="11">ROUND(J15*E15,2)</f>
        <v>0</v>
      </c>
      <c r="P15" s="77">
        <f t="shared" ref="P15:P16" si="12">SUM(M15:O15)</f>
        <v>0</v>
      </c>
    </row>
    <row r="16" spans="1:16" s="61" customFormat="1" ht="30" x14ac:dyDescent="0.2">
      <c r="A16" s="218">
        <v>1</v>
      </c>
      <c r="B16" s="250" t="s">
        <v>441</v>
      </c>
      <c r="C16" s="239" t="s">
        <v>484</v>
      </c>
      <c r="D16" s="211" t="s">
        <v>115</v>
      </c>
      <c r="E16" s="205">
        <f>E22*0.05</f>
        <v>38.119999999999997</v>
      </c>
      <c r="F16" s="148"/>
      <c r="G16" s="213"/>
      <c r="H16" s="217"/>
      <c r="I16" s="217"/>
      <c r="J16" s="217"/>
      <c r="K16" s="75">
        <f t="shared" si="7"/>
        <v>0</v>
      </c>
      <c r="L16" s="76">
        <f t="shared" si="8"/>
        <v>0</v>
      </c>
      <c r="M16" s="75">
        <f t="shared" si="9"/>
        <v>0</v>
      </c>
      <c r="N16" s="75">
        <f t="shared" si="10"/>
        <v>0</v>
      </c>
      <c r="O16" s="75">
        <f t="shared" si="11"/>
        <v>0</v>
      </c>
      <c r="P16" s="77">
        <f t="shared" si="12"/>
        <v>0</v>
      </c>
    </row>
    <row r="17" spans="1:16" s="61" customFormat="1" ht="15" x14ac:dyDescent="0.2">
      <c r="A17" s="218">
        <v>0</v>
      </c>
      <c r="B17" s="250">
        <v>0</v>
      </c>
      <c r="C17" s="264" t="s">
        <v>485</v>
      </c>
      <c r="D17" s="211" t="s">
        <v>115</v>
      </c>
      <c r="E17" s="205">
        <f>1.1*E16</f>
        <v>41.932000000000002</v>
      </c>
      <c r="F17" s="148"/>
      <c r="G17" s="148"/>
      <c r="H17" s="217"/>
      <c r="I17" s="217"/>
      <c r="J17" s="217"/>
      <c r="K17" s="75">
        <f t="shared" ref="K17:K80" si="13">SUM(H17:J17)</f>
        <v>0</v>
      </c>
      <c r="L17" s="76">
        <f t="shared" ref="L17:L80" si="14">ROUND(F17*E17,2)</f>
        <v>0</v>
      </c>
      <c r="M17" s="75">
        <f t="shared" ref="M17:M80" si="15">ROUND(H17*E17,2)</f>
        <v>0</v>
      </c>
      <c r="N17" s="75">
        <f t="shared" ref="N17:N80" si="16">ROUND(I17*E17,2)</f>
        <v>0</v>
      </c>
      <c r="O17" s="75">
        <f t="shared" ref="O17:O80" si="17">ROUND(J17*E17,2)</f>
        <v>0</v>
      </c>
      <c r="P17" s="77">
        <f t="shared" ref="P17:P80" si="18">SUM(M17:O17)</f>
        <v>0</v>
      </c>
    </row>
    <row r="18" spans="1:16" s="61" customFormat="1" x14ac:dyDescent="0.2">
      <c r="A18" s="218">
        <v>2</v>
      </c>
      <c r="B18" s="250" t="s">
        <v>441</v>
      </c>
      <c r="C18" s="263" t="s">
        <v>486</v>
      </c>
      <c r="D18" s="211" t="s">
        <v>115</v>
      </c>
      <c r="E18" s="309">
        <f>E23*0.15</f>
        <v>120.07799999999999</v>
      </c>
      <c r="F18" s="148"/>
      <c r="G18" s="213"/>
      <c r="H18" s="217"/>
      <c r="I18" s="217"/>
      <c r="J18" s="217"/>
      <c r="K18" s="75">
        <f t="shared" si="13"/>
        <v>0</v>
      </c>
      <c r="L18" s="76">
        <f t="shared" si="14"/>
        <v>0</v>
      </c>
      <c r="M18" s="75">
        <f t="shared" si="15"/>
        <v>0</v>
      </c>
      <c r="N18" s="75">
        <f t="shared" si="16"/>
        <v>0</v>
      </c>
      <c r="O18" s="75">
        <f t="shared" si="17"/>
        <v>0</v>
      </c>
      <c r="P18" s="77">
        <f t="shared" si="18"/>
        <v>0</v>
      </c>
    </row>
    <row r="19" spans="1:16" s="61" customFormat="1" x14ac:dyDescent="0.2">
      <c r="A19" s="218">
        <v>0</v>
      </c>
      <c r="B19" s="250">
        <v>0</v>
      </c>
      <c r="C19" s="241" t="s">
        <v>487</v>
      </c>
      <c r="D19" s="211" t="s">
        <v>115</v>
      </c>
      <c r="E19" s="205">
        <f>1.1*E18</f>
        <v>132.08580000000001</v>
      </c>
      <c r="F19" s="148"/>
      <c r="G19" s="148"/>
      <c r="H19" s="217"/>
      <c r="I19" s="217"/>
      <c r="J19" s="217"/>
      <c r="K19" s="75">
        <f t="shared" si="13"/>
        <v>0</v>
      </c>
      <c r="L19" s="76">
        <f t="shared" si="14"/>
        <v>0</v>
      </c>
      <c r="M19" s="75">
        <f t="shared" si="15"/>
        <v>0</v>
      </c>
      <c r="N19" s="75">
        <f t="shared" si="16"/>
        <v>0</v>
      </c>
      <c r="O19" s="75">
        <f t="shared" si="17"/>
        <v>0</v>
      </c>
      <c r="P19" s="77">
        <f t="shared" si="18"/>
        <v>0</v>
      </c>
    </row>
    <row r="20" spans="1:16" s="61" customFormat="1" ht="15" x14ac:dyDescent="0.2">
      <c r="A20" s="208">
        <v>3</v>
      </c>
      <c r="B20" s="229" t="s">
        <v>229</v>
      </c>
      <c r="C20" s="236" t="s">
        <v>488</v>
      </c>
      <c r="D20" s="233" t="s">
        <v>207</v>
      </c>
      <c r="E20" s="205">
        <v>762.4</v>
      </c>
      <c r="F20" s="213"/>
      <c r="G20" s="213"/>
      <c r="H20" s="214"/>
      <c r="I20" s="214"/>
      <c r="J20" s="214"/>
      <c r="K20" s="75">
        <f t="shared" si="13"/>
        <v>0</v>
      </c>
      <c r="L20" s="76">
        <f t="shared" si="14"/>
        <v>0</v>
      </c>
      <c r="M20" s="75">
        <f t="shared" si="15"/>
        <v>0</v>
      </c>
      <c r="N20" s="75">
        <f t="shared" si="16"/>
        <v>0</v>
      </c>
      <c r="O20" s="75">
        <f t="shared" si="17"/>
        <v>0</v>
      </c>
      <c r="P20" s="77">
        <f t="shared" si="18"/>
        <v>0</v>
      </c>
    </row>
    <row r="21" spans="1:16" s="61" customFormat="1" ht="15" x14ac:dyDescent="0.2">
      <c r="A21" s="208">
        <v>0</v>
      </c>
      <c r="B21" s="229">
        <v>0</v>
      </c>
      <c r="C21" s="289" t="s">
        <v>489</v>
      </c>
      <c r="D21" s="233" t="s">
        <v>207</v>
      </c>
      <c r="E21" s="205">
        <f>E20</f>
        <v>762.4</v>
      </c>
      <c r="F21" s="213"/>
      <c r="G21" s="213"/>
      <c r="H21" s="214"/>
      <c r="I21" s="214"/>
      <c r="J21" s="214"/>
      <c r="K21" s="75">
        <f t="shared" si="13"/>
        <v>0</v>
      </c>
      <c r="L21" s="76">
        <f t="shared" si="14"/>
        <v>0</v>
      </c>
      <c r="M21" s="75">
        <f t="shared" si="15"/>
        <v>0</v>
      </c>
      <c r="N21" s="75">
        <f t="shared" si="16"/>
        <v>0</v>
      </c>
      <c r="O21" s="75">
        <f t="shared" si="17"/>
        <v>0</v>
      </c>
      <c r="P21" s="77">
        <f t="shared" si="18"/>
        <v>0</v>
      </c>
    </row>
    <row r="22" spans="1:16" s="61" customFormat="1" ht="15" x14ac:dyDescent="0.2">
      <c r="A22" s="218">
        <v>4</v>
      </c>
      <c r="B22" s="250" t="s">
        <v>246</v>
      </c>
      <c r="C22" s="239" t="s">
        <v>490</v>
      </c>
      <c r="D22" s="211" t="s">
        <v>207</v>
      </c>
      <c r="E22" s="205">
        <f>E20</f>
        <v>762.4</v>
      </c>
      <c r="F22" s="148"/>
      <c r="G22" s="213"/>
      <c r="H22" s="217"/>
      <c r="I22" s="217"/>
      <c r="J22" s="217"/>
      <c r="K22" s="75">
        <f t="shared" si="13"/>
        <v>0</v>
      </c>
      <c r="L22" s="76">
        <f t="shared" si="14"/>
        <v>0</v>
      </c>
      <c r="M22" s="75">
        <f t="shared" si="15"/>
        <v>0</v>
      </c>
      <c r="N22" s="75">
        <f t="shared" si="16"/>
        <v>0</v>
      </c>
      <c r="O22" s="75">
        <f t="shared" si="17"/>
        <v>0</v>
      </c>
      <c r="P22" s="77">
        <f t="shared" si="18"/>
        <v>0</v>
      </c>
    </row>
    <row r="23" spans="1:16" s="61" customFormat="1" ht="15" x14ac:dyDescent="0.2">
      <c r="A23" s="218">
        <v>0</v>
      </c>
      <c r="B23" s="250">
        <v>0</v>
      </c>
      <c r="C23" s="215" t="s">
        <v>491</v>
      </c>
      <c r="D23" s="211" t="s">
        <v>207</v>
      </c>
      <c r="E23" s="205">
        <f>1.05*E22</f>
        <v>800.52</v>
      </c>
      <c r="F23" s="148"/>
      <c r="G23" s="148"/>
      <c r="H23" s="217"/>
      <c r="I23" s="217"/>
      <c r="J23" s="217"/>
      <c r="K23" s="75">
        <f t="shared" si="13"/>
        <v>0</v>
      </c>
      <c r="L23" s="76">
        <f t="shared" si="14"/>
        <v>0</v>
      </c>
      <c r="M23" s="75">
        <f t="shared" si="15"/>
        <v>0</v>
      </c>
      <c r="N23" s="75">
        <f t="shared" si="16"/>
        <v>0</v>
      </c>
      <c r="O23" s="75">
        <f t="shared" si="17"/>
        <v>0</v>
      </c>
      <c r="P23" s="77">
        <f t="shared" si="18"/>
        <v>0</v>
      </c>
    </row>
    <row r="24" spans="1:16" s="61" customFormat="1" x14ac:dyDescent="0.2">
      <c r="A24" s="218">
        <v>5</v>
      </c>
      <c r="B24" s="250" t="s">
        <v>404</v>
      </c>
      <c r="C24" s="263" t="s">
        <v>492</v>
      </c>
      <c r="D24" s="211" t="s">
        <v>207</v>
      </c>
      <c r="E24" s="205">
        <v>762.4</v>
      </c>
      <c r="F24" s="148"/>
      <c r="G24" s="213"/>
      <c r="H24" s="217"/>
      <c r="I24" s="217"/>
      <c r="J24" s="217"/>
      <c r="K24" s="75">
        <f t="shared" si="13"/>
        <v>0</v>
      </c>
      <c r="L24" s="76">
        <f t="shared" si="14"/>
        <v>0</v>
      </c>
      <c r="M24" s="75">
        <f t="shared" si="15"/>
        <v>0</v>
      </c>
      <c r="N24" s="75">
        <f t="shared" si="16"/>
        <v>0</v>
      </c>
      <c r="O24" s="75">
        <f t="shared" si="17"/>
        <v>0</v>
      </c>
      <c r="P24" s="77">
        <f t="shared" si="18"/>
        <v>0</v>
      </c>
    </row>
    <row r="25" spans="1:16" s="61" customFormat="1" ht="15" x14ac:dyDescent="0.2">
      <c r="A25" s="218">
        <v>0</v>
      </c>
      <c r="B25" s="250">
        <v>0</v>
      </c>
      <c r="C25" s="264" t="s">
        <v>493</v>
      </c>
      <c r="D25" s="211" t="s">
        <v>207</v>
      </c>
      <c r="E25" s="205">
        <f>1.1*E24</f>
        <v>838.64</v>
      </c>
      <c r="F25" s="148"/>
      <c r="G25" s="148"/>
      <c r="H25" s="217"/>
      <c r="I25" s="217"/>
      <c r="J25" s="217"/>
      <c r="K25" s="75">
        <f t="shared" si="13"/>
        <v>0</v>
      </c>
      <c r="L25" s="76">
        <f t="shared" si="14"/>
        <v>0</v>
      </c>
      <c r="M25" s="75">
        <f t="shared" si="15"/>
        <v>0</v>
      </c>
      <c r="N25" s="75">
        <f t="shared" si="16"/>
        <v>0</v>
      </c>
      <c r="O25" s="75">
        <f t="shared" si="17"/>
        <v>0</v>
      </c>
      <c r="P25" s="77">
        <f t="shared" si="18"/>
        <v>0</v>
      </c>
    </row>
    <row r="26" spans="1:16" s="61" customFormat="1" ht="25.5" x14ac:dyDescent="0.2">
      <c r="A26" s="218">
        <v>0</v>
      </c>
      <c r="B26" s="250">
        <v>0</v>
      </c>
      <c r="C26" s="241" t="s">
        <v>494</v>
      </c>
      <c r="D26" s="211" t="s">
        <v>73</v>
      </c>
      <c r="E26" s="205">
        <v>1</v>
      </c>
      <c r="F26" s="148"/>
      <c r="G26" s="148"/>
      <c r="H26" s="217"/>
      <c r="I26" s="217"/>
      <c r="J26" s="217"/>
      <c r="K26" s="75">
        <f t="shared" si="13"/>
        <v>0</v>
      </c>
      <c r="L26" s="76">
        <f t="shared" si="14"/>
        <v>0</v>
      </c>
      <c r="M26" s="75">
        <f t="shared" si="15"/>
        <v>0</v>
      </c>
      <c r="N26" s="75">
        <f t="shared" si="16"/>
        <v>0</v>
      </c>
      <c r="O26" s="75">
        <f t="shared" si="17"/>
        <v>0</v>
      </c>
      <c r="P26" s="77">
        <f t="shared" si="18"/>
        <v>0</v>
      </c>
    </row>
    <row r="27" spans="1:16" s="61" customFormat="1" x14ac:dyDescent="0.2">
      <c r="A27" s="218">
        <v>6</v>
      </c>
      <c r="B27" s="250" t="s">
        <v>404</v>
      </c>
      <c r="C27" s="263" t="s">
        <v>495</v>
      </c>
      <c r="D27" s="211" t="s">
        <v>115</v>
      </c>
      <c r="E27" s="205">
        <v>61</v>
      </c>
      <c r="F27" s="148"/>
      <c r="G27" s="213"/>
      <c r="H27" s="217"/>
      <c r="I27" s="217"/>
      <c r="J27" s="217"/>
      <c r="K27" s="75">
        <f t="shared" si="13"/>
        <v>0</v>
      </c>
      <c r="L27" s="76">
        <f t="shared" si="14"/>
        <v>0</v>
      </c>
      <c r="M27" s="75">
        <f t="shared" si="15"/>
        <v>0</v>
      </c>
      <c r="N27" s="75">
        <f t="shared" si="16"/>
        <v>0</v>
      </c>
      <c r="O27" s="75">
        <f t="shared" si="17"/>
        <v>0</v>
      </c>
      <c r="P27" s="77">
        <f t="shared" si="18"/>
        <v>0</v>
      </c>
    </row>
    <row r="28" spans="1:16" s="61" customFormat="1" ht="15" x14ac:dyDescent="0.2">
      <c r="A28" s="218">
        <v>0</v>
      </c>
      <c r="B28" s="250">
        <v>0</v>
      </c>
      <c r="C28" s="215" t="s">
        <v>496</v>
      </c>
      <c r="D28" s="211" t="s">
        <v>115</v>
      </c>
      <c r="E28" s="205">
        <f>1.05*E27</f>
        <v>64.05</v>
      </c>
      <c r="F28" s="148"/>
      <c r="G28" s="148"/>
      <c r="H28" s="217"/>
      <c r="I28" s="217"/>
      <c r="J28" s="217"/>
      <c r="K28" s="75">
        <f t="shared" si="13"/>
        <v>0</v>
      </c>
      <c r="L28" s="76">
        <f t="shared" si="14"/>
        <v>0</v>
      </c>
      <c r="M28" s="75">
        <f t="shared" si="15"/>
        <v>0</v>
      </c>
      <c r="N28" s="75">
        <f t="shared" si="16"/>
        <v>0</v>
      </c>
      <c r="O28" s="75">
        <f t="shared" si="17"/>
        <v>0</v>
      </c>
      <c r="P28" s="77">
        <f t="shared" si="18"/>
        <v>0</v>
      </c>
    </row>
    <row r="29" spans="1:16" s="61" customFormat="1" x14ac:dyDescent="0.2">
      <c r="A29" s="218">
        <v>0</v>
      </c>
      <c r="B29" s="250">
        <v>0</v>
      </c>
      <c r="C29" s="216" t="s">
        <v>136</v>
      </c>
      <c r="D29" s="431" t="s">
        <v>137</v>
      </c>
      <c r="E29" s="205">
        <f>0.25*E27</f>
        <v>15.25</v>
      </c>
      <c r="F29" s="148"/>
      <c r="G29" s="148"/>
      <c r="H29" s="217"/>
      <c r="I29" s="217"/>
      <c r="J29" s="217"/>
      <c r="K29" s="75">
        <f t="shared" si="13"/>
        <v>0</v>
      </c>
      <c r="L29" s="76">
        <f t="shared" si="14"/>
        <v>0</v>
      </c>
      <c r="M29" s="75">
        <f t="shared" si="15"/>
        <v>0</v>
      </c>
      <c r="N29" s="75">
        <f t="shared" si="16"/>
        <v>0</v>
      </c>
      <c r="O29" s="75">
        <f t="shared" si="17"/>
        <v>0</v>
      </c>
      <c r="P29" s="77">
        <f t="shared" si="18"/>
        <v>0</v>
      </c>
    </row>
    <row r="30" spans="1:16" s="61" customFormat="1" ht="15" x14ac:dyDescent="0.2">
      <c r="A30" s="208">
        <v>7</v>
      </c>
      <c r="B30" s="229" t="s">
        <v>229</v>
      </c>
      <c r="C30" s="236" t="s">
        <v>488</v>
      </c>
      <c r="D30" s="233" t="s">
        <v>207</v>
      </c>
      <c r="E30" s="205">
        <v>762.4</v>
      </c>
      <c r="F30" s="213"/>
      <c r="G30" s="213"/>
      <c r="H30" s="214"/>
      <c r="I30" s="214"/>
      <c r="J30" s="214"/>
      <c r="K30" s="75">
        <f t="shared" si="13"/>
        <v>0</v>
      </c>
      <c r="L30" s="76">
        <f t="shared" si="14"/>
        <v>0</v>
      </c>
      <c r="M30" s="75">
        <f t="shared" si="15"/>
        <v>0</v>
      </c>
      <c r="N30" s="75">
        <f t="shared" si="16"/>
        <v>0</v>
      </c>
      <c r="O30" s="75">
        <f t="shared" si="17"/>
        <v>0</v>
      </c>
      <c r="P30" s="77">
        <f t="shared" si="18"/>
        <v>0</v>
      </c>
    </row>
    <row r="31" spans="1:16" s="61" customFormat="1" ht="15" x14ac:dyDescent="0.2">
      <c r="A31" s="208">
        <v>0</v>
      </c>
      <c r="B31" s="229">
        <v>0</v>
      </c>
      <c r="C31" s="289" t="s">
        <v>497</v>
      </c>
      <c r="D31" s="233" t="s">
        <v>207</v>
      </c>
      <c r="E31" s="205">
        <f>E30</f>
        <v>762.4</v>
      </c>
      <c r="F31" s="213"/>
      <c r="G31" s="213"/>
      <c r="H31" s="214"/>
      <c r="I31" s="214"/>
      <c r="J31" s="214"/>
      <c r="K31" s="75">
        <f t="shared" si="13"/>
        <v>0</v>
      </c>
      <c r="L31" s="76">
        <f t="shared" si="14"/>
        <v>0</v>
      </c>
      <c r="M31" s="75">
        <f t="shared" si="15"/>
        <v>0</v>
      </c>
      <c r="N31" s="75">
        <f t="shared" si="16"/>
        <v>0</v>
      </c>
      <c r="O31" s="75">
        <f t="shared" si="17"/>
        <v>0</v>
      </c>
      <c r="P31" s="77">
        <f t="shared" si="18"/>
        <v>0</v>
      </c>
    </row>
    <row r="32" spans="1:16" s="61" customFormat="1" x14ac:dyDescent="0.2">
      <c r="A32" s="202">
        <v>0</v>
      </c>
      <c r="B32" s="144"/>
      <c r="C32" s="207" t="s">
        <v>498</v>
      </c>
      <c r="D32" s="204"/>
      <c r="E32" s="205"/>
      <c r="F32" s="148"/>
      <c r="G32" s="148"/>
      <c r="H32" s="217"/>
      <c r="I32" s="217"/>
      <c r="J32" s="217"/>
      <c r="K32" s="75">
        <f t="shared" si="13"/>
        <v>0</v>
      </c>
      <c r="L32" s="76">
        <f t="shared" si="14"/>
        <v>0</v>
      </c>
      <c r="M32" s="75">
        <f t="shared" si="15"/>
        <v>0</v>
      </c>
      <c r="N32" s="75">
        <f t="shared" si="16"/>
        <v>0</v>
      </c>
      <c r="O32" s="75">
        <f t="shared" si="17"/>
        <v>0</v>
      </c>
      <c r="P32" s="77">
        <f t="shared" si="18"/>
        <v>0</v>
      </c>
    </row>
    <row r="33" spans="1:16" s="61" customFormat="1" ht="30" x14ac:dyDescent="0.2">
      <c r="A33" s="218">
        <v>8</v>
      </c>
      <c r="B33" s="250" t="s">
        <v>441</v>
      </c>
      <c r="C33" s="239" t="s">
        <v>484</v>
      </c>
      <c r="D33" s="211" t="s">
        <v>115</v>
      </c>
      <c r="E33" s="205">
        <f>0.05*E41</f>
        <v>26.610000000000003</v>
      </c>
      <c r="F33" s="148"/>
      <c r="G33" s="213"/>
      <c r="H33" s="217"/>
      <c r="I33" s="217"/>
      <c r="J33" s="217"/>
      <c r="K33" s="75">
        <f t="shared" si="13"/>
        <v>0</v>
      </c>
      <c r="L33" s="76">
        <f>ROUND(F33*E33,2)</f>
        <v>0</v>
      </c>
      <c r="M33" s="75">
        <f>ROUND(H33*E33,2)</f>
        <v>0</v>
      </c>
      <c r="N33" s="75">
        <f>ROUND(I33*E33,2)</f>
        <v>0</v>
      </c>
      <c r="O33" s="75">
        <f>ROUND(J33*E33,2)</f>
        <v>0</v>
      </c>
      <c r="P33" s="77">
        <f t="shared" si="18"/>
        <v>0</v>
      </c>
    </row>
    <row r="34" spans="1:16" s="61" customFormat="1" ht="15" x14ac:dyDescent="0.2">
      <c r="A34" s="218">
        <v>0</v>
      </c>
      <c r="B34" s="250">
        <v>0</v>
      </c>
      <c r="C34" s="264" t="s">
        <v>485</v>
      </c>
      <c r="D34" s="211" t="s">
        <v>115</v>
      </c>
      <c r="E34" s="205">
        <f>1.1*E33</f>
        <v>29.271000000000004</v>
      </c>
      <c r="F34" s="148"/>
      <c r="G34" s="148"/>
      <c r="H34" s="217"/>
      <c r="I34" s="217"/>
      <c r="J34" s="217"/>
      <c r="K34" s="75">
        <f t="shared" si="13"/>
        <v>0</v>
      </c>
      <c r="L34" s="76">
        <f t="shared" si="14"/>
        <v>0</v>
      </c>
      <c r="M34" s="75">
        <f t="shared" si="15"/>
        <v>0</v>
      </c>
      <c r="N34" s="75">
        <f t="shared" si="16"/>
        <v>0</v>
      </c>
      <c r="O34" s="75">
        <f t="shared" si="17"/>
        <v>0</v>
      </c>
      <c r="P34" s="77">
        <f t="shared" si="18"/>
        <v>0</v>
      </c>
    </row>
    <row r="35" spans="1:16" s="61" customFormat="1" x14ac:dyDescent="0.2">
      <c r="A35" s="218">
        <v>9</v>
      </c>
      <c r="B35" s="250" t="s">
        <v>441</v>
      </c>
      <c r="C35" s="263" t="s">
        <v>486</v>
      </c>
      <c r="D35" s="211" t="s">
        <v>115</v>
      </c>
      <c r="E35" s="205">
        <f>0.15*E41</f>
        <v>79.83</v>
      </c>
      <c r="F35" s="148"/>
      <c r="G35" s="213"/>
      <c r="H35" s="217"/>
      <c r="I35" s="217"/>
      <c r="J35" s="217"/>
      <c r="K35" s="75">
        <f t="shared" si="13"/>
        <v>0</v>
      </c>
      <c r="L35" s="76">
        <f t="shared" si="14"/>
        <v>0</v>
      </c>
      <c r="M35" s="75">
        <f t="shared" si="15"/>
        <v>0</v>
      </c>
      <c r="N35" s="75">
        <f t="shared" si="16"/>
        <v>0</v>
      </c>
      <c r="O35" s="75">
        <f t="shared" si="17"/>
        <v>0</v>
      </c>
      <c r="P35" s="77">
        <f t="shared" si="18"/>
        <v>0</v>
      </c>
    </row>
    <row r="36" spans="1:16" s="61" customFormat="1" x14ac:dyDescent="0.2">
      <c r="A36" s="218">
        <v>0</v>
      </c>
      <c r="B36" s="250">
        <v>0</v>
      </c>
      <c r="C36" s="241" t="s">
        <v>487</v>
      </c>
      <c r="D36" s="211" t="s">
        <v>115</v>
      </c>
      <c r="E36" s="205">
        <f>1.1*E35</f>
        <v>87.813000000000002</v>
      </c>
      <c r="F36" s="148"/>
      <c r="G36" s="148"/>
      <c r="H36" s="217"/>
      <c r="I36" s="217"/>
      <c r="J36" s="217"/>
      <c r="K36" s="75">
        <f t="shared" si="13"/>
        <v>0</v>
      </c>
      <c r="L36" s="76">
        <f t="shared" si="14"/>
        <v>0</v>
      </c>
      <c r="M36" s="75">
        <f t="shared" si="15"/>
        <v>0</v>
      </c>
      <c r="N36" s="75">
        <f t="shared" si="16"/>
        <v>0</v>
      </c>
      <c r="O36" s="75">
        <f t="shared" si="17"/>
        <v>0</v>
      </c>
      <c r="P36" s="77">
        <f t="shared" si="18"/>
        <v>0</v>
      </c>
    </row>
    <row r="37" spans="1:16" s="61" customFormat="1" ht="15" x14ac:dyDescent="0.2">
      <c r="A37" s="208">
        <v>10</v>
      </c>
      <c r="B37" s="229" t="s">
        <v>229</v>
      </c>
      <c r="C37" s="236" t="s">
        <v>488</v>
      </c>
      <c r="D37" s="233" t="s">
        <v>207</v>
      </c>
      <c r="E37" s="205">
        <f>E41</f>
        <v>532.20000000000005</v>
      </c>
      <c r="F37" s="213"/>
      <c r="G37" s="213"/>
      <c r="H37" s="214"/>
      <c r="I37" s="214"/>
      <c r="J37" s="214"/>
      <c r="K37" s="75">
        <f t="shared" si="13"/>
        <v>0</v>
      </c>
      <c r="L37" s="76">
        <f t="shared" si="14"/>
        <v>0</v>
      </c>
      <c r="M37" s="75">
        <f t="shared" si="15"/>
        <v>0</v>
      </c>
      <c r="N37" s="75">
        <f t="shared" si="16"/>
        <v>0</v>
      </c>
      <c r="O37" s="75">
        <f t="shared" si="17"/>
        <v>0</v>
      </c>
      <c r="P37" s="77">
        <f t="shared" si="18"/>
        <v>0</v>
      </c>
    </row>
    <row r="38" spans="1:16" s="61" customFormat="1" ht="15" x14ac:dyDescent="0.2">
      <c r="A38" s="208">
        <v>0</v>
      </c>
      <c r="B38" s="229">
        <v>0</v>
      </c>
      <c r="C38" s="289" t="s">
        <v>489</v>
      </c>
      <c r="D38" s="233" t="s">
        <v>207</v>
      </c>
      <c r="E38" s="205">
        <f>E37</f>
        <v>532.20000000000005</v>
      </c>
      <c r="F38" s="213"/>
      <c r="G38" s="213"/>
      <c r="H38" s="214"/>
      <c r="I38" s="214"/>
      <c r="J38" s="214"/>
      <c r="K38" s="75">
        <f t="shared" si="13"/>
        <v>0</v>
      </c>
      <c r="L38" s="76">
        <f t="shared" si="14"/>
        <v>0</v>
      </c>
      <c r="M38" s="75">
        <f t="shared" si="15"/>
        <v>0</v>
      </c>
      <c r="N38" s="75">
        <f t="shared" si="16"/>
        <v>0</v>
      </c>
      <c r="O38" s="75">
        <f t="shared" si="17"/>
        <v>0</v>
      </c>
      <c r="P38" s="77">
        <f t="shared" si="18"/>
        <v>0</v>
      </c>
    </row>
    <row r="39" spans="1:16" s="61" customFormat="1" ht="15" x14ac:dyDescent="0.2">
      <c r="A39" s="218">
        <v>11</v>
      </c>
      <c r="B39" s="250" t="s">
        <v>246</v>
      </c>
      <c r="C39" s="239" t="s">
        <v>490</v>
      </c>
      <c r="D39" s="211" t="s">
        <v>207</v>
      </c>
      <c r="E39" s="205">
        <f>E37</f>
        <v>532.20000000000005</v>
      </c>
      <c r="F39" s="148"/>
      <c r="G39" s="213"/>
      <c r="H39" s="217"/>
      <c r="I39" s="217"/>
      <c r="J39" s="217"/>
      <c r="K39" s="75">
        <f t="shared" si="13"/>
        <v>0</v>
      </c>
      <c r="L39" s="76">
        <f t="shared" si="14"/>
        <v>0</v>
      </c>
      <c r="M39" s="75">
        <f t="shared" si="15"/>
        <v>0</v>
      </c>
      <c r="N39" s="75">
        <f t="shared" si="16"/>
        <v>0</v>
      </c>
      <c r="O39" s="75">
        <f t="shared" si="17"/>
        <v>0</v>
      </c>
      <c r="P39" s="77">
        <f t="shared" si="18"/>
        <v>0</v>
      </c>
    </row>
    <row r="40" spans="1:16" s="61" customFormat="1" ht="15" x14ac:dyDescent="0.2">
      <c r="A40" s="218">
        <v>0</v>
      </c>
      <c r="B40" s="250">
        <v>0</v>
      </c>
      <c r="C40" s="215" t="s">
        <v>491</v>
      </c>
      <c r="D40" s="211" t="s">
        <v>207</v>
      </c>
      <c r="E40" s="205">
        <f>1.05*E39</f>
        <v>558.81000000000006</v>
      </c>
      <c r="F40" s="148"/>
      <c r="G40" s="148"/>
      <c r="H40" s="217"/>
      <c r="I40" s="217"/>
      <c r="J40" s="217"/>
      <c r="K40" s="75">
        <f t="shared" si="13"/>
        <v>0</v>
      </c>
      <c r="L40" s="76">
        <f t="shared" si="14"/>
        <v>0</v>
      </c>
      <c r="M40" s="75">
        <f t="shared" si="15"/>
        <v>0</v>
      </c>
      <c r="N40" s="75">
        <f t="shared" si="16"/>
        <v>0</v>
      </c>
      <c r="O40" s="75">
        <f t="shared" si="17"/>
        <v>0</v>
      </c>
      <c r="P40" s="77">
        <f t="shared" si="18"/>
        <v>0</v>
      </c>
    </row>
    <row r="41" spans="1:16" s="61" customFormat="1" x14ac:dyDescent="0.2">
      <c r="A41" s="218">
        <v>12</v>
      </c>
      <c r="B41" s="250" t="s">
        <v>404</v>
      </c>
      <c r="C41" s="263" t="s">
        <v>492</v>
      </c>
      <c r="D41" s="211" t="s">
        <v>207</v>
      </c>
      <c r="E41" s="205">
        <v>532.20000000000005</v>
      </c>
      <c r="F41" s="148"/>
      <c r="G41" s="213"/>
      <c r="H41" s="217"/>
      <c r="I41" s="217"/>
      <c r="J41" s="217"/>
      <c r="K41" s="75">
        <f t="shared" si="13"/>
        <v>0</v>
      </c>
      <c r="L41" s="76">
        <f t="shared" si="14"/>
        <v>0</v>
      </c>
      <c r="M41" s="75">
        <f t="shared" si="15"/>
        <v>0</v>
      </c>
      <c r="N41" s="75">
        <f t="shared" si="16"/>
        <v>0</v>
      </c>
      <c r="O41" s="75">
        <f t="shared" si="17"/>
        <v>0</v>
      </c>
      <c r="P41" s="77">
        <f t="shared" si="18"/>
        <v>0</v>
      </c>
    </row>
    <row r="42" spans="1:16" s="61" customFormat="1" ht="15" x14ac:dyDescent="0.2">
      <c r="A42" s="218">
        <v>0</v>
      </c>
      <c r="B42" s="250">
        <v>0</v>
      </c>
      <c r="C42" s="264" t="s">
        <v>493</v>
      </c>
      <c r="D42" s="211" t="s">
        <v>207</v>
      </c>
      <c r="E42" s="205">
        <f>1.1*E41</f>
        <v>585.42000000000007</v>
      </c>
      <c r="F42" s="148"/>
      <c r="G42" s="148"/>
      <c r="H42" s="217"/>
      <c r="I42" s="217"/>
      <c r="J42" s="217"/>
      <c r="K42" s="75">
        <f t="shared" si="13"/>
        <v>0</v>
      </c>
      <c r="L42" s="76">
        <f t="shared" si="14"/>
        <v>0</v>
      </c>
      <c r="M42" s="75">
        <f t="shared" si="15"/>
        <v>0</v>
      </c>
      <c r="N42" s="75">
        <f t="shared" si="16"/>
        <v>0</v>
      </c>
      <c r="O42" s="75">
        <f t="shared" si="17"/>
        <v>0</v>
      </c>
      <c r="P42" s="77">
        <f t="shared" si="18"/>
        <v>0</v>
      </c>
    </row>
    <row r="43" spans="1:16" s="61" customFormat="1" ht="25.5" x14ac:dyDescent="0.2">
      <c r="A43" s="218">
        <v>0</v>
      </c>
      <c r="B43" s="250">
        <v>0</v>
      </c>
      <c r="C43" s="241" t="s">
        <v>494</v>
      </c>
      <c r="D43" s="211" t="s">
        <v>73</v>
      </c>
      <c r="E43" s="205">
        <v>1</v>
      </c>
      <c r="F43" s="148"/>
      <c r="G43" s="148"/>
      <c r="H43" s="217"/>
      <c r="I43" s="217"/>
      <c r="J43" s="217"/>
      <c r="K43" s="75">
        <f t="shared" si="13"/>
        <v>0</v>
      </c>
      <c r="L43" s="76">
        <f t="shared" si="14"/>
        <v>0</v>
      </c>
      <c r="M43" s="75">
        <f t="shared" si="15"/>
        <v>0</v>
      </c>
      <c r="N43" s="75">
        <f t="shared" si="16"/>
        <v>0</v>
      </c>
      <c r="O43" s="75">
        <f t="shared" si="17"/>
        <v>0</v>
      </c>
      <c r="P43" s="77">
        <f t="shared" si="18"/>
        <v>0</v>
      </c>
    </row>
    <row r="44" spans="1:16" s="61" customFormat="1" x14ac:dyDescent="0.2">
      <c r="A44" s="218">
        <v>13</v>
      </c>
      <c r="B44" s="250" t="s">
        <v>404</v>
      </c>
      <c r="C44" s="263" t="s">
        <v>495</v>
      </c>
      <c r="D44" s="211" t="s">
        <v>115</v>
      </c>
      <c r="E44" s="205">
        <f>0.08*E41</f>
        <v>42.576000000000008</v>
      </c>
      <c r="F44" s="148"/>
      <c r="G44" s="213"/>
      <c r="H44" s="217"/>
      <c r="I44" s="217"/>
      <c r="J44" s="217"/>
      <c r="K44" s="75">
        <f t="shared" si="13"/>
        <v>0</v>
      </c>
      <c r="L44" s="76">
        <f t="shared" si="14"/>
        <v>0</v>
      </c>
      <c r="M44" s="75">
        <f t="shared" si="15"/>
        <v>0</v>
      </c>
      <c r="N44" s="75">
        <f t="shared" si="16"/>
        <v>0</v>
      </c>
      <c r="O44" s="75">
        <f t="shared" si="17"/>
        <v>0</v>
      </c>
      <c r="P44" s="77">
        <f t="shared" si="18"/>
        <v>0</v>
      </c>
    </row>
    <row r="45" spans="1:16" s="61" customFormat="1" ht="15" x14ac:dyDescent="0.2">
      <c r="A45" s="218">
        <v>0</v>
      </c>
      <c r="B45" s="250">
        <v>0</v>
      </c>
      <c r="C45" s="215" t="s">
        <v>496</v>
      </c>
      <c r="D45" s="483" t="s">
        <v>115</v>
      </c>
      <c r="E45" s="205">
        <f>1.05*E44</f>
        <v>44.704800000000013</v>
      </c>
      <c r="F45" s="148"/>
      <c r="G45" s="148"/>
      <c r="H45" s="217"/>
      <c r="I45" s="217"/>
      <c r="J45" s="217"/>
      <c r="K45" s="75">
        <f t="shared" si="13"/>
        <v>0</v>
      </c>
      <c r="L45" s="76">
        <f t="shared" si="14"/>
        <v>0</v>
      </c>
      <c r="M45" s="75">
        <f t="shared" si="15"/>
        <v>0</v>
      </c>
      <c r="N45" s="75">
        <f t="shared" si="16"/>
        <v>0</v>
      </c>
      <c r="O45" s="75">
        <f t="shared" si="17"/>
        <v>0</v>
      </c>
      <c r="P45" s="77">
        <f t="shared" si="18"/>
        <v>0</v>
      </c>
    </row>
    <row r="46" spans="1:16" s="61" customFormat="1" x14ac:dyDescent="0.2">
      <c r="A46" s="218">
        <v>0</v>
      </c>
      <c r="B46" s="250">
        <v>0</v>
      </c>
      <c r="C46" s="216" t="s">
        <v>136</v>
      </c>
      <c r="D46" s="431" t="s">
        <v>137</v>
      </c>
      <c r="E46" s="205">
        <f>0.25*E44</f>
        <v>10.644000000000002</v>
      </c>
      <c r="F46" s="148"/>
      <c r="G46" s="148"/>
      <c r="H46" s="217"/>
      <c r="I46" s="217"/>
      <c r="J46" s="217"/>
      <c r="K46" s="75">
        <f t="shared" si="13"/>
        <v>0</v>
      </c>
      <c r="L46" s="76">
        <f t="shared" si="14"/>
        <v>0</v>
      </c>
      <c r="M46" s="75">
        <f t="shared" si="15"/>
        <v>0</v>
      </c>
      <c r="N46" s="75">
        <f t="shared" si="16"/>
        <v>0</v>
      </c>
      <c r="O46" s="75">
        <f t="shared" si="17"/>
        <v>0</v>
      </c>
      <c r="P46" s="77">
        <f t="shared" si="18"/>
        <v>0</v>
      </c>
    </row>
    <row r="47" spans="1:16" s="61" customFormat="1" x14ac:dyDescent="0.2">
      <c r="A47" s="202">
        <v>0</v>
      </c>
      <c r="B47" s="144"/>
      <c r="C47" s="207" t="s">
        <v>499</v>
      </c>
      <c r="D47" s="204"/>
      <c r="E47" s="205"/>
      <c r="F47" s="148"/>
      <c r="G47" s="148"/>
      <c r="H47" s="217"/>
      <c r="I47" s="217"/>
      <c r="J47" s="217"/>
      <c r="K47" s="75">
        <f t="shared" si="13"/>
        <v>0</v>
      </c>
      <c r="L47" s="76">
        <f t="shared" si="14"/>
        <v>0</v>
      </c>
      <c r="M47" s="75">
        <f t="shared" si="15"/>
        <v>0</v>
      </c>
      <c r="N47" s="75">
        <f t="shared" si="16"/>
        <v>0</v>
      </c>
      <c r="O47" s="75">
        <f t="shared" si="17"/>
        <v>0</v>
      </c>
      <c r="P47" s="77">
        <f t="shared" si="18"/>
        <v>0</v>
      </c>
    </row>
    <row r="48" spans="1:16" s="61" customFormat="1" ht="30" x14ac:dyDescent="0.2">
      <c r="A48" s="218">
        <v>14</v>
      </c>
      <c r="B48" s="250" t="s">
        <v>441</v>
      </c>
      <c r="C48" s="239" t="s">
        <v>484</v>
      </c>
      <c r="D48" s="211" t="s">
        <v>115</v>
      </c>
      <c r="E48" s="205">
        <f>0.05*E62</f>
        <v>18.47</v>
      </c>
      <c r="F48" s="148"/>
      <c r="G48" s="213"/>
      <c r="H48" s="217"/>
      <c r="I48" s="217"/>
      <c r="J48" s="217"/>
      <c r="K48" s="75">
        <f t="shared" si="13"/>
        <v>0</v>
      </c>
      <c r="L48" s="76">
        <f t="shared" si="14"/>
        <v>0</v>
      </c>
      <c r="M48" s="75">
        <f t="shared" si="15"/>
        <v>0</v>
      </c>
      <c r="N48" s="75">
        <f t="shared" si="16"/>
        <v>0</v>
      </c>
      <c r="O48" s="75">
        <f t="shared" si="17"/>
        <v>0</v>
      </c>
      <c r="P48" s="77">
        <f t="shared" si="18"/>
        <v>0</v>
      </c>
    </row>
    <row r="49" spans="1:16" s="61" customFormat="1" ht="15" x14ac:dyDescent="0.2">
      <c r="A49" s="218">
        <v>0</v>
      </c>
      <c r="B49" s="250">
        <v>0</v>
      </c>
      <c r="C49" s="264" t="s">
        <v>485</v>
      </c>
      <c r="D49" s="211" t="s">
        <v>115</v>
      </c>
      <c r="E49" s="205">
        <f>1.1*E48</f>
        <v>20.317</v>
      </c>
      <c r="F49" s="148"/>
      <c r="G49" s="148"/>
      <c r="H49" s="217"/>
      <c r="I49" s="217"/>
      <c r="J49" s="217"/>
      <c r="K49" s="75">
        <f t="shared" si="13"/>
        <v>0</v>
      </c>
      <c r="L49" s="76">
        <f t="shared" si="14"/>
        <v>0</v>
      </c>
      <c r="M49" s="75">
        <f t="shared" si="15"/>
        <v>0</v>
      </c>
      <c r="N49" s="75">
        <f t="shared" si="16"/>
        <v>0</v>
      </c>
      <c r="O49" s="75">
        <f t="shared" si="17"/>
        <v>0</v>
      </c>
      <c r="P49" s="77">
        <f t="shared" si="18"/>
        <v>0</v>
      </c>
    </row>
    <row r="50" spans="1:16" s="61" customFormat="1" x14ac:dyDescent="0.2">
      <c r="A50" s="218">
        <v>15</v>
      </c>
      <c r="B50" s="250" t="s">
        <v>441</v>
      </c>
      <c r="C50" s="263" t="s">
        <v>486</v>
      </c>
      <c r="D50" s="211" t="s">
        <v>115</v>
      </c>
      <c r="E50" s="205">
        <f>0.15*E62</f>
        <v>55.41</v>
      </c>
      <c r="F50" s="148"/>
      <c r="G50" s="213"/>
      <c r="H50" s="217"/>
      <c r="I50" s="217"/>
      <c r="J50" s="217"/>
      <c r="K50" s="75">
        <f t="shared" si="13"/>
        <v>0</v>
      </c>
      <c r="L50" s="76">
        <f t="shared" si="14"/>
        <v>0</v>
      </c>
      <c r="M50" s="75">
        <f t="shared" si="15"/>
        <v>0</v>
      </c>
      <c r="N50" s="75">
        <f t="shared" si="16"/>
        <v>0</v>
      </c>
      <c r="O50" s="75">
        <f t="shared" si="17"/>
        <v>0</v>
      </c>
      <c r="P50" s="77">
        <f t="shared" si="18"/>
        <v>0</v>
      </c>
    </row>
    <row r="51" spans="1:16" s="61" customFormat="1" x14ac:dyDescent="0.2">
      <c r="A51" s="218">
        <v>0</v>
      </c>
      <c r="B51" s="250">
        <v>0</v>
      </c>
      <c r="C51" s="241" t="s">
        <v>487</v>
      </c>
      <c r="D51" s="211" t="s">
        <v>115</v>
      </c>
      <c r="E51" s="205">
        <f>1.1*E50</f>
        <v>60.951000000000001</v>
      </c>
      <c r="F51" s="148"/>
      <c r="G51" s="148"/>
      <c r="H51" s="217"/>
      <c r="I51" s="217"/>
      <c r="J51" s="217"/>
      <c r="K51" s="75">
        <f t="shared" si="13"/>
        <v>0</v>
      </c>
      <c r="L51" s="76">
        <f t="shared" si="14"/>
        <v>0</v>
      </c>
      <c r="M51" s="75">
        <f t="shared" si="15"/>
        <v>0</v>
      </c>
      <c r="N51" s="75">
        <f t="shared" si="16"/>
        <v>0</v>
      </c>
      <c r="O51" s="75">
        <f t="shared" si="17"/>
        <v>0</v>
      </c>
      <c r="P51" s="77">
        <f t="shared" si="18"/>
        <v>0</v>
      </c>
    </row>
    <row r="52" spans="1:16" s="61" customFormat="1" ht="15" x14ac:dyDescent="0.2">
      <c r="A52" s="208">
        <v>16</v>
      </c>
      <c r="B52" s="229" t="s">
        <v>229</v>
      </c>
      <c r="C52" s="236" t="s">
        <v>488</v>
      </c>
      <c r="D52" s="233" t="s">
        <v>207</v>
      </c>
      <c r="E52" s="205">
        <f>E62</f>
        <v>369.4</v>
      </c>
      <c r="F52" s="213"/>
      <c r="G52" s="213"/>
      <c r="H52" s="214"/>
      <c r="I52" s="214"/>
      <c r="J52" s="214"/>
      <c r="K52" s="75">
        <f t="shared" si="13"/>
        <v>0</v>
      </c>
      <c r="L52" s="76">
        <f t="shared" si="14"/>
        <v>0</v>
      </c>
      <c r="M52" s="75">
        <f t="shared" si="15"/>
        <v>0</v>
      </c>
      <c r="N52" s="75">
        <f t="shared" si="16"/>
        <v>0</v>
      </c>
      <c r="O52" s="75">
        <f t="shared" si="17"/>
        <v>0</v>
      </c>
      <c r="P52" s="77">
        <f t="shared" si="18"/>
        <v>0</v>
      </c>
    </row>
    <row r="53" spans="1:16" s="61" customFormat="1" ht="15" x14ac:dyDescent="0.2">
      <c r="A53" s="208">
        <v>0</v>
      </c>
      <c r="B53" s="229">
        <v>0</v>
      </c>
      <c r="C53" s="289" t="s">
        <v>489</v>
      </c>
      <c r="D53" s="233" t="s">
        <v>207</v>
      </c>
      <c r="E53" s="205">
        <f>E52</f>
        <v>369.4</v>
      </c>
      <c r="F53" s="213"/>
      <c r="G53" s="213"/>
      <c r="H53" s="214"/>
      <c r="I53" s="214"/>
      <c r="J53" s="214"/>
      <c r="K53" s="75">
        <f t="shared" si="13"/>
        <v>0</v>
      </c>
      <c r="L53" s="76">
        <f t="shared" si="14"/>
        <v>0</v>
      </c>
      <c r="M53" s="75">
        <f t="shared" si="15"/>
        <v>0</v>
      </c>
      <c r="N53" s="75">
        <f t="shared" si="16"/>
        <v>0</v>
      </c>
      <c r="O53" s="75">
        <f t="shared" si="17"/>
        <v>0</v>
      </c>
      <c r="P53" s="77">
        <f t="shared" si="18"/>
        <v>0</v>
      </c>
    </row>
    <row r="54" spans="1:16" s="61" customFormat="1" ht="15" x14ac:dyDescent="0.2">
      <c r="A54" s="218">
        <v>17</v>
      </c>
      <c r="B54" s="250" t="s">
        <v>246</v>
      </c>
      <c r="C54" s="239" t="s">
        <v>490</v>
      </c>
      <c r="D54" s="211" t="s">
        <v>207</v>
      </c>
      <c r="E54" s="205">
        <f>E52</f>
        <v>369.4</v>
      </c>
      <c r="F54" s="148"/>
      <c r="G54" s="213"/>
      <c r="H54" s="217"/>
      <c r="I54" s="217"/>
      <c r="J54" s="217"/>
      <c r="K54" s="75">
        <f t="shared" si="13"/>
        <v>0</v>
      </c>
      <c r="L54" s="76">
        <f t="shared" si="14"/>
        <v>0</v>
      </c>
      <c r="M54" s="75">
        <f t="shared" si="15"/>
        <v>0</v>
      </c>
      <c r="N54" s="75">
        <f t="shared" si="16"/>
        <v>0</v>
      </c>
      <c r="O54" s="75">
        <f t="shared" si="17"/>
        <v>0</v>
      </c>
      <c r="P54" s="77">
        <f t="shared" si="18"/>
        <v>0</v>
      </c>
    </row>
    <row r="55" spans="1:16" s="61" customFormat="1" ht="15" x14ac:dyDescent="0.2">
      <c r="A55" s="218">
        <v>0</v>
      </c>
      <c r="B55" s="250">
        <v>0</v>
      </c>
      <c r="C55" s="215" t="s">
        <v>491</v>
      </c>
      <c r="D55" s="211" t="s">
        <v>207</v>
      </c>
      <c r="E55" s="205">
        <f>1.05*E54</f>
        <v>387.87</v>
      </c>
      <c r="F55" s="148"/>
      <c r="G55" s="148"/>
      <c r="H55" s="217"/>
      <c r="I55" s="217"/>
      <c r="J55" s="217"/>
      <c r="K55" s="75">
        <f t="shared" si="13"/>
        <v>0</v>
      </c>
      <c r="L55" s="76">
        <f t="shared" si="14"/>
        <v>0</v>
      </c>
      <c r="M55" s="75">
        <f t="shared" si="15"/>
        <v>0</v>
      </c>
      <c r="N55" s="75">
        <f t="shared" si="16"/>
        <v>0</v>
      </c>
      <c r="O55" s="75">
        <f t="shared" si="17"/>
        <v>0</v>
      </c>
      <c r="P55" s="77">
        <f t="shared" si="18"/>
        <v>0</v>
      </c>
    </row>
    <row r="56" spans="1:16" s="61" customFormat="1" x14ac:dyDescent="0.2">
      <c r="A56" s="218">
        <v>18</v>
      </c>
      <c r="B56" s="250" t="s">
        <v>404</v>
      </c>
      <c r="C56" s="263" t="s">
        <v>492</v>
      </c>
      <c r="D56" s="211" t="s">
        <v>207</v>
      </c>
      <c r="E56" s="205">
        <f>E62</f>
        <v>369.4</v>
      </c>
      <c r="F56" s="148"/>
      <c r="G56" s="213"/>
      <c r="H56" s="217"/>
      <c r="I56" s="217"/>
      <c r="J56" s="217"/>
      <c r="K56" s="75">
        <f t="shared" si="13"/>
        <v>0</v>
      </c>
      <c r="L56" s="76">
        <f t="shared" si="14"/>
        <v>0</v>
      </c>
      <c r="M56" s="75">
        <f t="shared" si="15"/>
        <v>0</v>
      </c>
      <c r="N56" s="75">
        <f t="shared" si="16"/>
        <v>0</v>
      </c>
      <c r="O56" s="75">
        <f t="shared" si="17"/>
        <v>0</v>
      </c>
      <c r="P56" s="77">
        <f t="shared" si="18"/>
        <v>0</v>
      </c>
    </row>
    <row r="57" spans="1:16" s="61" customFormat="1" ht="15" x14ac:dyDescent="0.2">
      <c r="A57" s="218">
        <v>0</v>
      </c>
      <c r="B57" s="250">
        <v>0</v>
      </c>
      <c r="C57" s="264" t="s">
        <v>493</v>
      </c>
      <c r="D57" s="211" t="s">
        <v>207</v>
      </c>
      <c r="E57" s="205">
        <f>1.1*E56</f>
        <v>406.34000000000003</v>
      </c>
      <c r="F57" s="148"/>
      <c r="G57" s="148"/>
      <c r="H57" s="217"/>
      <c r="I57" s="217"/>
      <c r="J57" s="217"/>
      <c r="K57" s="75">
        <f t="shared" si="13"/>
        <v>0</v>
      </c>
      <c r="L57" s="76">
        <f t="shared" si="14"/>
        <v>0</v>
      </c>
      <c r="M57" s="75">
        <f t="shared" si="15"/>
        <v>0</v>
      </c>
      <c r="N57" s="75">
        <f t="shared" si="16"/>
        <v>0</v>
      </c>
      <c r="O57" s="75">
        <f t="shared" si="17"/>
        <v>0</v>
      </c>
      <c r="P57" s="77">
        <f t="shared" si="18"/>
        <v>0</v>
      </c>
    </row>
    <row r="58" spans="1:16" s="61" customFormat="1" ht="25.5" x14ac:dyDescent="0.2">
      <c r="A58" s="218">
        <v>0</v>
      </c>
      <c r="B58" s="250">
        <v>0</v>
      </c>
      <c r="C58" s="241" t="s">
        <v>494</v>
      </c>
      <c r="D58" s="211" t="s">
        <v>73</v>
      </c>
      <c r="E58" s="205">
        <v>1</v>
      </c>
      <c r="F58" s="148"/>
      <c r="G58" s="148"/>
      <c r="H58" s="217"/>
      <c r="I58" s="217"/>
      <c r="J58" s="217"/>
      <c r="K58" s="75">
        <f t="shared" si="13"/>
        <v>0</v>
      </c>
      <c r="L58" s="76">
        <f t="shared" si="14"/>
        <v>0</v>
      </c>
      <c r="M58" s="75">
        <f t="shared" si="15"/>
        <v>0</v>
      </c>
      <c r="N58" s="75">
        <f t="shared" si="16"/>
        <v>0</v>
      </c>
      <c r="O58" s="75">
        <f t="shared" si="17"/>
        <v>0</v>
      </c>
      <c r="P58" s="77">
        <f t="shared" si="18"/>
        <v>0</v>
      </c>
    </row>
    <row r="59" spans="1:16" s="61" customFormat="1" x14ac:dyDescent="0.2">
      <c r="A59" s="218">
        <v>19</v>
      </c>
      <c r="B59" s="250" t="s">
        <v>404</v>
      </c>
      <c r="C59" s="263" t="s">
        <v>495</v>
      </c>
      <c r="D59" s="211" t="s">
        <v>115</v>
      </c>
      <c r="E59" s="205">
        <f>0.08*E62</f>
        <v>29.552</v>
      </c>
      <c r="F59" s="148"/>
      <c r="G59" s="213"/>
      <c r="H59" s="217"/>
      <c r="I59" s="217"/>
      <c r="J59" s="217"/>
      <c r="K59" s="75">
        <f t="shared" si="13"/>
        <v>0</v>
      </c>
      <c r="L59" s="76">
        <f t="shared" si="14"/>
        <v>0</v>
      </c>
      <c r="M59" s="75">
        <f t="shared" si="15"/>
        <v>0</v>
      </c>
      <c r="N59" s="75">
        <f t="shared" si="16"/>
        <v>0</v>
      </c>
      <c r="O59" s="75">
        <f t="shared" si="17"/>
        <v>0</v>
      </c>
      <c r="P59" s="77">
        <f t="shared" si="18"/>
        <v>0</v>
      </c>
    </row>
    <row r="60" spans="1:16" s="61" customFormat="1" ht="15" x14ac:dyDescent="0.2">
      <c r="A60" s="218">
        <v>0</v>
      </c>
      <c r="B60" s="250">
        <v>0</v>
      </c>
      <c r="C60" s="215" t="s">
        <v>496</v>
      </c>
      <c r="D60" s="211" t="s">
        <v>115</v>
      </c>
      <c r="E60" s="205">
        <f>1.05*E59</f>
        <v>31.029600000000002</v>
      </c>
      <c r="F60" s="148"/>
      <c r="G60" s="148"/>
      <c r="H60" s="217"/>
      <c r="I60" s="217"/>
      <c r="J60" s="217"/>
      <c r="K60" s="75">
        <f t="shared" si="13"/>
        <v>0</v>
      </c>
      <c r="L60" s="76">
        <f t="shared" si="14"/>
        <v>0</v>
      </c>
      <c r="M60" s="75">
        <f t="shared" si="15"/>
        <v>0</v>
      </c>
      <c r="N60" s="75">
        <f t="shared" si="16"/>
        <v>0</v>
      </c>
      <c r="O60" s="75">
        <f t="shared" si="17"/>
        <v>0</v>
      </c>
      <c r="P60" s="77">
        <f t="shared" si="18"/>
        <v>0</v>
      </c>
    </row>
    <row r="61" spans="1:16" s="61" customFormat="1" x14ac:dyDescent="0.2">
      <c r="A61" s="218">
        <v>0</v>
      </c>
      <c r="B61" s="250">
        <v>0</v>
      </c>
      <c r="C61" s="216" t="s">
        <v>136</v>
      </c>
      <c r="D61" s="431" t="s">
        <v>137</v>
      </c>
      <c r="E61" s="205">
        <f>0.25*E59</f>
        <v>7.3879999999999999</v>
      </c>
      <c r="F61" s="148"/>
      <c r="G61" s="148"/>
      <c r="H61" s="217"/>
      <c r="I61" s="217"/>
      <c r="J61" s="217"/>
      <c r="K61" s="75">
        <f t="shared" si="13"/>
        <v>0</v>
      </c>
      <c r="L61" s="76">
        <f t="shared" si="14"/>
        <v>0</v>
      </c>
      <c r="M61" s="75">
        <f t="shared" si="15"/>
        <v>0</v>
      </c>
      <c r="N61" s="75">
        <f t="shared" si="16"/>
        <v>0</v>
      </c>
      <c r="O61" s="75">
        <f t="shared" si="17"/>
        <v>0</v>
      </c>
      <c r="P61" s="77">
        <f t="shared" si="18"/>
        <v>0</v>
      </c>
    </row>
    <row r="62" spans="1:16" s="61" customFormat="1" ht="25.5" x14ac:dyDescent="0.2">
      <c r="A62" s="208">
        <v>20</v>
      </c>
      <c r="B62" s="209" t="s">
        <v>229</v>
      </c>
      <c r="C62" s="263" t="s">
        <v>500</v>
      </c>
      <c r="D62" s="67" t="s">
        <v>207</v>
      </c>
      <c r="E62" s="205">
        <v>369.4</v>
      </c>
      <c r="F62" s="213"/>
      <c r="G62" s="213"/>
      <c r="H62" s="214"/>
      <c r="I62" s="214"/>
      <c r="J62" s="214"/>
      <c r="K62" s="75">
        <f t="shared" si="13"/>
        <v>0</v>
      </c>
      <c r="L62" s="76">
        <f t="shared" si="14"/>
        <v>0</v>
      </c>
      <c r="M62" s="75">
        <f t="shared" si="15"/>
        <v>0</v>
      </c>
      <c r="N62" s="75">
        <f t="shared" si="16"/>
        <v>0</v>
      </c>
      <c r="O62" s="75">
        <f t="shared" si="17"/>
        <v>0</v>
      </c>
      <c r="P62" s="77">
        <f t="shared" si="18"/>
        <v>0</v>
      </c>
    </row>
    <row r="63" spans="1:16" s="61" customFormat="1" x14ac:dyDescent="0.2">
      <c r="A63" s="208">
        <v>0</v>
      </c>
      <c r="B63" s="209">
        <v>0</v>
      </c>
      <c r="C63" s="241" t="s">
        <v>501</v>
      </c>
      <c r="D63" s="67" t="s">
        <v>131</v>
      </c>
      <c r="E63" s="205">
        <f>1.5*3*1.15*E62</f>
        <v>1911.6449999999998</v>
      </c>
      <c r="F63" s="213"/>
      <c r="G63" s="213"/>
      <c r="H63" s="214"/>
      <c r="I63" s="214"/>
      <c r="J63" s="214"/>
      <c r="K63" s="75">
        <f t="shared" si="13"/>
        <v>0</v>
      </c>
      <c r="L63" s="76">
        <f t="shared" si="14"/>
        <v>0</v>
      </c>
      <c r="M63" s="75">
        <f t="shared" si="15"/>
        <v>0</v>
      </c>
      <c r="N63" s="75">
        <f t="shared" si="16"/>
        <v>0</v>
      </c>
      <c r="O63" s="75">
        <f t="shared" si="17"/>
        <v>0</v>
      </c>
      <c r="P63" s="77">
        <f t="shared" si="18"/>
        <v>0</v>
      </c>
    </row>
    <row r="64" spans="1:16" s="61" customFormat="1" x14ac:dyDescent="0.2">
      <c r="A64" s="202">
        <v>0</v>
      </c>
      <c r="B64" s="144"/>
      <c r="C64" s="207" t="s">
        <v>502</v>
      </c>
      <c r="D64" s="204"/>
      <c r="E64" s="205"/>
      <c r="F64" s="148"/>
      <c r="G64" s="148"/>
      <c r="H64" s="217"/>
      <c r="I64" s="217"/>
      <c r="J64" s="217"/>
      <c r="K64" s="75">
        <f t="shared" si="13"/>
        <v>0</v>
      </c>
      <c r="L64" s="76">
        <f t="shared" si="14"/>
        <v>0</v>
      </c>
      <c r="M64" s="75">
        <f t="shared" si="15"/>
        <v>0</v>
      </c>
      <c r="N64" s="75">
        <f t="shared" si="16"/>
        <v>0</v>
      </c>
      <c r="O64" s="75">
        <f t="shared" si="17"/>
        <v>0</v>
      </c>
      <c r="P64" s="77">
        <f t="shared" si="18"/>
        <v>0</v>
      </c>
    </row>
    <row r="65" spans="1:16" s="61" customFormat="1" ht="30" x14ac:dyDescent="0.2">
      <c r="A65" s="218">
        <v>21</v>
      </c>
      <c r="B65" s="250" t="s">
        <v>441</v>
      </c>
      <c r="C65" s="239" t="s">
        <v>484</v>
      </c>
      <c r="D65" s="211" t="s">
        <v>115</v>
      </c>
      <c r="E65" s="205">
        <f>0.05*E79</f>
        <v>28.751999999999999</v>
      </c>
      <c r="F65" s="148"/>
      <c r="G65" s="213"/>
      <c r="H65" s="217"/>
      <c r="I65" s="217"/>
      <c r="J65" s="217"/>
      <c r="K65" s="75">
        <f t="shared" si="13"/>
        <v>0</v>
      </c>
      <c r="L65" s="76">
        <f t="shared" si="14"/>
        <v>0</v>
      </c>
      <c r="M65" s="75">
        <f t="shared" si="15"/>
        <v>0</v>
      </c>
      <c r="N65" s="75">
        <f t="shared" si="16"/>
        <v>0</v>
      </c>
      <c r="O65" s="75">
        <f t="shared" si="17"/>
        <v>0</v>
      </c>
      <c r="P65" s="77">
        <f t="shared" si="18"/>
        <v>0</v>
      </c>
    </row>
    <row r="66" spans="1:16" s="61" customFormat="1" ht="15" x14ac:dyDescent="0.2">
      <c r="A66" s="218">
        <v>0</v>
      </c>
      <c r="B66" s="250">
        <v>0</v>
      </c>
      <c r="C66" s="264" t="s">
        <v>485</v>
      </c>
      <c r="D66" s="211" t="s">
        <v>115</v>
      </c>
      <c r="E66" s="205">
        <f>1.1*E65</f>
        <v>31.627200000000002</v>
      </c>
      <c r="F66" s="148"/>
      <c r="G66" s="148"/>
      <c r="H66" s="217"/>
      <c r="I66" s="217"/>
      <c r="J66" s="217"/>
      <c r="K66" s="75">
        <f t="shared" si="13"/>
        <v>0</v>
      </c>
      <c r="L66" s="76">
        <f t="shared" si="14"/>
        <v>0</v>
      </c>
      <c r="M66" s="75">
        <f t="shared" si="15"/>
        <v>0</v>
      </c>
      <c r="N66" s="75">
        <f t="shared" si="16"/>
        <v>0</v>
      </c>
      <c r="O66" s="75">
        <f t="shared" si="17"/>
        <v>0</v>
      </c>
      <c r="P66" s="77">
        <f t="shared" si="18"/>
        <v>0</v>
      </c>
    </row>
    <row r="67" spans="1:16" s="61" customFormat="1" ht="15" x14ac:dyDescent="0.2">
      <c r="A67" s="218">
        <v>22</v>
      </c>
      <c r="B67" s="250" t="s">
        <v>441</v>
      </c>
      <c r="C67" s="239" t="s">
        <v>503</v>
      </c>
      <c r="D67" s="211" t="s">
        <v>115</v>
      </c>
      <c r="E67" s="205">
        <f>0.15*E79</f>
        <v>86.255999999999986</v>
      </c>
      <c r="F67" s="148"/>
      <c r="G67" s="213"/>
      <c r="H67" s="217"/>
      <c r="I67" s="217"/>
      <c r="J67" s="217"/>
      <c r="K67" s="75">
        <f t="shared" si="13"/>
        <v>0</v>
      </c>
      <c r="L67" s="76">
        <f t="shared" si="14"/>
        <v>0</v>
      </c>
      <c r="M67" s="75">
        <f t="shared" si="15"/>
        <v>0</v>
      </c>
      <c r="N67" s="75">
        <f t="shared" si="16"/>
        <v>0</v>
      </c>
      <c r="O67" s="75">
        <f t="shared" si="17"/>
        <v>0</v>
      </c>
      <c r="P67" s="77">
        <f t="shared" si="18"/>
        <v>0</v>
      </c>
    </row>
    <row r="68" spans="1:16" s="61" customFormat="1" x14ac:dyDescent="0.2">
      <c r="A68" s="218">
        <v>0</v>
      </c>
      <c r="B68" s="250">
        <v>0</v>
      </c>
      <c r="C68" s="241" t="s">
        <v>487</v>
      </c>
      <c r="D68" s="211" t="s">
        <v>115</v>
      </c>
      <c r="E68" s="205">
        <f>1.1*E67</f>
        <v>94.881599999999992</v>
      </c>
      <c r="F68" s="148"/>
      <c r="G68" s="148"/>
      <c r="H68" s="217"/>
      <c r="I68" s="217"/>
      <c r="J68" s="217"/>
      <c r="K68" s="75">
        <f t="shared" si="13"/>
        <v>0</v>
      </c>
      <c r="L68" s="76">
        <f t="shared" si="14"/>
        <v>0</v>
      </c>
      <c r="M68" s="75">
        <f t="shared" si="15"/>
        <v>0</v>
      </c>
      <c r="N68" s="75">
        <f t="shared" si="16"/>
        <v>0</v>
      </c>
      <c r="O68" s="75">
        <f t="shared" si="17"/>
        <v>0</v>
      </c>
      <c r="P68" s="77">
        <f t="shared" si="18"/>
        <v>0</v>
      </c>
    </row>
    <row r="69" spans="1:16" s="61" customFormat="1" ht="15" x14ac:dyDescent="0.2">
      <c r="A69" s="208">
        <v>23</v>
      </c>
      <c r="B69" s="229" t="s">
        <v>229</v>
      </c>
      <c r="C69" s="236" t="s">
        <v>488</v>
      </c>
      <c r="D69" s="233" t="s">
        <v>207</v>
      </c>
      <c r="E69" s="205">
        <f>E79</f>
        <v>575.04</v>
      </c>
      <c r="F69" s="213"/>
      <c r="G69" s="213"/>
      <c r="H69" s="214"/>
      <c r="I69" s="214"/>
      <c r="J69" s="214"/>
      <c r="K69" s="75">
        <f t="shared" si="13"/>
        <v>0</v>
      </c>
      <c r="L69" s="76">
        <f t="shared" si="14"/>
        <v>0</v>
      </c>
      <c r="M69" s="75">
        <f t="shared" si="15"/>
        <v>0</v>
      </c>
      <c r="N69" s="75">
        <f t="shared" si="16"/>
        <v>0</v>
      </c>
      <c r="O69" s="75">
        <f t="shared" si="17"/>
        <v>0</v>
      </c>
      <c r="P69" s="77">
        <f t="shared" si="18"/>
        <v>0</v>
      </c>
    </row>
    <row r="70" spans="1:16" s="61" customFormat="1" ht="15" x14ac:dyDescent="0.2">
      <c r="A70" s="208">
        <v>0</v>
      </c>
      <c r="B70" s="229">
        <v>0</v>
      </c>
      <c r="C70" s="289" t="s">
        <v>489</v>
      </c>
      <c r="D70" s="233" t="s">
        <v>207</v>
      </c>
      <c r="E70" s="205">
        <f>E69</f>
        <v>575.04</v>
      </c>
      <c r="F70" s="213"/>
      <c r="G70" s="213"/>
      <c r="H70" s="214"/>
      <c r="I70" s="214"/>
      <c r="J70" s="214"/>
      <c r="K70" s="75">
        <f t="shared" si="13"/>
        <v>0</v>
      </c>
      <c r="L70" s="76">
        <f t="shared" si="14"/>
        <v>0</v>
      </c>
      <c r="M70" s="75">
        <f t="shared" si="15"/>
        <v>0</v>
      </c>
      <c r="N70" s="75">
        <f t="shared" si="16"/>
        <v>0</v>
      </c>
      <c r="O70" s="75">
        <f t="shared" si="17"/>
        <v>0</v>
      </c>
      <c r="P70" s="77">
        <f t="shared" si="18"/>
        <v>0</v>
      </c>
    </row>
    <row r="71" spans="1:16" s="61" customFormat="1" ht="15" x14ac:dyDescent="0.2">
      <c r="A71" s="218">
        <v>24</v>
      </c>
      <c r="B71" s="250" t="s">
        <v>246</v>
      </c>
      <c r="C71" s="239" t="s">
        <v>490</v>
      </c>
      <c r="D71" s="211" t="s">
        <v>207</v>
      </c>
      <c r="E71" s="205">
        <f>E69</f>
        <v>575.04</v>
      </c>
      <c r="F71" s="148"/>
      <c r="G71" s="213"/>
      <c r="H71" s="217"/>
      <c r="I71" s="217"/>
      <c r="J71" s="217"/>
      <c r="K71" s="75">
        <f t="shared" si="13"/>
        <v>0</v>
      </c>
      <c r="L71" s="76">
        <f t="shared" si="14"/>
        <v>0</v>
      </c>
      <c r="M71" s="75">
        <f t="shared" si="15"/>
        <v>0</v>
      </c>
      <c r="N71" s="75">
        <f t="shared" si="16"/>
        <v>0</v>
      </c>
      <c r="O71" s="75">
        <f t="shared" si="17"/>
        <v>0</v>
      </c>
      <c r="P71" s="77">
        <f t="shared" si="18"/>
        <v>0</v>
      </c>
    </row>
    <row r="72" spans="1:16" s="61" customFormat="1" ht="15" x14ac:dyDescent="0.2">
      <c r="A72" s="218">
        <v>0</v>
      </c>
      <c r="B72" s="250">
        <v>0</v>
      </c>
      <c r="C72" s="215" t="s">
        <v>491</v>
      </c>
      <c r="D72" s="211" t="s">
        <v>207</v>
      </c>
      <c r="E72" s="205">
        <f>1.05*E71</f>
        <v>603.79200000000003</v>
      </c>
      <c r="F72" s="148"/>
      <c r="G72" s="148"/>
      <c r="H72" s="217"/>
      <c r="I72" s="217"/>
      <c r="J72" s="217"/>
      <c r="K72" s="75">
        <f t="shared" si="13"/>
        <v>0</v>
      </c>
      <c r="L72" s="76">
        <f t="shared" si="14"/>
        <v>0</v>
      </c>
      <c r="M72" s="75">
        <f t="shared" si="15"/>
        <v>0</v>
      </c>
      <c r="N72" s="75">
        <f t="shared" si="16"/>
        <v>0</v>
      </c>
      <c r="O72" s="75">
        <f t="shared" si="17"/>
        <v>0</v>
      </c>
      <c r="P72" s="77">
        <f t="shared" si="18"/>
        <v>0</v>
      </c>
    </row>
    <row r="73" spans="1:16" s="61" customFormat="1" x14ac:dyDescent="0.2">
      <c r="A73" s="218">
        <v>25</v>
      </c>
      <c r="B73" s="250" t="s">
        <v>404</v>
      </c>
      <c r="C73" s="263" t="s">
        <v>492</v>
      </c>
      <c r="D73" s="211" t="s">
        <v>207</v>
      </c>
      <c r="E73" s="205">
        <f>E79</f>
        <v>575.04</v>
      </c>
      <c r="F73" s="148"/>
      <c r="G73" s="213"/>
      <c r="H73" s="217"/>
      <c r="I73" s="217"/>
      <c r="J73" s="217"/>
      <c r="K73" s="75">
        <f t="shared" si="13"/>
        <v>0</v>
      </c>
      <c r="L73" s="76">
        <f t="shared" si="14"/>
        <v>0</v>
      </c>
      <c r="M73" s="75">
        <f t="shared" si="15"/>
        <v>0</v>
      </c>
      <c r="N73" s="75">
        <f t="shared" si="16"/>
        <v>0</v>
      </c>
      <c r="O73" s="75">
        <f t="shared" si="17"/>
        <v>0</v>
      </c>
      <c r="P73" s="77">
        <f t="shared" si="18"/>
        <v>0</v>
      </c>
    </row>
    <row r="74" spans="1:16" s="61" customFormat="1" ht="15" x14ac:dyDescent="0.2">
      <c r="A74" s="218">
        <v>0</v>
      </c>
      <c r="B74" s="250">
        <v>0</v>
      </c>
      <c r="C74" s="264" t="s">
        <v>493</v>
      </c>
      <c r="D74" s="211" t="s">
        <v>207</v>
      </c>
      <c r="E74" s="205">
        <f>1.1*E73</f>
        <v>632.54399999999998</v>
      </c>
      <c r="F74" s="148"/>
      <c r="G74" s="148"/>
      <c r="H74" s="217"/>
      <c r="I74" s="217"/>
      <c r="J74" s="217"/>
      <c r="K74" s="75">
        <f t="shared" si="13"/>
        <v>0</v>
      </c>
      <c r="L74" s="76">
        <f t="shared" si="14"/>
        <v>0</v>
      </c>
      <c r="M74" s="75">
        <f t="shared" si="15"/>
        <v>0</v>
      </c>
      <c r="N74" s="75">
        <f t="shared" si="16"/>
        <v>0</v>
      </c>
      <c r="O74" s="75">
        <f t="shared" si="17"/>
        <v>0</v>
      </c>
      <c r="P74" s="77">
        <f t="shared" si="18"/>
        <v>0</v>
      </c>
    </row>
    <row r="75" spans="1:16" s="61" customFormat="1" ht="25.5" x14ac:dyDescent="0.2">
      <c r="A75" s="218">
        <v>0</v>
      </c>
      <c r="B75" s="250">
        <v>0</v>
      </c>
      <c r="C75" s="241" t="s">
        <v>494</v>
      </c>
      <c r="D75" s="211" t="s">
        <v>73</v>
      </c>
      <c r="E75" s="205">
        <v>1</v>
      </c>
      <c r="F75" s="148"/>
      <c r="G75" s="148"/>
      <c r="H75" s="217"/>
      <c r="I75" s="217"/>
      <c r="J75" s="217"/>
      <c r="K75" s="75">
        <f t="shared" si="13"/>
        <v>0</v>
      </c>
      <c r="L75" s="76">
        <f t="shared" si="14"/>
        <v>0</v>
      </c>
      <c r="M75" s="75">
        <f t="shared" si="15"/>
        <v>0</v>
      </c>
      <c r="N75" s="75">
        <f t="shared" si="16"/>
        <v>0</v>
      </c>
      <c r="O75" s="75">
        <f t="shared" si="17"/>
        <v>0</v>
      </c>
      <c r="P75" s="77">
        <f t="shared" si="18"/>
        <v>0</v>
      </c>
    </row>
    <row r="76" spans="1:16" s="61" customFormat="1" x14ac:dyDescent="0.2">
      <c r="A76" s="218">
        <v>26</v>
      </c>
      <c r="B76" s="250" t="s">
        <v>404</v>
      </c>
      <c r="C76" s="263" t="s">
        <v>495</v>
      </c>
      <c r="D76" s="211" t="s">
        <v>115</v>
      </c>
      <c r="E76" s="205">
        <f>0.08*E79</f>
        <v>46.0032</v>
      </c>
      <c r="F76" s="148"/>
      <c r="G76" s="213"/>
      <c r="H76" s="217"/>
      <c r="I76" s="217"/>
      <c r="J76" s="217"/>
      <c r="K76" s="75">
        <f t="shared" si="13"/>
        <v>0</v>
      </c>
      <c r="L76" s="76">
        <f t="shared" si="14"/>
        <v>0</v>
      </c>
      <c r="M76" s="75">
        <f t="shared" si="15"/>
        <v>0</v>
      </c>
      <c r="N76" s="75">
        <f t="shared" si="16"/>
        <v>0</v>
      </c>
      <c r="O76" s="75">
        <f t="shared" si="17"/>
        <v>0</v>
      </c>
      <c r="P76" s="77">
        <f t="shared" si="18"/>
        <v>0</v>
      </c>
    </row>
    <row r="77" spans="1:16" s="61" customFormat="1" ht="15" x14ac:dyDescent="0.2">
      <c r="A77" s="218">
        <v>0</v>
      </c>
      <c r="B77" s="250">
        <v>0</v>
      </c>
      <c r="C77" s="215" t="s">
        <v>496</v>
      </c>
      <c r="D77" s="211" t="s">
        <v>115</v>
      </c>
      <c r="E77" s="205">
        <f>1.05*E76</f>
        <v>48.303360000000005</v>
      </c>
      <c r="F77" s="148"/>
      <c r="G77" s="148"/>
      <c r="H77" s="217"/>
      <c r="I77" s="217"/>
      <c r="J77" s="217"/>
      <c r="K77" s="75">
        <f t="shared" si="13"/>
        <v>0</v>
      </c>
      <c r="L77" s="76">
        <f t="shared" si="14"/>
        <v>0</v>
      </c>
      <c r="M77" s="75">
        <f t="shared" si="15"/>
        <v>0</v>
      </c>
      <c r="N77" s="75">
        <f t="shared" si="16"/>
        <v>0</v>
      </c>
      <c r="O77" s="75">
        <f t="shared" si="17"/>
        <v>0</v>
      </c>
      <c r="P77" s="77">
        <f t="shared" si="18"/>
        <v>0</v>
      </c>
    </row>
    <row r="78" spans="1:16" s="61" customFormat="1" x14ac:dyDescent="0.2">
      <c r="A78" s="218">
        <v>0</v>
      </c>
      <c r="B78" s="250">
        <v>0</v>
      </c>
      <c r="C78" s="216" t="s">
        <v>136</v>
      </c>
      <c r="D78" s="431" t="s">
        <v>137</v>
      </c>
      <c r="E78" s="205">
        <f>0.25*E76</f>
        <v>11.5008</v>
      </c>
      <c r="F78" s="148"/>
      <c r="G78" s="148"/>
      <c r="H78" s="217"/>
      <c r="I78" s="217"/>
      <c r="J78" s="217"/>
      <c r="K78" s="75">
        <f t="shared" si="13"/>
        <v>0</v>
      </c>
      <c r="L78" s="76">
        <f t="shared" si="14"/>
        <v>0</v>
      </c>
      <c r="M78" s="75">
        <f t="shared" si="15"/>
        <v>0</v>
      </c>
      <c r="N78" s="75">
        <f t="shared" si="16"/>
        <v>0</v>
      </c>
      <c r="O78" s="75">
        <f t="shared" si="17"/>
        <v>0</v>
      </c>
      <c r="P78" s="77">
        <f t="shared" si="18"/>
        <v>0</v>
      </c>
    </row>
    <row r="79" spans="1:16" s="61" customFormat="1" ht="15" x14ac:dyDescent="0.2">
      <c r="A79" s="208">
        <v>27</v>
      </c>
      <c r="B79" s="229" t="s">
        <v>229</v>
      </c>
      <c r="C79" s="236" t="s">
        <v>488</v>
      </c>
      <c r="D79" s="233" t="s">
        <v>207</v>
      </c>
      <c r="E79" s="205">
        <v>575.04</v>
      </c>
      <c r="F79" s="213"/>
      <c r="G79" s="213"/>
      <c r="H79" s="214"/>
      <c r="I79" s="214"/>
      <c r="J79" s="214"/>
      <c r="K79" s="75">
        <f t="shared" si="13"/>
        <v>0</v>
      </c>
      <c r="L79" s="76">
        <f t="shared" si="14"/>
        <v>0</v>
      </c>
      <c r="M79" s="75">
        <f t="shared" si="15"/>
        <v>0</v>
      </c>
      <c r="N79" s="75">
        <f t="shared" si="16"/>
        <v>0</v>
      </c>
      <c r="O79" s="75">
        <f t="shared" si="17"/>
        <v>0</v>
      </c>
      <c r="P79" s="77">
        <f t="shared" si="18"/>
        <v>0</v>
      </c>
    </row>
    <row r="80" spans="1:16" s="61" customFormat="1" ht="15" x14ac:dyDescent="0.2">
      <c r="A80" s="208">
        <v>0</v>
      </c>
      <c r="B80" s="229">
        <v>0</v>
      </c>
      <c r="C80" s="289" t="s">
        <v>497</v>
      </c>
      <c r="D80" s="233" t="s">
        <v>207</v>
      </c>
      <c r="E80" s="205">
        <f>E79</f>
        <v>575.04</v>
      </c>
      <c r="F80" s="213"/>
      <c r="G80" s="213"/>
      <c r="H80" s="214"/>
      <c r="I80" s="214"/>
      <c r="J80" s="214"/>
      <c r="K80" s="75">
        <f t="shared" si="13"/>
        <v>0</v>
      </c>
      <c r="L80" s="76">
        <f t="shared" si="14"/>
        <v>0</v>
      </c>
      <c r="M80" s="75">
        <f t="shared" si="15"/>
        <v>0</v>
      </c>
      <c r="N80" s="75">
        <f t="shared" si="16"/>
        <v>0</v>
      </c>
      <c r="O80" s="75">
        <f t="shared" si="17"/>
        <v>0</v>
      </c>
      <c r="P80" s="77">
        <f t="shared" si="18"/>
        <v>0</v>
      </c>
    </row>
    <row r="81" spans="1:16" s="61" customFormat="1" x14ac:dyDescent="0.2">
      <c r="A81" s="202">
        <v>0</v>
      </c>
      <c r="B81" s="144"/>
      <c r="C81" s="207" t="s">
        <v>504</v>
      </c>
      <c r="D81" s="204"/>
      <c r="E81" s="205"/>
      <c r="F81" s="148"/>
      <c r="G81" s="148"/>
      <c r="H81" s="217"/>
      <c r="I81" s="217"/>
      <c r="J81" s="217"/>
      <c r="K81" s="75">
        <f t="shared" ref="K81:K159" si="19">SUM(H81:J81)</f>
        <v>0</v>
      </c>
      <c r="L81" s="76">
        <f t="shared" ref="L81:L159" si="20">ROUND(F81*E81,2)</f>
        <v>0</v>
      </c>
      <c r="M81" s="75">
        <f t="shared" ref="M81:M159" si="21">ROUND(H81*E81,2)</f>
        <v>0</v>
      </c>
      <c r="N81" s="75">
        <f t="shared" ref="N81:N159" si="22">ROUND(I81*E81,2)</f>
        <v>0</v>
      </c>
      <c r="O81" s="75">
        <f t="shared" ref="O81:O159" si="23">ROUND(J81*E81,2)</f>
        <v>0</v>
      </c>
      <c r="P81" s="77">
        <f t="shared" ref="P81:P159" si="24">SUM(M81:O81)</f>
        <v>0</v>
      </c>
    </row>
    <row r="82" spans="1:16" s="61" customFormat="1" ht="30" x14ac:dyDescent="0.2">
      <c r="A82" s="218">
        <v>28</v>
      </c>
      <c r="B82" s="250" t="s">
        <v>441</v>
      </c>
      <c r="C82" s="239" t="s">
        <v>484</v>
      </c>
      <c r="D82" s="211" t="s">
        <v>115</v>
      </c>
      <c r="E82" s="205">
        <f>0.05*E90</f>
        <v>8.35</v>
      </c>
      <c r="F82" s="148"/>
      <c r="G82" s="213"/>
      <c r="H82" s="217"/>
      <c r="I82" s="217"/>
      <c r="J82" s="217"/>
      <c r="K82" s="75">
        <f t="shared" si="19"/>
        <v>0</v>
      </c>
      <c r="L82" s="76">
        <f t="shared" si="20"/>
        <v>0</v>
      </c>
      <c r="M82" s="75">
        <f t="shared" si="21"/>
        <v>0</v>
      </c>
      <c r="N82" s="75">
        <f t="shared" si="22"/>
        <v>0</v>
      </c>
      <c r="O82" s="75">
        <f t="shared" si="23"/>
        <v>0</v>
      </c>
      <c r="P82" s="77">
        <f t="shared" si="24"/>
        <v>0</v>
      </c>
    </row>
    <row r="83" spans="1:16" s="61" customFormat="1" ht="15" x14ac:dyDescent="0.2">
      <c r="A83" s="218">
        <v>0</v>
      </c>
      <c r="B83" s="250">
        <v>0</v>
      </c>
      <c r="C83" s="264" t="s">
        <v>485</v>
      </c>
      <c r="D83" s="211" t="s">
        <v>115</v>
      </c>
      <c r="E83" s="205">
        <f>1.1*E82</f>
        <v>9.1850000000000005</v>
      </c>
      <c r="F83" s="148"/>
      <c r="G83" s="148"/>
      <c r="H83" s="217"/>
      <c r="I83" s="217"/>
      <c r="J83" s="217"/>
      <c r="K83" s="75">
        <f t="shared" si="19"/>
        <v>0</v>
      </c>
      <c r="L83" s="76">
        <f t="shared" si="20"/>
        <v>0</v>
      </c>
      <c r="M83" s="75">
        <f t="shared" si="21"/>
        <v>0</v>
      </c>
      <c r="N83" s="75">
        <f t="shared" si="22"/>
        <v>0</v>
      </c>
      <c r="O83" s="75">
        <f t="shared" si="23"/>
        <v>0</v>
      </c>
      <c r="P83" s="77">
        <f t="shared" si="24"/>
        <v>0</v>
      </c>
    </row>
    <row r="84" spans="1:16" s="61" customFormat="1" x14ac:dyDescent="0.2">
      <c r="A84" s="218">
        <v>29</v>
      </c>
      <c r="B84" s="250" t="s">
        <v>441</v>
      </c>
      <c r="C84" s="263" t="s">
        <v>486</v>
      </c>
      <c r="D84" s="211" t="s">
        <v>115</v>
      </c>
      <c r="E84" s="205">
        <f>0.15*E90</f>
        <v>25.05</v>
      </c>
      <c r="F84" s="148"/>
      <c r="G84" s="213"/>
      <c r="H84" s="217"/>
      <c r="I84" s="217"/>
      <c r="J84" s="217"/>
      <c r="K84" s="75">
        <f t="shared" si="19"/>
        <v>0</v>
      </c>
      <c r="L84" s="76">
        <f t="shared" si="20"/>
        <v>0</v>
      </c>
      <c r="M84" s="75">
        <f t="shared" si="21"/>
        <v>0</v>
      </c>
      <c r="N84" s="75">
        <f t="shared" si="22"/>
        <v>0</v>
      </c>
      <c r="O84" s="75">
        <f t="shared" si="23"/>
        <v>0</v>
      </c>
      <c r="P84" s="77">
        <f t="shared" si="24"/>
        <v>0</v>
      </c>
    </row>
    <row r="85" spans="1:16" s="61" customFormat="1" x14ac:dyDescent="0.2">
      <c r="A85" s="218">
        <v>0</v>
      </c>
      <c r="B85" s="250">
        <v>0</v>
      </c>
      <c r="C85" s="241" t="s">
        <v>487</v>
      </c>
      <c r="D85" s="211" t="s">
        <v>115</v>
      </c>
      <c r="E85" s="205">
        <f>1.1*E84</f>
        <v>27.555000000000003</v>
      </c>
      <c r="F85" s="148"/>
      <c r="G85" s="148"/>
      <c r="H85" s="217"/>
      <c r="I85" s="217"/>
      <c r="J85" s="217"/>
      <c r="K85" s="75">
        <f t="shared" si="19"/>
        <v>0</v>
      </c>
      <c r="L85" s="76">
        <f t="shared" si="20"/>
        <v>0</v>
      </c>
      <c r="M85" s="75">
        <f t="shared" si="21"/>
        <v>0</v>
      </c>
      <c r="N85" s="75">
        <f t="shared" si="22"/>
        <v>0</v>
      </c>
      <c r="O85" s="75">
        <f t="shared" si="23"/>
        <v>0</v>
      </c>
      <c r="P85" s="77">
        <f t="shared" si="24"/>
        <v>0</v>
      </c>
    </row>
    <row r="86" spans="1:16" s="61" customFormat="1" ht="15" x14ac:dyDescent="0.2">
      <c r="A86" s="208">
        <v>30</v>
      </c>
      <c r="B86" s="229" t="s">
        <v>229</v>
      </c>
      <c r="C86" s="236" t="s">
        <v>488</v>
      </c>
      <c r="D86" s="233" t="s">
        <v>207</v>
      </c>
      <c r="E86" s="205">
        <f>E90</f>
        <v>167</v>
      </c>
      <c r="F86" s="213"/>
      <c r="G86" s="213"/>
      <c r="H86" s="214"/>
      <c r="I86" s="214"/>
      <c r="J86" s="214"/>
      <c r="K86" s="75">
        <f t="shared" si="19"/>
        <v>0</v>
      </c>
      <c r="L86" s="76">
        <f t="shared" si="20"/>
        <v>0</v>
      </c>
      <c r="M86" s="75">
        <f t="shared" si="21"/>
        <v>0</v>
      </c>
      <c r="N86" s="75">
        <f t="shared" si="22"/>
        <v>0</v>
      </c>
      <c r="O86" s="75">
        <f t="shared" si="23"/>
        <v>0</v>
      </c>
      <c r="P86" s="77">
        <f t="shared" si="24"/>
        <v>0</v>
      </c>
    </row>
    <row r="87" spans="1:16" s="61" customFormat="1" ht="15" x14ac:dyDescent="0.2">
      <c r="A87" s="208">
        <v>0</v>
      </c>
      <c r="B87" s="229">
        <v>0</v>
      </c>
      <c r="C87" s="289" t="s">
        <v>489</v>
      </c>
      <c r="D87" s="233" t="s">
        <v>207</v>
      </c>
      <c r="E87" s="205">
        <f>E86</f>
        <v>167</v>
      </c>
      <c r="F87" s="213"/>
      <c r="G87" s="213"/>
      <c r="H87" s="214"/>
      <c r="I87" s="214"/>
      <c r="J87" s="214"/>
      <c r="K87" s="75">
        <f t="shared" si="19"/>
        <v>0</v>
      </c>
      <c r="L87" s="76">
        <f t="shared" si="20"/>
        <v>0</v>
      </c>
      <c r="M87" s="75">
        <f t="shared" si="21"/>
        <v>0</v>
      </c>
      <c r="N87" s="75">
        <f t="shared" si="22"/>
        <v>0</v>
      </c>
      <c r="O87" s="75">
        <f t="shared" si="23"/>
        <v>0</v>
      </c>
      <c r="P87" s="77">
        <f t="shared" si="24"/>
        <v>0</v>
      </c>
    </row>
    <row r="88" spans="1:16" s="61" customFormat="1" ht="15" x14ac:dyDescent="0.2">
      <c r="A88" s="218">
        <v>31</v>
      </c>
      <c r="B88" s="250" t="s">
        <v>246</v>
      </c>
      <c r="C88" s="239" t="s">
        <v>490</v>
      </c>
      <c r="D88" s="211" t="s">
        <v>207</v>
      </c>
      <c r="E88" s="205">
        <f>E86</f>
        <v>167</v>
      </c>
      <c r="F88" s="148"/>
      <c r="G88" s="213"/>
      <c r="H88" s="217"/>
      <c r="I88" s="217"/>
      <c r="J88" s="217"/>
      <c r="K88" s="75">
        <f t="shared" si="19"/>
        <v>0</v>
      </c>
      <c r="L88" s="76">
        <f t="shared" si="20"/>
        <v>0</v>
      </c>
      <c r="M88" s="75">
        <f t="shared" si="21"/>
        <v>0</v>
      </c>
      <c r="N88" s="75">
        <f t="shared" si="22"/>
        <v>0</v>
      </c>
      <c r="O88" s="75">
        <f t="shared" si="23"/>
        <v>0</v>
      </c>
      <c r="P88" s="77">
        <f t="shared" si="24"/>
        <v>0</v>
      </c>
    </row>
    <row r="89" spans="1:16" s="61" customFormat="1" ht="15" x14ac:dyDescent="0.2">
      <c r="A89" s="218">
        <v>0</v>
      </c>
      <c r="B89" s="250">
        <v>0</v>
      </c>
      <c r="C89" s="215" t="s">
        <v>491</v>
      </c>
      <c r="D89" s="211" t="s">
        <v>207</v>
      </c>
      <c r="E89" s="205">
        <f>1.05*E88</f>
        <v>175.35</v>
      </c>
      <c r="F89" s="148"/>
      <c r="G89" s="148"/>
      <c r="H89" s="217"/>
      <c r="I89" s="217"/>
      <c r="J89" s="217"/>
      <c r="K89" s="75">
        <f t="shared" si="19"/>
        <v>0</v>
      </c>
      <c r="L89" s="76">
        <f t="shared" si="20"/>
        <v>0</v>
      </c>
      <c r="M89" s="75">
        <f t="shared" si="21"/>
        <v>0</v>
      </c>
      <c r="N89" s="75">
        <f t="shared" si="22"/>
        <v>0</v>
      </c>
      <c r="O89" s="75">
        <f t="shared" si="23"/>
        <v>0</v>
      </c>
      <c r="P89" s="77">
        <f t="shared" si="24"/>
        <v>0</v>
      </c>
    </row>
    <row r="90" spans="1:16" s="61" customFormat="1" x14ac:dyDescent="0.2">
      <c r="A90" s="218">
        <v>32</v>
      </c>
      <c r="B90" s="250" t="s">
        <v>404</v>
      </c>
      <c r="C90" s="263" t="s">
        <v>492</v>
      </c>
      <c r="D90" s="211" t="s">
        <v>207</v>
      </c>
      <c r="E90" s="205">
        <v>167</v>
      </c>
      <c r="F90" s="148"/>
      <c r="G90" s="213"/>
      <c r="H90" s="217"/>
      <c r="I90" s="217"/>
      <c r="J90" s="217"/>
      <c r="K90" s="75">
        <f t="shared" si="19"/>
        <v>0</v>
      </c>
      <c r="L90" s="76">
        <f t="shared" si="20"/>
        <v>0</v>
      </c>
      <c r="M90" s="75">
        <f t="shared" si="21"/>
        <v>0</v>
      </c>
      <c r="N90" s="75">
        <f t="shared" si="22"/>
        <v>0</v>
      </c>
      <c r="O90" s="75">
        <f t="shared" si="23"/>
        <v>0</v>
      </c>
      <c r="P90" s="77">
        <f t="shared" si="24"/>
        <v>0</v>
      </c>
    </row>
    <row r="91" spans="1:16" s="61" customFormat="1" ht="15" x14ac:dyDescent="0.2">
      <c r="A91" s="218">
        <v>0</v>
      </c>
      <c r="B91" s="250">
        <v>0</v>
      </c>
      <c r="C91" s="264" t="s">
        <v>493</v>
      </c>
      <c r="D91" s="211" t="s">
        <v>207</v>
      </c>
      <c r="E91" s="205">
        <f>1.1*E90</f>
        <v>183.70000000000002</v>
      </c>
      <c r="F91" s="148"/>
      <c r="G91" s="148"/>
      <c r="H91" s="217"/>
      <c r="I91" s="217"/>
      <c r="J91" s="217"/>
      <c r="K91" s="75">
        <f t="shared" si="19"/>
        <v>0</v>
      </c>
      <c r="L91" s="76">
        <f t="shared" si="20"/>
        <v>0</v>
      </c>
      <c r="M91" s="75">
        <f t="shared" si="21"/>
        <v>0</v>
      </c>
      <c r="N91" s="75">
        <f t="shared" si="22"/>
        <v>0</v>
      </c>
      <c r="O91" s="75">
        <f t="shared" si="23"/>
        <v>0</v>
      </c>
      <c r="P91" s="77">
        <f t="shared" si="24"/>
        <v>0</v>
      </c>
    </row>
    <row r="92" spans="1:16" s="61" customFormat="1" ht="25.5" x14ac:dyDescent="0.2">
      <c r="A92" s="218">
        <v>0</v>
      </c>
      <c r="B92" s="250">
        <v>0</v>
      </c>
      <c r="C92" s="241" t="s">
        <v>494</v>
      </c>
      <c r="D92" s="211" t="s">
        <v>73</v>
      </c>
      <c r="E92" s="205">
        <v>1</v>
      </c>
      <c r="F92" s="148"/>
      <c r="G92" s="148"/>
      <c r="H92" s="217"/>
      <c r="I92" s="217"/>
      <c r="J92" s="217"/>
      <c r="K92" s="75">
        <f t="shared" si="19"/>
        <v>0</v>
      </c>
      <c r="L92" s="76">
        <f t="shared" si="20"/>
        <v>0</v>
      </c>
      <c r="M92" s="75">
        <f t="shared" si="21"/>
        <v>0</v>
      </c>
      <c r="N92" s="75">
        <f t="shared" si="22"/>
        <v>0</v>
      </c>
      <c r="O92" s="75">
        <f t="shared" si="23"/>
        <v>0</v>
      </c>
      <c r="P92" s="77">
        <f t="shared" si="24"/>
        <v>0</v>
      </c>
    </row>
    <row r="93" spans="1:16" s="61" customFormat="1" x14ac:dyDescent="0.2">
      <c r="A93" s="218">
        <v>33</v>
      </c>
      <c r="B93" s="250" t="s">
        <v>404</v>
      </c>
      <c r="C93" s="263" t="s">
        <v>495</v>
      </c>
      <c r="D93" s="211" t="s">
        <v>115</v>
      </c>
      <c r="E93" s="205">
        <f>0.08*E90</f>
        <v>13.36</v>
      </c>
      <c r="F93" s="148"/>
      <c r="G93" s="213"/>
      <c r="H93" s="217"/>
      <c r="I93" s="217"/>
      <c r="J93" s="217"/>
      <c r="K93" s="75">
        <f t="shared" si="19"/>
        <v>0</v>
      </c>
      <c r="L93" s="76">
        <f t="shared" si="20"/>
        <v>0</v>
      </c>
      <c r="M93" s="75">
        <f t="shared" si="21"/>
        <v>0</v>
      </c>
      <c r="N93" s="75">
        <f t="shared" si="22"/>
        <v>0</v>
      </c>
      <c r="O93" s="75">
        <f t="shared" si="23"/>
        <v>0</v>
      </c>
      <c r="P93" s="77">
        <f t="shared" si="24"/>
        <v>0</v>
      </c>
    </row>
    <row r="94" spans="1:16" s="61" customFormat="1" ht="15" x14ac:dyDescent="0.2">
      <c r="A94" s="218">
        <v>0</v>
      </c>
      <c r="B94" s="250">
        <v>0</v>
      </c>
      <c r="C94" s="215" t="s">
        <v>496</v>
      </c>
      <c r="D94" s="211" t="s">
        <v>115</v>
      </c>
      <c r="E94" s="205">
        <f>1.05*E93</f>
        <v>14.028</v>
      </c>
      <c r="F94" s="148"/>
      <c r="G94" s="148"/>
      <c r="H94" s="217"/>
      <c r="I94" s="217"/>
      <c r="J94" s="217"/>
      <c r="K94" s="75">
        <f t="shared" si="19"/>
        <v>0</v>
      </c>
      <c r="L94" s="76">
        <f t="shared" si="20"/>
        <v>0</v>
      </c>
      <c r="M94" s="75">
        <f t="shared" si="21"/>
        <v>0</v>
      </c>
      <c r="N94" s="75">
        <f t="shared" si="22"/>
        <v>0</v>
      </c>
      <c r="O94" s="75">
        <f t="shared" si="23"/>
        <v>0</v>
      </c>
      <c r="P94" s="77">
        <f t="shared" si="24"/>
        <v>0</v>
      </c>
    </row>
    <row r="95" spans="1:16" s="61" customFormat="1" x14ac:dyDescent="0.2">
      <c r="A95" s="218">
        <v>0</v>
      </c>
      <c r="B95" s="250">
        <v>0</v>
      </c>
      <c r="C95" s="216" t="s">
        <v>136</v>
      </c>
      <c r="D95" s="431" t="s">
        <v>137</v>
      </c>
      <c r="E95" s="205">
        <f>0.25*E93</f>
        <v>3.34</v>
      </c>
      <c r="F95" s="148"/>
      <c r="G95" s="148"/>
      <c r="H95" s="217"/>
      <c r="I95" s="217"/>
      <c r="J95" s="217"/>
      <c r="K95" s="75">
        <f t="shared" si="19"/>
        <v>0</v>
      </c>
      <c r="L95" s="76">
        <f t="shared" si="20"/>
        <v>0</v>
      </c>
      <c r="M95" s="75">
        <f t="shared" si="21"/>
        <v>0</v>
      </c>
      <c r="N95" s="75">
        <f t="shared" si="22"/>
        <v>0</v>
      </c>
      <c r="O95" s="75">
        <f t="shared" si="23"/>
        <v>0</v>
      </c>
      <c r="P95" s="77">
        <f t="shared" si="24"/>
        <v>0</v>
      </c>
    </row>
    <row r="96" spans="1:16" s="61" customFormat="1" x14ac:dyDescent="0.2">
      <c r="A96" s="426">
        <v>0</v>
      </c>
      <c r="B96" s="427"/>
      <c r="C96" s="428" t="s">
        <v>788</v>
      </c>
      <c r="D96" s="429"/>
      <c r="E96" s="425"/>
      <c r="F96" s="148"/>
      <c r="G96" s="148"/>
      <c r="H96" s="217"/>
      <c r="I96" s="217"/>
      <c r="J96" s="217"/>
      <c r="K96" s="324"/>
      <c r="L96" s="74"/>
      <c r="M96" s="324"/>
      <c r="N96" s="324"/>
      <c r="O96" s="324"/>
      <c r="P96" s="325"/>
    </row>
    <row r="97" spans="1:16" s="61" customFormat="1" ht="30" x14ac:dyDescent="0.2">
      <c r="A97" s="421">
        <v>33.1</v>
      </c>
      <c r="B97" s="422" t="s">
        <v>441</v>
      </c>
      <c r="C97" s="430" t="s">
        <v>484</v>
      </c>
      <c r="D97" s="431" t="s">
        <v>115</v>
      </c>
      <c r="E97" s="425">
        <f>0.05*E103</f>
        <v>10.4</v>
      </c>
      <c r="F97" s="148"/>
      <c r="G97" s="148"/>
      <c r="H97" s="217"/>
      <c r="I97" s="217"/>
      <c r="J97" s="217"/>
      <c r="K97" s="324"/>
      <c r="L97" s="74"/>
      <c r="M97" s="324"/>
      <c r="N97" s="324"/>
      <c r="O97" s="324"/>
      <c r="P97" s="325"/>
    </row>
    <row r="98" spans="1:16" s="61" customFormat="1" ht="15" x14ac:dyDescent="0.2">
      <c r="A98" s="421">
        <v>0</v>
      </c>
      <c r="B98" s="422">
        <v>0</v>
      </c>
      <c r="C98" s="432" t="s">
        <v>485</v>
      </c>
      <c r="D98" s="431" t="s">
        <v>115</v>
      </c>
      <c r="E98" s="425">
        <f>1.1*E97</f>
        <v>11.440000000000001</v>
      </c>
      <c r="F98" s="148"/>
      <c r="G98" s="148"/>
      <c r="H98" s="217"/>
      <c r="I98" s="217"/>
      <c r="J98" s="217"/>
      <c r="K98" s="324"/>
      <c r="L98" s="74"/>
      <c r="M98" s="324"/>
      <c r="N98" s="324"/>
      <c r="O98" s="324"/>
      <c r="P98" s="325"/>
    </row>
    <row r="99" spans="1:16" s="61" customFormat="1" x14ac:dyDescent="0.2">
      <c r="A99" s="421">
        <v>33.200000000000003</v>
      </c>
      <c r="B99" s="422" t="s">
        <v>441</v>
      </c>
      <c r="C99" s="433" t="s">
        <v>486</v>
      </c>
      <c r="D99" s="431" t="s">
        <v>115</v>
      </c>
      <c r="E99" s="425">
        <f>0.15*E103</f>
        <v>31.2</v>
      </c>
      <c r="F99" s="148"/>
      <c r="G99" s="148"/>
      <c r="H99" s="217"/>
      <c r="I99" s="217"/>
      <c r="J99" s="217"/>
      <c r="K99" s="324"/>
      <c r="L99" s="74"/>
      <c r="M99" s="324"/>
      <c r="N99" s="324"/>
      <c r="O99" s="324"/>
      <c r="P99" s="325"/>
    </row>
    <row r="100" spans="1:16" s="61" customFormat="1" x14ac:dyDescent="0.2">
      <c r="A100" s="421">
        <v>0</v>
      </c>
      <c r="B100" s="422">
        <v>0</v>
      </c>
      <c r="C100" s="434" t="s">
        <v>487</v>
      </c>
      <c r="D100" s="431" t="s">
        <v>115</v>
      </c>
      <c r="E100" s="425">
        <f>1.1*E99</f>
        <v>34.32</v>
      </c>
      <c r="F100" s="148"/>
      <c r="G100" s="148"/>
      <c r="H100" s="217"/>
      <c r="I100" s="217"/>
      <c r="J100" s="217"/>
      <c r="K100" s="324"/>
      <c r="L100" s="74"/>
      <c r="M100" s="324"/>
      <c r="N100" s="324"/>
      <c r="O100" s="324"/>
      <c r="P100" s="325"/>
    </row>
    <row r="101" spans="1:16" s="61" customFormat="1" x14ac:dyDescent="0.2">
      <c r="A101" s="421">
        <v>33.299999999999997</v>
      </c>
      <c r="B101" s="435" t="s">
        <v>229</v>
      </c>
      <c r="C101" s="423" t="s">
        <v>488</v>
      </c>
      <c r="D101" s="436" t="s">
        <v>207</v>
      </c>
      <c r="E101" s="425">
        <f>E105</f>
        <v>208</v>
      </c>
      <c r="F101" s="148"/>
      <c r="G101" s="148"/>
      <c r="H101" s="217"/>
      <c r="I101" s="217"/>
      <c r="J101" s="217"/>
      <c r="K101" s="324"/>
      <c r="L101" s="74"/>
      <c r="M101" s="324"/>
      <c r="N101" s="324"/>
      <c r="O101" s="324"/>
      <c r="P101" s="325"/>
    </row>
    <row r="102" spans="1:16" s="61" customFormat="1" x14ac:dyDescent="0.2">
      <c r="A102" s="421">
        <v>0</v>
      </c>
      <c r="B102" s="435">
        <v>0</v>
      </c>
      <c r="C102" s="437" t="s">
        <v>789</v>
      </c>
      <c r="D102" s="436" t="s">
        <v>207</v>
      </c>
      <c r="E102" s="425">
        <f>E101*1.1</f>
        <v>228.8</v>
      </c>
      <c r="F102" s="148"/>
      <c r="G102" s="148"/>
      <c r="H102" s="217"/>
      <c r="I102" s="217"/>
      <c r="J102" s="217"/>
      <c r="K102" s="324"/>
      <c r="L102" s="74"/>
      <c r="M102" s="324"/>
      <c r="N102" s="324"/>
      <c r="O102" s="324"/>
      <c r="P102" s="325"/>
    </row>
    <row r="103" spans="1:16" s="61" customFormat="1" x14ac:dyDescent="0.2">
      <c r="A103" s="421">
        <v>33.4</v>
      </c>
      <c r="B103" s="438" t="s">
        <v>246</v>
      </c>
      <c r="C103" s="423" t="s">
        <v>790</v>
      </c>
      <c r="D103" s="431" t="s">
        <v>207</v>
      </c>
      <c r="E103" s="425">
        <f>E101</f>
        <v>208</v>
      </c>
      <c r="F103" s="148"/>
      <c r="G103" s="148"/>
      <c r="H103" s="217"/>
      <c r="I103" s="217"/>
      <c r="J103" s="217"/>
      <c r="K103" s="324"/>
      <c r="L103" s="74"/>
      <c r="M103" s="324"/>
      <c r="N103" s="324"/>
      <c r="O103" s="324"/>
      <c r="P103" s="325"/>
    </row>
    <row r="104" spans="1:16" s="61" customFormat="1" x14ac:dyDescent="0.2">
      <c r="A104" s="421">
        <v>0</v>
      </c>
      <c r="B104" s="438">
        <v>0</v>
      </c>
      <c r="C104" s="437" t="s">
        <v>791</v>
      </c>
      <c r="D104" s="431" t="s">
        <v>207</v>
      </c>
      <c r="E104" s="425">
        <f>1.05*E103</f>
        <v>218.4</v>
      </c>
      <c r="F104" s="148"/>
      <c r="G104" s="148"/>
      <c r="H104" s="217"/>
      <c r="I104" s="217"/>
      <c r="J104" s="217"/>
      <c r="K104" s="324"/>
      <c r="L104" s="74"/>
      <c r="M104" s="324"/>
      <c r="N104" s="324"/>
      <c r="O104" s="324"/>
      <c r="P104" s="325"/>
    </row>
    <row r="105" spans="1:16" s="61" customFormat="1" x14ac:dyDescent="0.2">
      <c r="A105" s="421">
        <v>33.5</v>
      </c>
      <c r="B105" s="438" t="s">
        <v>404</v>
      </c>
      <c r="C105" s="433" t="s">
        <v>492</v>
      </c>
      <c r="D105" s="431" t="s">
        <v>207</v>
      </c>
      <c r="E105" s="425">
        <v>208</v>
      </c>
      <c r="F105" s="148"/>
      <c r="G105" s="148"/>
      <c r="H105" s="217"/>
      <c r="I105" s="217"/>
      <c r="J105" s="217"/>
      <c r="K105" s="324"/>
      <c r="L105" s="74"/>
      <c r="M105" s="324"/>
      <c r="N105" s="324"/>
      <c r="O105" s="324"/>
      <c r="P105" s="325"/>
    </row>
    <row r="106" spans="1:16" s="61" customFormat="1" x14ac:dyDescent="0.2">
      <c r="A106" s="421">
        <v>0</v>
      </c>
      <c r="B106" s="438">
        <v>0</v>
      </c>
      <c r="C106" s="437" t="s">
        <v>792</v>
      </c>
      <c r="D106" s="431" t="s">
        <v>207</v>
      </c>
      <c r="E106" s="425">
        <f>1.1*E105</f>
        <v>228.8</v>
      </c>
      <c r="F106" s="148"/>
      <c r="G106" s="148"/>
      <c r="H106" s="217"/>
      <c r="I106" s="217"/>
      <c r="J106" s="217"/>
      <c r="K106" s="324"/>
      <c r="L106" s="74"/>
      <c r="M106" s="324"/>
      <c r="N106" s="324"/>
      <c r="O106" s="324"/>
      <c r="P106" s="325"/>
    </row>
    <row r="107" spans="1:16" s="61" customFormat="1" ht="25.5" x14ac:dyDescent="0.2">
      <c r="A107" s="421">
        <v>0</v>
      </c>
      <c r="B107" s="438">
        <v>0</v>
      </c>
      <c r="C107" s="434" t="s">
        <v>494</v>
      </c>
      <c r="D107" s="431" t="s">
        <v>73</v>
      </c>
      <c r="E107" s="425">
        <v>1</v>
      </c>
      <c r="F107" s="148"/>
      <c r="G107" s="148"/>
      <c r="H107" s="217"/>
      <c r="I107" s="217"/>
      <c r="J107" s="217"/>
      <c r="K107" s="324"/>
      <c r="L107" s="74"/>
      <c r="M107" s="324"/>
      <c r="N107" s="324"/>
      <c r="O107" s="324"/>
      <c r="P107" s="325"/>
    </row>
    <row r="108" spans="1:16" s="61" customFormat="1" x14ac:dyDescent="0.2">
      <c r="A108" s="421">
        <v>33.6</v>
      </c>
      <c r="B108" s="438" t="s">
        <v>404</v>
      </c>
      <c r="C108" s="433" t="s">
        <v>793</v>
      </c>
      <c r="D108" s="431" t="s">
        <v>115</v>
      </c>
      <c r="E108" s="425">
        <f>0.15*E105</f>
        <v>31.2</v>
      </c>
      <c r="F108" s="148"/>
      <c r="G108" s="148"/>
      <c r="H108" s="217"/>
      <c r="I108" s="217"/>
      <c r="J108" s="217"/>
      <c r="K108" s="324"/>
      <c r="L108" s="74"/>
      <c r="M108" s="324"/>
      <c r="N108" s="324"/>
      <c r="O108" s="324"/>
      <c r="P108" s="325"/>
    </row>
    <row r="109" spans="1:16" s="61" customFormat="1" x14ac:dyDescent="0.2">
      <c r="A109" s="421">
        <v>0</v>
      </c>
      <c r="B109" s="438">
        <v>0</v>
      </c>
      <c r="C109" s="437" t="s">
        <v>496</v>
      </c>
      <c r="D109" s="431" t="s">
        <v>115</v>
      </c>
      <c r="E109" s="425">
        <f>1.05*E108</f>
        <v>32.76</v>
      </c>
      <c r="F109" s="148"/>
      <c r="G109" s="148"/>
      <c r="H109" s="217"/>
      <c r="I109" s="217"/>
      <c r="J109" s="217"/>
      <c r="K109" s="324"/>
      <c r="L109" s="74"/>
      <c r="M109" s="324"/>
      <c r="N109" s="324"/>
      <c r="O109" s="324"/>
      <c r="P109" s="325"/>
    </row>
    <row r="110" spans="1:16" s="61" customFormat="1" x14ac:dyDescent="0.2">
      <c r="A110" s="421">
        <v>0</v>
      </c>
      <c r="B110" s="438">
        <v>0</v>
      </c>
      <c r="C110" s="434" t="s">
        <v>136</v>
      </c>
      <c r="D110" s="431" t="s">
        <v>137</v>
      </c>
      <c r="E110" s="425">
        <f>0.25*E108</f>
        <v>7.8</v>
      </c>
      <c r="F110" s="148"/>
      <c r="G110" s="148"/>
      <c r="H110" s="217"/>
      <c r="I110" s="217"/>
      <c r="J110" s="217"/>
      <c r="K110" s="324"/>
      <c r="L110" s="74"/>
      <c r="M110" s="324"/>
      <c r="N110" s="324"/>
      <c r="O110" s="324"/>
      <c r="P110" s="325"/>
    </row>
    <row r="111" spans="1:16" s="61" customFormat="1" x14ac:dyDescent="0.2">
      <c r="A111" s="202">
        <v>0</v>
      </c>
      <c r="B111" s="144"/>
      <c r="C111" s="207" t="s">
        <v>505</v>
      </c>
      <c r="D111" s="204"/>
      <c r="E111" s="205"/>
      <c r="F111" s="148"/>
      <c r="G111" s="148"/>
      <c r="H111" s="217"/>
      <c r="I111" s="217"/>
      <c r="J111" s="217"/>
      <c r="K111" s="75">
        <f t="shared" si="19"/>
        <v>0</v>
      </c>
      <c r="L111" s="76">
        <f t="shared" si="20"/>
        <v>0</v>
      </c>
      <c r="M111" s="75">
        <f t="shared" si="21"/>
        <v>0</v>
      </c>
      <c r="N111" s="75">
        <f t="shared" si="22"/>
        <v>0</v>
      </c>
      <c r="O111" s="75">
        <f t="shared" si="23"/>
        <v>0</v>
      </c>
      <c r="P111" s="77">
        <f t="shared" si="24"/>
        <v>0</v>
      </c>
    </row>
    <row r="112" spans="1:16" s="61" customFormat="1" x14ac:dyDescent="0.2">
      <c r="A112" s="218">
        <v>34</v>
      </c>
      <c r="B112" s="250" t="s">
        <v>246</v>
      </c>
      <c r="C112" s="263" t="s">
        <v>506</v>
      </c>
      <c r="D112" s="67" t="s">
        <v>207</v>
      </c>
      <c r="E112" s="205">
        <f>E120</f>
        <v>126.9</v>
      </c>
      <c r="F112" s="213"/>
      <c r="G112" s="213"/>
      <c r="H112" s="214"/>
      <c r="I112" s="214"/>
      <c r="J112" s="214"/>
      <c r="K112" s="75">
        <f t="shared" si="19"/>
        <v>0</v>
      </c>
      <c r="L112" s="76">
        <f t="shared" si="20"/>
        <v>0</v>
      </c>
      <c r="M112" s="75">
        <f t="shared" si="21"/>
        <v>0</v>
      </c>
      <c r="N112" s="75">
        <f t="shared" si="22"/>
        <v>0</v>
      </c>
      <c r="O112" s="75">
        <f t="shared" si="23"/>
        <v>0</v>
      </c>
      <c r="P112" s="77">
        <f t="shared" si="24"/>
        <v>0</v>
      </c>
    </row>
    <row r="113" spans="1:16" s="61" customFormat="1" x14ac:dyDescent="0.2">
      <c r="A113" s="218">
        <v>0</v>
      </c>
      <c r="B113" s="250">
        <v>0</v>
      </c>
      <c r="C113" s="241" t="s">
        <v>507</v>
      </c>
      <c r="D113" s="67" t="s">
        <v>207</v>
      </c>
      <c r="E113" s="205">
        <f>1.05*E112</f>
        <v>133.245</v>
      </c>
      <c r="F113" s="213"/>
      <c r="G113" s="213"/>
      <c r="H113" s="214"/>
      <c r="I113" s="214"/>
      <c r="J113" s="214"/>
      <c r="K113" s="75">
        <f t="shared" si="19"/>
        <v>0</v>
      </c>
      <c r="L113" s="76">
        <f t="shared" si="20"/>
        <v>0</v>
      </c>
      <c r="M113" s="75">
        <f t="shared" si="21"/>
        <v>0</v>
      </c>
      <c r="N113" s="75">
        <f t="shared" si="22"/>
        <v>0</v>
      </c>
      <c r="O113" s="75">
        <f t="shared" si="23"/>
        <v>0</v>
      </c>
      <c r="P113" s="77">
        <f t="shared" si="24"/>
        <v>0</v>
      </c>
    </row>
    <row r="114" spans="1:16" s="61" customFormat="1" x14ac:dyDescent="0.2">
      <c r="A114" s="218">
        <v>35</v>
      </c>
      <c r="B114" s="250" t="s">
        <v>404</v>
      </c>
      <c r="C114" s="263" t="s">
        <v>492</v>
      </c>
      <c r="D114" s="211" t="s">
        <v>207</v>
      </c>
      <c r="E114" s="205">
        <f>E120</f>
        <v>126.9</v>
      </c>
      <c r="F114" s="148"/>
      <c r="G114" s="213"/>
      <c r="H114" s="217"/>
      <c r="I114" s="217"/>
      <c r="J114" s="217"/>
      <c r="K114" s="75">
        <f t="shared" si="19"/>
        <v>0</v>
      </c>
      <c r="L114" s="76">
        <f t="shared" si="20"/>
        <v>0</v>
      </c>
      <c r="M114" s="75">
        <f t="shared" si="21"/>
        <v>0</v>
      </c>
      <c r="N114" s="75">
        <f t="shared" si="22"/>
        <v>0</v>
      </c>
      <c r="O114" s="75">
        <f t="shared" si="23"/>
        <v>0</v>
      </c>
      <c r="P114" s="77">
        <f t="shared" si="24"/>
        <v>0</v>
      </c>
    </row>
    <row r="115" spans="1:16" s="61" customFormat="1" ht="15" x14ac:dyDescent="0.2">
      <c r="A115" s="218">
        <v>0</v>
      </c>
      <c r="B115" s="250">
        <v>0</v>
      </c>
      <c r="C115" s="264" t="s">
        <v>493</v>
      </c>
      <c r="D115" s="211" t="s">
        <v>207</v>
      </c>
      <c r="E115" s="205">
        <f>1.1*E114</f>
        <v>139.59</v>
      </c>
      <c r="F115" s="148"/>
      <c r="G115" s="148"/>
      <c r="H115" s="217"/>
      <c r="I115" s="217"/>
      <c r="J115" s="217"/>
      <c r="K115" s="75">
        <f t="shared" si="19"/>
        <v>0</v>
      </c>
      <c r="L115" s="76">
        <f t="shared" si="20"/>
        <v>0</v>
      </c>
      <c r="M115" s="75">
        <f t="shared" si="21"/>
        <v>0</v>
      </c>
      <c r="N115" s="75">
        <f t="shared" si="22"/>
        <v>0</v>
      </c>
      <c r="O115" s="75">
        <f t="shared" si="23"/>
        <v>0</v>
      </c>
      <c r="P115" s="77">
        <f t="shared" si="24"/>
        <v>0</v>
      </c>
    </row>
    <row r="116" spans="1:16" s="61" customFormat="1" ht="25.5" x14ac:dyDescent="0.2">
      <c r="A116" s="218">
        <v>0</v>
      </c>
      <c r="B116" s="250">
        <v>0</v>
      </c>
      <c r="C116" s="241" t="s">
        <v>494</v>
      </c>
      <c r="D116" s="211" t="s">
        <v>73</v>
      </c>
      <c r="E116" s="205">
        <v>1</v>
      </c>
      <c r="F116" s="148"/>
      <c r="G116" s="148"/>
      <c r="H116" s="217"/>
      <c r="I116" s="217"/>
      <c r="J116" s="217"/>
      <c r="K116" s="75">
        <f t="shared" si="19"/>
        <v>0</v>
      </c>
      <c r="L116" s="76">
        <f t="shared" si="20"/>
        <v>0</v>
      </c>
      <c r="M116" s="75">
        <f t="shared" si="21"/>
        <v>0</v>
      </c>
      <c r="N116" s="75">
        <f t="shared" si="22"/>
        <v>0</v>
      </c>
      <c r="O116" s="75">
        <f t="shared" si="23"/>
        <v>0</v>
      </c>
      <c r="P116" s="77">
        <f t="shared" si="24"/>
        <v>0</v>
      </c>
    </row>
    <row r="117" spans="1:16" s="61" customFormat="1" ht="15" x14ac:dyDescent="0.2">
      <c r="A117" s="218">
        <v>36</v>
      </c>
      <c r="B117" s="250" t="s">
        <v>404</v>
      </c>
      <c r="C117" s="239" t="s">
        <v>508</v>
      </c>
      <c r="D117" s="211" t="s">
        <v>115</v>
      </c>
      <c r="E117" s="205">
        <f>0.06*E120</f>
        <v>7.6139999999999999</v>
      </c>
      <c r="F117" s="148"/>
      <c r="G117" s="213"/>
      <c r="H117" s="217"/>
      <c r="I117" s="217"/>
      <c r="J117" s="217"/>
      <c r="K117" s="75">
        <f t="shared" si="19"/>
        <v>0</v>
      </c>
      <c r="L117" s="76">
        <f t="shared" si="20"/>
        <v>0</v>
      </c>
      <c r="M117" s="75">
        <f t="shared" si="21"/>
        <v>0</v>
      </c>
      <c r="N117" s="75">
        <f t="shared" si="22"/>
        <v>0</v>
      </c>
      <c r="O117" s="75">
        <f t="shared" si="23"/>
        <v>0</v>
      </c>
      <c r="P117" s="77">
        <f t="shared" si="24"/>
        <v>0</v>
      </c>
    </row>
    <row r="118" spans="1:16" s="61" customFormat="1" ht="15" x14ac:dyDescent="0.2">
      <c r="A118" s="218">
        <v>0</v>
      </c>
      <c r="B118" s="250">
        <v>0</v>
      </c>
      <c r="C118" s="215" t="s">
        <v>496</v>
      </c>
      <c r="D118" s="211" t="s">
        <v>115</v>
      </c>
      <c r="E118" s="205">
        <f>1.05*E117</f>
        <v>7.9946999999999999</v>
      </c>
      <c r="F118" s="148"/>
      <c r="G118" s="148"/>
      <c r="H118" s="217"/>
      <c r="I118" s="217"/>
      <c r="J118" s="217"/>
      <c r="K118" s="75">
        <f t="shared" si="19"/>
        <v>0</v>
      </c>
      <c r="L118" s="76">
        <f t="shared" si="20"/>
        <v>0</v>
      </c>
      <c r="M118" s="75">
        <f t="shared" si="21"/>
        <v>0</v>
      </c>
      <c r="N118" s="75">
        <f t="shared" si="22"/>
        <v>0</v>
      </c>
      <c r="O118" s="75">
        <f t="shared" si="23"/>
        <v>0</v>
      </c>
      <c r="P118" s="77">
        <f t="shared" si="24"/>
        <v>0</v>
      </c>
    </row>
    <row r="119" spans="1:16" s="61" customFormat="1" x14ac:dyDescent="0.2">
      <c r="A119" s="218">
        <v>0</v>
      </c>
      <c r="B119" s="250">
        <v>0</v>
      </c>
      <c r="C119" s="216" t="s">
        <v>136</v>
      </c>
      <c r="D119" s="431" t="s">
        <v>137</v>
      </c>
      <c r="E119" s="205">
        <f>0.25*E117</f>
        <v>1.9035</v>
      </c>
      <c r="F119" s="148"/>
      <c r="G119" s="148"/>
      <c r="H119" s="217"/>
      <c r="I119" s="217"/>
      <c r="J119" s="217"/>
      <c r="K119" s="75">
        <f t="shared" si="19"/>
        <v>0</v>
      </c>
      <c r="L119" s="76">
        <f t="shared" si="20"/>
        <v>0</v>
      </c>
      <c r="M119" s="75">
        <f t="shared" si="21"/>
        <v>0</v>
      </c>
      <c r="N119" s="75">
        <f t="shared" si="22"/>
        <v>0</v>
      </c>
      <c r="O119" s="75">
        <f t="shared" si="23"/>
        <v>0</v>
      </c>
      <c r="P119" s="77">
        <f t="shared" si="24"/>
        <v>0</v>
      </c>
    </row>
    <row r="120" spans="1:16" s="61" customFormat="1" ht="15" x14ac:dyDescent="0.2">
      <c r="A120" s="208">
        <v>37</v>
      </c>
      <c r="B120" s="229" t="s">
        <v>229</v>
      </c>
      <c r="C120" s="236" t="s">
        <v>488</v>
      </c>
      <c r="D120" s="233" t="s">
        <v>207</v>
      </c>
      <c r="E120" s="205">
        <v>126.9</v>
      </c>
      <c r="F120" s="213"/>
      <c r="G120" s="213"/>
      <c r="H120" s="214"/>
      <c r="I120" s="214"/>
      <c r="J120" s="214"/>
      <c r="K120" s="75">
        <f t="shared" si="19"/>
        <v>0</v>
      </c>
      <c r="L120" s="76">
        <f t="shared" si="20"/>
        <v>0</v>
      </c>
      <c r="M120" s="75">
        <f t="shared" si="21"/>
        <v>0</v>
      </c>
      <c r="N120" s="75">
        <f t="shared" si="22"/>
        <v>0</v>
      </c>
      <c r="O120" s="75">
        <f t="shared" si="23"/>
        <v>0</v>
      </c>
      <c r="P120" s="77">
        <f t="shared" si="24"/>
        <v>0</v>
      </c>
    </row>
    <row r="121" spans="1:16" s="61" customFormat="1" ht="15" x14ac:dyDescent="0.2">
      <c r="A121" s="208">
        <v>0</v>
      </c>
      <c r="B121" s="229">
        <v>0</v>
      </c>
      <c r="C121" s="289" t="s">
        <v>497</v>
      </c>
      <c r="D121" s="233" t="s">
        <v>207</v>
      </c>
      <c r="E121" s="205">
        <f>E120</f>
        <v>126.9</v>
      </c>
      <c r="F121" s="213"/>
      <c r="G121" s="213"/>
      <c r="H121" s="214"/>
      <c r="I121" s="214"/>
      <c r="J121" s="214"/>
      <c r="K121" s="75">
        <f t="shared" si="19"/>
        <v>0</v>
      </c>
      <c r="L121" s="76">
        <f t="shared" si="20"/>
        <v>0</v>
      </c>
      <c r="M121" s="75">
        <f t="shared" si="21"/>
        <v>0</v>
      </c>
      <c r="N121" s="75">
        <f t="shared" si="22"/>
        <v>0</v>
      </c>
      <c r="O121" s="75">
        <f t="shared" si="23"/>
        <v>0</v>
      </c>
      <c r="P121" s="77">
        <f t="shared" si="24"/>
        <v>0</v>
      </c>
    </row>
    <row r="122" spans="1:16" s="61" customFormat="1" x14ac:dyDescent="0.2">
      <c r="A122" s="202">
        <v>0</v>
      </c>
      <c r="B122" s="144"/>
      <c r="C122" s="207" t="s">
        <v>509</v>
      </c>
      <c r="D122" s="204"/>
      <c r="E122" s="205"/>
      <c r="F122" s="148"/>
      <c r="G122" s="148"/>
      <c r="H122" s="217"/>
      <c r="I122" s="217"/>
      <c r="J122" s="217"/>
      <c r="K122" s="75">
        <f t="shared" si="19"/>
        <v>0</v>
      </c>
      <c r="L122" s="76">
        <f t="shared" si="20"/>
        <v>0</v>
      </c>
      <c r="M122" s="75">
        <f t="shared" si="21"/>
        <v>0</v>
      </c>
      <c r="N122" s="75">
        <f t="shared" si="22"/>
        <v>0</v>
      </c>
      <c r="O122" s="75">
        <f t="shared" si="23"/>
        <v>0</v>
      </c>
      <c r="P122" s="77">
        <f t="shared" si="24"/>
        <v>0</v>
      </c>
    </row>
    <row r="123" spans="1:16" s="61" customFormat="1" x14ac:dyDescent="0.2">
      <c r="A123" s="218">
        <v>38</v>
      </c>
      <c r="B123" s="250" t="s">
        <v>246</v>
      </c>
      <c r="C123" s="263" t="s">
        <v>506</v>
      </c>
      <c r="D123" s="67" t="s">
        <v>207</v>
      </c>
      <c r="E123" s="205">
        <f>E131</f>
        <v>525.96</v>
      </c>
      <c r="F123" s="213"/>
      <c r="G123" s="213"/>
      <c r="H123" s="214"/>
      <c r="I123" s="214"/>
      <c r="J123" s="214"/>
      <c r="K123" s="75">
        <f t="shared" si="19"/>
        <v>0</v>
      </c>
      <c r="L123" s="76">
        <f t="shared" si="20"/>
        <v>0</v>
      </c>
      <c r="M123" s="75">
        <f t="shared" si="21"/>
        <v>0</v>
      </c>
      <c r="N123" s="75">
        <f t="shared" si="22"/>
        <v>0</v>
      </c>
      <c r="O123" s="75">
        <f t="shared" si="23"/>
        <v>0</v>
      </c>
      <c r="P123" s="77">
        <f t="shared" si="24"/>
        <v>0</v>
      </c>
    </row>
    <row r="124" spans="1:16" s="61" customFormat="1" x14ac:dyDescent="0.2">
      <c r="A124" s="218">
        <v>0</v>
      </c>
      <c r="B124" s="250">
        <v>0</v>
      </c>
      <c r="C124" s="241" t="s">
        <v>507</v>
      </c>
      <c r="D124" s="67" t="s">
        <v>207</v>
      </c>
      <c r="E124" s="205">
        <f>1.05*E123</f>
        <v>552.25800000000004</v>
      </c>
      <c r="F124" s="213"/>
      <c r="G124" s="213"/>
      <c r="H124" s="214"/>
      <c r="I124" s="214"/>
      <c r="J124" s="214"/>
      <c r="K124" s="75">
        <f t="shared" si="19"/>
        <v>0</v>
      </c>
      <c r="L124" s="76">
        <f t="shared" si="20"/>
        <v>0</v>
      </c>
      <c r="M124" s="75">
        <f t="shared" si="21"/>
        <v>0</v>
      </c>
      <c r="N124" s="75">
        <f t="shared" si="22"/>
        <v>0</v>
      </c>
      <c r="O124" s="75">
        <f t="shared" si="23"/>
        <v>0</v>
      </c>
      <c r="P124" s="77">
        <f t="shared" si="24"/>
        <v>0</v>
      </c>
    </row>
    <row r="125" spans="1:16" s="61" customFormat="1" x14ac:dyDescent="0.2">
      <c r="A125" s="218">
        <v>39</v>
      </c>
      <c r="B125" s="250" t="s">
        <v>404</v>
      </c>
      <c r="C125" s="263" t="s">
        <v>492</v>
      </c>
      <c r="D125" s="211" t="s">
        <v>207</v>
      </c>
      <c r="E125" s="205">
        <f>E131</f>
        <v>525.96</v>
      </c>
      <c r="F125" s="148"/>
      <c r="G125" s="213"/>
      <c r="H125" s="217"/>
      <c r="I125" s="217"/>
      <c r="J125" s="217"/>
      <c r="K125" s="75">
        <f t="shared" si="19"/>
        <v>0</v>
      </c>
      <c r="L125" s="76">
        <f t="shared" si="20"/>
        <v>0</v>
      </c>
      <c r="M125" s="75">
        <f t="shared" si="21"/>
        <v>0</v>
      </c>
      <c r="N125" s="75">
        <f t="shared" si="22"/>
        <v>0</v>
      </c>
      <c r="O125" s="75">
        <f t="shared" si="23"/>
        <v>0</v>
      </c>
      <c r="P125" s="77">
        <f t="shared" si="24"/>
        <v>0</v>
      </c>
    </row>
    <row r="126" spans="1:16" s="61" customFormat="1" ht="15" x14ac:dyDescent="0.2">
      <c r="A126" s="218">
        <v>0</v>
      </c>
      <c r="B126" s="250">
        <v>0</v>
      </c>
      <c r="C126" s="264" t="s">
        <v>493</v>
      </c>
      <c r="D126" s="211" t="s">
        <v>207</v>
      </c>
      <c r="E126" s="205">
        <f>1.1*E125</f>
        <v>578.55600000000004</v>
      </c>
      <c r="F126" s="148"/>
      <c r="G126" s="148"/>
      <c r="H126" s="217"/>
      <c r="I126" s="217"/>
      <c r="J126" s="217"/>
      <c r="K126" s="75">
        <f t="shared" si="19"/>
        <v>0</v>
      </c>
      <c r="L126" s="76">
        <f t="shared" si="20"/>
        <v>0</v>
      </c>
      <c r="M126" s="75">
        <f t="shared" si="21"/>
        <v>0</v>
      </c>
      <c r="N126" s="75">
        <f t="shared" si="22"/>
        <v>0</v>
      </c>
      <c r="O126" s="75">
        <f t="shared" si="23"/>
        <v>0</v>
      </c>
      <c r="P126" s="77">
        <f t="shared" si="24"/>
        <v>0</v>
      </c>
    </row>
    <row r="127" spans="1:16" s="61" customFormat="1" ht="25.5" x14ac:dyDescent="0.2">
      <c r="A127" s="218">
        <v>0</v>
      </c>
      <c r="B127" s="250">
        <v>0</v>
      </c>
      <c r="C127" s="241" t="s">
        <v>494</v>
      </c>
      <c r="D127" s="211" t="s">
        <v>73</v>
      </c>
      <c r="E127" s="205">
        <v>1</v>
      </c>
      <c r="F127" s="148"/>
      <c r="G127" s="148"/>
      <c r="H127" s="217"/>
      <c r="I127" s="217"/>
      <c r="J127" s="217"/>
      <c r="K127" s="75">
        <f t="shared" si="19"/>
        <v>0</v>
      </c>
      <c r="L127" s="76">
        <f t="shared" si="20"/>
        <v>0</v>
      </c>
      <c r="M127" s="75">
        <f t="shared" si="21"/>
        <v>0</v>
      </c>
      <c r="N127" s="75">
        <f t="shared" si="22"/>
        <v>0</v>
      </c>
      <c r="O127" s="75">
        <f t="shared" si="23"/>
        <v>0</v>
      </c>
      <c r="P127" s="77">
        <f t="shared" si="24"/>
        <v>0</v>
      </c>
    </row>
    <row r="128" spans="1:16" s="61" customFormat="1" ht="15" x14ac:dyDescent="0.2">
      <c r="A128" s="218">
        <v>40</v>
      </c>
      <c r="B128" s="250" t="s">
        <v>404</v>
      </c>
      <c r="C128" s="239" t="s">
        <v>508</v>
      </c>
      <c r="D128" s="211" t="s">
        <v>115</v>
      </c>
      <c r="E128" s="205">
        <f>0.06*E131</f>
        <v>31.557600000000001</v>
      </c>
      <c r="F128" s="148"/>
      <c r="G128" s="213"/>
      <c r="H128" s="217"/>
      <c r="I128" s="217"/>
      <c r="J128" s="217"/>
      <c r="K128" s="75">
        <f t="shared" si="19"/>
        <v>0</v>
      </c>
      <c r="L128" s="76">
        <f t="shared" si="20"/>
        <v>0</v>
      </c>
      <c r="M128" s="75">
        <f t="shared" si="21"/>
        <v>0</v>
      </c>
      <c r="N128" s="75">
        <f t="shared" si="22"/>
        <v>0</v>
      </c>
      <c r="O128" s="75">
        <f t="shared" si="23"/>
        <v>0</v>
      </c>
      <c r="P128" s="77">
        <f t="shared" si="24"/>
        <v>0</v>
      </c>
    </row>
    <row r="129" spans="1:16" s="61" customFormat="1" ht="15" x14ac:dyDescent="0.2">
      <c r="A129" s="218">
        <v>0</v>
      </c>
      <c r="B129" s="250">
        <v>0</v>
      </c>
      <c r="C129" s="215" t="s">
        <v>496</v>
      </c>
      <c r="D129" s="211" t="s">
        <v>115</v>
      </c>
      <c r="E129" s="205">
        <f>1.05*E128</f>
        <v>33.135480000000001</v>
      </c>
      <c r="F129" s="148"/>
      <c r="G129" s="148"/>
      <c r="H129" s="217"/>
      <c r="I129" s="217"/>
      <c r="J129" s="217"/>
      <c r="K129" s="75">
        <f t="shared" si="19"/>
        <v>0</v>
      </c>
      <c r="L129" s="76">
        <f t="shared" si="20"/>
        <v>0</v>
      </c>
      <c r="M129" s="75">
        <f t="shared" si="21"/>
        <v>0</v>
      </c>
      <c r="N129" s="75">
        <f t="shared" si="22"/>
        <v>0</v>
      </c>
      <c r="O129" s="75">
        <f t="shared" si="23"/>
        <v>0</v>
      </c>
      <c r="P129" s="77">
        <f t="shared" si="24"/>
        <v>0</v>
      </c>
    </row>
    <row r="130" spans="1:16" s="61" customFormat="1" x14ac:dyDescent="0.2">
      <c r="A130" s="218">
        <v>0</v>
      </c>
      <c r="B130" s="250">
        <v>0</v>
      </c>
      <c r="C130" s="216" t="s">
        <v>136</v>
      </c>
      <c r="D130" s="431" t="s">
        <v>137</v>
      </c>
      <c r="E130" s="205">
        <f>0.25*E128</f>
        <v>7.8894000000000002</v>
      </c>
      <c r="F130" s="148"/>
      <c r="G130" s="148"/>
      <c r="H130" s="217"/>
      <c r="I130" s="217"/>
      <c r="J130" s="217"/>
      <c r="K130" s="75">
        <f t="shared" si="19"/>
        <v>0</v>
      </c>
      <c r="L130" s="76">
        <f t="shared" si="20"/>
        <v>0</v>
      </c>
      <c r="M130" s="75">
        <f t="shared" si="21"/>
        <v>0</v>
      </c>
      <c r="N130" s="75">
        <f t="shared" si="22"/>
        <v>0</v>
      </c>
      <c r="O130" s="75">
        <f t="shared" si="23"/>
        <v>0</v>
      </c>
      <c r="P130" s="77">
        <f t="shared" si="24"/>
        <v>0</v>
      </c>
    </row>
    <row r="131" spans="1:16" s="61" customFormat="1" ht="25.5" x14ac:dyDescent="0.2">
      <c r="A131" s="208">
        <v>41</v>
      </c>
      <c r="B131" s="209" t="s">
        <v>229</v>
      </c>
      <c r="C131" s="263" t="s">
        <v>500</v>
      </c>
      <c r="D131" s="67" t="s">
        <v>207</v>
      </c>
      <c r="E131" s="205">
        <v>525.96</v>
      </c>
      <c r="F131" s="213"/>
      <c r="G131" s="213"/>
      <c r="H131" s="214"/>
      <c r="I131" s="214"/>
      <c r="J131" s="214"/>
      <c r="K131" s="75">
        <f t="shared" si="19"/>
        <v>0</v>
      </c>
      <c r="L131" s="76">
        <f t="shared" si="20"/>
        <v>0</v>
      </c>
      <c r="M131" s="75">
        <f t="shared" si="21"/>
        <v>0</v>
      </c>
      <c r="N131" s="75">
        <f t="shared" si="22"/>
        <v>0</v>
      </c>
      <c r="O131" s="75">
        <f t="shared" si="23"/>
        <v>0</v>
      </c>
      <c r="P131" s="77">
        <f t="shared" si="24"/>
        <v>0</v>
      </c>
    </row>
    <row r="132" spans="1:16" s="61" customFormat="1" x14ac:dyDescent="0.2">
      <c r="A132" s="208">
        <v>0</v>
      </c>
      <c r="B132" s="209">
        <v>0</v>
      </c>
      <c r="C132" s="241" t="s">
        <v>501</v>
      </c>
      <c r="D132" s="67" t="s">
        <v>131</v>
      </c>
      <c r="E132" s="205">
        <f>1.5*3*1.15*E131</f>
        <v>2721.8430000000003</v>
      </c>
      <c r="F132" s="213"/>
      <c r="G132" s="213"/>
      <c r="H132" s="214"/>
      <c r="I132" s="214"/>
      <c r="J132" s="214"/>
      <c r="K132" s="75">
        <f t="shared" si="19"/>
        <v>0</v>
      </c>
      <c r="L132" s="76">
        <f t="shared" si="20"/>
        <v>0</v>
      </c>
      <c r="M132" s="75">
        <f t="shared" si="21"/>
        <v>0</v>
      </c>
      <c r="N132" s="75">
        <f t="shared" si="22"/>
        <v>0</v>
      </c>
      <c r="O132" s="75">
        <f t="shared" si="23"/>
        <v>0</v>
      </c>
      <c r="P132" s="77">
        <f t="shared" si="24"/>
        <v>0</v>
      </c>
    </row>
    <row r="133" spans="1:16" s="61" customFormat="1" x14ac:dyDescent="0.2">
      <c r="A133" s="202">
        <v>0</v>
      </c>
      <c r="B133" s="144"/>
      <c r="C133" s="207" t="s">
        <v>510</v>
      </c>
      <c r="D133" s="204"/>
      <c r="E133" s="205"/>
      <c r="F133" s="148"/>
      <c r="G133" s="148"/>
      <c r="H133" s="217"/>
      <c r="I133" s="217"/>
      <c r="J133" s="217"/>
      <c r="K133" s="75">
        <f t="shared" si="19"/>
        <v>0</v>
      </c>
      <c r="L133" s="76">
        <f t="shared" si="20"/>
        <v>0</v>
      </c>
      <c r="M133" s="75">
        <f t="shared" si="21"/>
        <v>0</v>
      </c>
      <c r="N133" s="75">
        <f t="shared" si="22"/>
        <v>0</v>
      </c>
      <c r="O133" s="75">
        <f t="shared" si="23"/>
        <v>0</v>
      </c>
      <c r="P133" s="77">
        <f t="shared" si="24"/>
        <v>0</v>
      </c>
    </row>
    <row r="134" spans="1:16" s="61" customFormat="1" ht="15" x14ac:dyDescent="0.2">
      <c r="A134" s="218">
        <v>42</v>
      </c>
      <c r="B134" s="250" t="s">
        <v>246</v>
      </c>
      <c r="C134" s="239" t="s">
        <v>511</v>
      </c>
      <c r="D134" s="67" t="s">
        <v>207</v>
      </c>
      <c r="E134" s="205">
        <f>E145</f>
        <v>194.5</v>
      </c>
      <c r="F134" s="213"/>
      <c r="G134" s="213"/>
      <c r="H134" s="214"/>
      <c r="I134" s="214"/>
      <c r="J134" s="214"/>
      <c r="K134" s="75">
        <f t="shared" si="19"/>
        <v>0</v>
      </c>
      <c r="L134" s="76">
        <f t="shared" si="20"/>
        <v>0</v>
      </c>
      <c r="M134" s="75">
        <f t="shared" si="21"/>
        <v>0</v>
      </c>
      <c r="N134" s="75">
        <f t="shared" si="22"/>
        <v>0</v>
      </c>
      <c r="O134" s="75">
        <f t="shared" si="23"/>
        <v>0</v>
      </c>
      <c r="P134" s="77">
        <f t="shared" si="24"/>
        <v>0</v>
      </c>
    </row>
    <row r="135" spans="1:16" s="61" customFormat="1" ht="15" x14ac:dyDescent="0.2">
      <c r="A135" s="218">
        <v>0</v>
      </c>
      <c r="B135" s="250">
        <v>0</v>
      </c>
      <c r="C135" s="264" t="s">
        <v>512</v>
      </c>
      <c r="D135" s="67" t="s">
        <v>207</v>
      </c>
      <c r="E135" s="205">
        <f>1.05*E134</f>
        <v>204.22500000000002</v>
      </c>
      <c r="F135" s="213"/>
      <c r="G135" s="213"/>
      <c r="H135" s="214"/>
      <c r="I135" s="214"/>
      <c r="J135" s="214"/>
      <c r="K135" s="75">
        <f t="shared" si="19"/>
        <v>0</v>
      </c>
      <c r="L135" s="76">
        <f t="shared" si="20"/>
        <v>0</v>
      </c>
      <c r="M135" s="75">
        <f t="shared" si="21"/>
        <v>0</v>
      </c>
      <c r="N135" s="75">
        <f t="shared" si="22"/>
        <v>0</v>
      </c>
      <c r="O135" s="75">
        <f t="shared" si="23"/>
        <v>0</v>
      </c>
      <c r="P135" s="77">
        <f t="shared" si="24"/>
        <v>0</v>
      </c>
    </row>
    <row r="136" spans="1:16" s="61" customFormat="1" x14ac:dyDescent="0.2">
      <c r="A136" s="218">
        <v>43</v>
      </c>
      <c r="B136" s="250" t="s">
        <v>404</v>
      </c>
      <c r="C136" s="263" t="s">
        <v>492</v>
      </c>
      <c r="D136" s="211" t="s">
        <v>207</v>
      </c>
      <c r="E136" s="205">
        <f>E145</f>
        <v>194.5</v>
      </c>
      <c r="F136" s="148"/>
      <c r="G136" s="213"/>
      <c r="H136" s="217"/>
      <c r="I136" s="217"/>
      <c r="J136" s="217"/>
      <c r="K136" s="75">
        <f t="shared" si="19"/>
        <v>0</v>
      </c>
      <c r="L136" s="76">
        <f t="shared" si="20"/>
        <v>0</v>
      </c>
      <c r="M136" s="75">
        <f t="shared" si="21"/>
        <v>0</v>
      </c>
      <c r="N136" s="75">
        <f t="shared" si="22"/>
        <v>0</v>
      </c>
      <c r="O136" s="75">
        <f t="shared" si="23"/>
        <v>0</v>
      </c>
      <c r="P136" s="77">
        <f t="shared" si="24"/>
        <v>0</v>
      </c>
    </row>
    <row r="137" spans="1:16" s="61" customFormat="1" ht="15" x14ac:dyDescent="0.2">
      <c r="A137" s="218">
        <v>0</v>
      </c>
      <c r="B137" s="250">
        <v>0</v>
      </c>
      <c r="C137" s="264" t="s">
        <v>493</v>
      </c>
      <c r="D137" s="211" t="s">
        <v>207</v>
      </c>
      <c r="E137" s="205">
        <f>1.1*E136</f>
        <v>213.95000000000002</v>
      </c>
      <c r="F137" s="148"/>
      <c r="G137" s="148"/>
      <c r="H137" s="217"/>
      <c r="I137" s="217"/>
      <c r="J137" s="217"/>
      <c r="K137" s="75">
        <f t="shared" si="19"/>
        <v>0</v>
      </c>
      <c r="L137" s="76">
        <f t="shared" si="20"/>
        <v>0</v>
      </c>
      <c r="M137" s="75">
        <f t="shared" si="21"/>
        <v>0</v>
      </c>
      <c r="N137" s="75">
        <f t="shared" si="22"/>
        <v>0</v>
      </c>
      <c r="O137" s="75">
        <f t="shared" si="23"/>
        <v>0</v>
      </c>
      <c r="P137" s="77">
        <f t="shared" si="24"/>
        <v>0</v>
      </c>
    </row>
    <row r="138" spans="1:16" s="61" customFormat="1" ht="25.5" x14ac:dyDescent="0.2">
      <c r="A138" s="218">
        <v>0</v>
      </c>
      <c r="B138" s="250">
        <v>0</v>
      </c>
      <c r="C138" s="241" t="s">
        <v>494</v>
      </c>
      <c r="D138" s="211" t="s">
        <v>73</v>
      </c>
      <c r="E138" s="205">
        <v>1</v>
      </c>
      <c r="F138" s="148"/>
      <c r="G138" s="148"/>
      <c r="H138" s="217"/>
      <c r="I138" s="217"/>
      <c r="J138" s="217"/>
      <c r="K138" s="75">
        <f t="shared" si="19"/>
        <v>0</v>
      </c>
      <c r="L138" s="76">
        <f t="shared" si="20"/>
        <v>0</v>
      </c>
      <c r="M138" s="75">
        <f t="shared" si="21"/>
        <v>0</v>
      </c>
      <c r="N138" s="75">
        <f t="shared" si="22"/>
        <v>0</v>
      </c>
      <c r="O138" s="75">
        <f t="shared" si="23"/>
        <v>0</v>
      </c>
      <c r="P138" s="77">
        <f t="shared" si="24"/>
        <v>0</v>
      </c>
    </row>
    <row r="139" spans="1:16" s="61" customFormat="1" ht="15" x14ac:dyDescent="0.2">
      <c r="A139" s="218">
        <v>44</v>
      </c>
      <c r="B139" s="250" t="s">
        <v>404</v>
      </c>
      <c r="C139" s="239" t="s">
        <v>508</v>
      </c>
      <c r="D139" s="211" t="s">
        <v>115</v>
      </c>
      <c r="E139" s="205">
        <f>0.06*E145</f>
        <v>11.67</v>
      </c>
      <c r="F139" s="148"/>
      <c r="G139" s="213"/>
      <c r="H139" s="217"/>
      <c r="I139" s="217"/>
      <c r="J139" s="217"/>
      <c r="K139" s="75">
        <f t="shared" si="19"/>
        <v>0</v>
      </c>
      <c r="L139" s="76">
        <f t="shared" si="20"/>
        <v>0</v>
      </c>
      <c r="M139" s="75">
        <f t="shared" si="21"/>
        <v>0</v>
      </c>
      <c r="N139" s="75">
        <f t="shared" si="22"/>
        <v>0</v>
      </c>
      <c r="O139" s="75">
        <f t="shared" si="23"/>
        <v>0</v>
      </c>
      <c r="P139" s="77">
        <f t="shared" si="24"/>
        <v>0</v>
      </c>
    </row>
    <row r="140" spans="1:16" s="61" customFormat="1" ht="15" x14ac:dyDescent="0.2">
      <c r="A140" s="218">
        <v>0</v>
      </c>
      <c r="B140" s="250">
        <v>0</v>
      </c>
      <c r="C140" s="215" t="s">
        <v>496</v>
      </c>
      <c r="D140" s="211" t="s">
        <v>115</v>
      </c>
      <c r="E140" s="205">
        <f>1.05*E139</f>
        <v>12.253500000000001</v>
      </c>
      <c r="F140" s="148"/>
      <c r="G140" s="148"/>
      <c r="H140" s="217"/>
      <c r="I140" s="217"/>
      <c r="J140" s="217"/>
      <c r="K140" s="75">
        <f t="shared" si="19"/>
        <v>0</v>
      </c>
      <c r="L140" s="76">
        <f t="shared" si="20"/>
        <v>0</v>
      </c>
      <c r="M140" s="75">
        <f t="shared" si="21"/>
        <v>0</v>
      </c>
      <c r="N140" s="75">
        <f t="shared" si="22"/>
        <v>0</v>
      </c>
      <c r="O140" s="75">
        <f t="shared" si="23"/>
        <v>0</v>
      </c>
      <c r="P140" s="77">
        <f t="shared" si="24"/>
        <v>0</v>
      </c>
    </row>
    <row r="141" spans="1:16" s="61" customFormat="1" x14ac:dyDescent="0.2">
      <c r="A141" s="218">
        <v>0</v>
      </c>
      <c r="B141" s="250">
        <v>0</v>
      </c>
      <c r="C141" s="216" t="s">
        <v>136</v>
      </c>
      <c r="D141" s="431" t="s">
        <v>137</v>
      </c>
      <c r="E141" s="205">
        <f>0.25*E139</f>
        <v>2.9175</v>
      </c>
      <c r="F141" s="148"/>
      <c r="G141" s="148"/>
      <c r="H141" s="217"/>
      <c r="I141" s="217"/>
      <c r="J141" s="217"/>
      <c r="K141" s="75">
        <f t="shared" si="19"/>
        <v>0</v>
      </c>
      <c r="L141" s="76">
        <f t="shared" si="20"/>
        <v>0</v>
      </c>
      <c r="M141" s="75">
        <f t="shared" si="21"/>
        <v>0</v>
      </c>
      <c r="N141" s="75">
        <f t="shared" si="22"/>
        <v>0</v>
      </c>
      <c r="O141" s="75">
        <f t="shared" si="23"/>
        <v>0</v>
      </c>
      <c r="P141" s="77">
        <f t="shared" si="24"/>
        <v>0</v>
      </c>
    </row>
    <row r="142" spans="1:16" s="61" customFormat="1" x14ac:dyDescent="0.2">
      <c r="A142" s="252">
        <v>45</v>
      </c>
      <c r="B142" s="250" t="s">
        <v>246</v>
      </c>
      <c r="C142" s="263" t="s">
        <v>362</v>
      </c>
      <c r="D142" s="67" t="s">
        <v>207</v>
      </c>
      <c r="E142" s="205">
        <f>E145</f>
        <v>194.5</v>
      </c>
      <c r="F142" s="148"/>
      <c r="G142" s="213"/>
      <c r="H142" s="217"/>
      <c r="I142" s="217"/>
      <c r="J142" s="217"/>
      <c r="K142" s="75">
        <f t="shared" si="19"/>
        <v>0</v>
      </c>
      <c r="L142" s="76">
        <f t="shared" si="20"/>
        <v>0</v>
      </c>
      <c r="M142" s="75">
        <f t="shared" si="21"/>
        <v>0</v>
      </c>
      <c r="N142" s="75">
        <f t="shared" si="22"/>
        <v>0</v>
      </c>
      <c r="O142" s="75">
        <f t="shared" si="23"/>
        <v>0</v>
      </c>
      <c r="P142" s="77">
        <f t="shared" si="24"/>
        <v>0</v>
      </c>
    </row>
    <row r="143" spans="1:16" s="61" customFormat="1" ht="25.5" x14ac:dyDescent="0.2">
      <c r="A143" s="252">
        <v>0</v>
      </c>
      <c r="B143" s="250">
        <v>0</v>
      </c>
      <c r="C143" s="216" t="s">
        <v>513</v>
      </c>
      <c r="D143" s="67" t="s">
        <v>207</v>
      </c>
      <c r="E143" s="205">
        <f>1.2*E142</f>
        <v>233.39999999999998</v>
      </c>
      <c r="F143" s="148"/>
      <c r="G143" s="148"/>
      <c r="H143" s="217"/>
      <c r="I143" s="217"/>
      <c r="J143" s="217"/>
      <c r="K143" s="75">
        <f t="shared" si="19"/>
        <v>0</v>
      </c>
      <c r="L143" s="76">
        <f t="shared" si="20"/>
        <v>0</v>
      </c>
      <c r="M143" s="75">
        <f t="shared" si="21"/>
        <v>0</v>
      </c>
      <c r="N143" s="75">
        <f t="shared" si="22"/>
        <v>0</v>
      </c>
      <c r="O143" s="75">
        <f t="shared" si="23"/>
        <v>0</v>
      </c>
      <c r="P143" s="77">
        <f t="shared" si="24"/>
        <v>0</v>
      </c>
    </row>
    <row r="144" spans="1:16" s="61" customFormat="1" ht="15" x14ac:dyDescent="0.2">
      <c r="A144" s="252">
        <v>46</v>
      </c>
      <c r="B144" s="250" t="s">
        <v>246</v>
      </c>
      <c r="C144" s="239" t="s">
        <v>514</v>
      </c>
      <c r="D144" s="67" t="s">
        <v>207</v>
      </c>
      <c r="E144" s="205">
        <f>E145</f>
        <v>194.5</v>
      </c>
      <c r="F144" s="148"/>
      <c r="G144" s="213"/>
      <c r="H144" s="217"/>
      <c r="I144" s="217"/>
      <c r="J144" s="217"/>
      <c r="K144" s="75">
        <f t="shared" si="19"/>
        <v>0</v>
      </c>
      <c r="L144" s="76">
        <f t="shared" si="20"/>
        <v>0</v>
      </c>
      <c r="M144" s="75">
        <f t="shared" si="21"/>
        <v>0</v>
      </c>
      <c r="N144" s="75">
        <f t="shared" si="22"/>
        <v>0</v>
      </c>
      <c r="O144" s="75">
        <f t="shared" si="23"/>
        <v>0</v>
      </c>
      <c r="P144" s="77">
        <f t="shared" si="24"/>
        <v>0</v>
      </c>
    </row>
    <row r="145" spans="1:16" s="61" customFormat="1" x14ac:dyDescent="0.2">
      <c r="A145" s="218">
        <v>47</v>
      </c>
      <c r="B145" s="250" t="s">
        <v>205</v>
      </c>
      <c r="C145" s="220" t="s">
        <v>515</v>
      </c>
      <c r="D145" s="67" t="s">
        <v>207</v>
      </c>
      <c r="E145" s="205">
        <v>194.5</v>
      </c>
      <c r="F145" s="213"/>
      <c r="G145" s="148"/>
      <c r="H145" s="221"/>
      <c r="I145" s="221"/>
      <c r="J145" s="222"/>
      <c r="K145" s="75">
        <f t="shared" si="19"/>
        <v>0</v>
      </c>
      <c r="L145" s="76">
        <f t="shared" si="20"/>
        <v>0</v>
      </c>
      <c r="M145" s="75">
        <f t="shared" si="21"/>
        <v>0</v>
      </c>
      <c r="N145" s="75">
        <f t="shared" si="22"/>
        <v>0</v>
      </c>
      <c r="O145" s="75">
        <f t="shared" si="23"/>
        <v>0</v>
      </c>
      <c r="P145" s="77">
        <f t="shared" si="24"/>
        <v>0</v>
      </c>
    </row>
    <row r="146" spans="1:16" s="61" customFormat="1" x14ac:dyDescent="0.2">
      <c r="A146" s="218">
        <v>0</v>
      </c>
      <c r="B146" s="250">
        <v>0</v>
      </c>
      <c r="C146" s="125" t="s">
        <v>516</v>
      </c>
      <c r="D146" s="67" t="s">
        <v>207</v>
      </c>
      <c r="E146" s="205">
        <f>1.1*E145</f>
        <v>213.95000000000002</v>
      </c>
      <c r="F146" s="213"/>
      <c r="G146" s="213"/>
      <c r="H146" s="221"/>
      <c r="I146" s="221"/>
      <c r="J146" s="222"/>
      <c r="K146" s="75">
        <f t="shared" si="19"/>
        <v>0</v>
      </c>
      <c r="L146" s="76">
        <f t="shared" si="20"/>
        <v>0</v>
      </c>
      <c r="M146" s="75">
        <f t="shared" si="21"/>
        <v>0</v>
      </c>
      <c r="N146" s="75">
        <f t="shared" si="22"/>
        <v>0</v>
      </c>
      <c r="O146" s="75">
        <f t="shared" si="23"/>
        <v>0</v>
      </c>
      <c r="P146" s="77">
        <f t="shared" si="24"/>
        <v>0</v>
      </c>
    </row>
    <row r="147" spans="1:16" s="61" customFormat="1" x14ac:dyDescent="0.2">
      <c r="A147" s="218">
        <v>0</v>
      </c>
      <c r="B147" s="250">
        <v>0</v>
      </c>
      <c r="C147" s="125" t="s">
        <v>356</v>
      </c>
      <c r="D147" s="67" t="s">
        <v>210</v>
      </c>
      <c r="E147" s="205">
        <f>0.08*E145</f>
        <v>15.56</v>
      </c>
      <c r="F147" s="213"/>
      <c r="G147" s="213"/>
      <c r="H147" s="221"/>
      <c r="I147" s="221"/>
      <c r="J147" s="222"/>
      <c r="K147" s="75">
        <f t="shared" si="19"/>
        <v>0</v>
      </c>
      <c r="L147" s="76">
        <f t="shared" si="20"/>
        <v>0</v>
      </c>
      <c r="M147" s="75">
        <f t="shared" si="21"/>
        <v>0</v>
      </c>
      <c r="N147" s="75">
        <f t="shared" si="22"/>
        <v>0</v>
      </c>
      <c r="O147" s="75">
        <f t="shared" si="23"/>
        <v>0</v>
      </c>
      <c r="P147" s="77">
        <f t="shared" si="24"/>
        <v>0</v>
      </c>
    </row>
    <row r="148" spans="1:16" s="61" customFormat="1" x14ac:dyDescent="0.2">
      <c r="A148" s="202">
        <v>0</v>
      </c>
      <c r="B148" s="144"/>
      <c r="C148" s="207" t="s">
        <v>517</v>
      </c>
      <c r="D148" s="204"/>
      <c r="E148" s="205"/>
      <c r="F148" s="148"/>
      <c r="G148" s="148"/>
      <c r="H148" s="217"/>
      <c r="I148" s="217"/>
      <c r="J148" s="217"/>
      <c r="K148" s="75">
        <f t="shared" si="19"/>
        <v>0</v>
      </c>
      <c r="L148" s="76">
        <f t="shared" si="20"/>
        <v>0</v>
      </c>
      <c r="M148" s="75">
        <f t="shared" si="21"/>
        <v>0</v>
      </c>
      <c r="N148" s="75">
        <f t="shared" si="22"/>
        <v>0</v>
      </c>
      <c r="O148" s="75">
        <f t="shared" si="23"/>
        <v>0</v>
      </c>
      <c r="P148" s="77">
        <f t="shared" si="24"/>
        <v>0</v>
      </c>
    </row>
    <row r="149" spans="1:16" s="61" customFormat="1" ht="30" x14ac:dyDescent="0.2">
      <c r="A149" s="218">
        <v>48</v>
      </c>
      <c r="B149" s="250" t="s">
        <v>441</v>
      </c>
      <c r="C149" s="239" t="s">
        <v>518</v>
      </c>
      <c r="D149" s="211" t="s">
        <v>115</v>
      </c>
      <c r="E149" s="205">
        <f>0.05*E163</f>
        <v>1.01</v>
      </c>
      <c r="F149" s="148"/>
      <c r="G149" s="213"/>
      <c r="H149" s="217"/>
      <c r="I149" s="217"/>
      <c r="J149" s="217"/>
      <c r="K149" s="75">
        <f t="shared" si="19"/>
        <v>0</v>
      </c>
      <c r="L149" s="76">
        <f t="shared" si="20"/>
        <v>0</v>
      </c>
      <c r="M149" s="75">
        <f t="shared" si="21"/>
        <v>0</v>
      </c>
      <c r="N149" s="75">
        <f t="shared" si="22"/>
        <v>0</v>
      </c>
      <c r="O149" s="75">
        <f t="shared" si="23"/>
        <v>0</v>
      </c>
      <c r="P149" s="77">
        <f t="shared" si="24"/>
        <v>0</v>
      </c>
    </row>
    <row r="150" spans="1:16" s="61" customFormat="1" ht="15" x14ac:dyDescent="0.2">
      <c r="A150" s="218">
        <v>0</v>
      </c>
      <c r="B150" s="250">
        <v>0</v>
      </c>
      <c r="C150" s="264" t="s">
        <v>485</v>
      </c>
      <c r="D150" s="211" t="s">
        <v>115</v>
      </c>
      <c r="E150" s="205">
        <f>1.1*E149</f>
        <v>1.1110000000000002</v>
      </c>
      <c r="F150" s="148"/>
      <c r="G150" s="148"/>
      <c r="H150" s="217"/>
      <c r="I150" s="217"/>
      <c r="J150" s="217"/>
      <c r="K150" s="75">
        <f t="shared" si="19"/>
        <v>0</v>
      </c>
      <c r="L150" s="76">
        <f t="shared" si="20"/>
        <v>0</v>
      </c>
      <c r="M150" s="75">
        <f t="shared" si="21"/>
        <v>0</v>
      </c>
      <c r="N150" s="75">
        <f t="shared" si="22"/>
        <v>0</v>
      </c>
      <c r="O150" s="75">
        <f t="shared" si="23"/>
        <v>0</v>
      </c>
      <c r="P150" s="77">
        <f t="shared" si="24"/>
        <v>0</v>
      </c>
    </row>
    <row r="151" spans="1:16" s="61" customFormat="1" ht="15" x14ac:dyDescent="0.2">
      <c r="A151" s="218">
        <v>49</v>
      </c>
      <c r="B151" s="250" t="s">
        <v>441</v>
      </c>
      <c r="C151" s="239" t="s">
        <v>503</v>
      </c>
      <c r="D151" s="211" t="s">
        <v>115</v>
      </c>
      <c r="E151" s="205">
        <f>0.15*E163</f>
        <v>3.03</v>
      </c>
      <c r="F151" s="148"/>
      <c r="G151" s="213"/>
      <c r="H151" s="217"/>
      <c r="I151" s="217"/>
      <c r="J151" s="217"/>
      <c r="K151" s="75">
        <f t="shared" si="19"/>
        <v>0</v>
      </c>
      <c r="L151" s="76">
        <f t="shared" si="20"/>
        <v>0</v>
      </c>
      <c r="M151" s="75">
        <f t="shared" si="21"/>
        <v>0</v>
      </c>
      <c r="N151" s="75">
        <f t="shared" si="22"/>
        <v>0</v>
      </c>
      <c r="O151" s="75">
        <f t="shared" si="23"/>
        <v>0</v>
      </c>
      <c r="P151" s="77">
        <f t="shared" si="24"/>
        <v>0</v>
      </c>
    </row>
    <row r="152" spans="1:16" s="61" customFormat="1" x14ac:dyDescent="0.2">
      <c r="A152" s="218">
        <v>0</v>
      </c>
      <c r="B152" s="250">
        <v>0</v>
      </c>
      <c r="C152" s="241" t="s">
        <v>487</v>
      </c>
      <c r="D152" s="211" t="s">
        <v>115</v>
      </c>
      <c r="E152" s="205">
        <f>1.1*E151</f>
        <v>3.3330000000000002</v>
      </c>
      <c r="F152" s="148"/>
      <c r="G152" s="148"/>
      <c r="H152" s="217"/>
      <c r="I152" s="217"/>
      <c r="J152" s="217"/>
      <c r="K152" s="75">
        <f t="shared" si="19"/>
        <v>0</v>
      </c>
      <c r="L152" s="76">
        <f t="shared" si="20"/>
        <v>0</v>
      </c>
      <c r="M152" s="75">
        <f t="shared" si="21"/>
        <v>0</v>
      </c>
      <c r="N152" s="75">
        <f t="shared" si="22"/>
        <v>0</v>
      </c>
      <c r="O152" s="75">
        <f t="shared" si="23"/>
        <v>0</v>
      </c>
      <c r="P152" s="77">
        <f t="shared" si="24"/>
        <v>0</v>
      </c>
    </row>
    <row r="153" spans="1:16" s="61" customFormat="1" ht="15" x14ac:dyDescent="0.2">
      <c r="A153" s="208">
        <v>50</v>
      </c>
      <c r="B153" s="229" t="s">
        <v>229</v>
      </c>
      <c r="C153" s="236" t="s">
        <v>488</v>
      </c>
      <c r="D153" s="233" t="s">
        <v>207</v>
      </c>
      <c r="E153" s="205">
        <f>E163</f>
        <v>20.2</v>
      </c>
      <c r="F153" s="213"/>
      <c r="G153" s="213"/>
      <c r="H153" s="214"/>
      <c r="I153" s="214"/>
      <c r="J153" s="214"/>
      <c r="K153" s="75">
        <f t="shared" si="19"/>
        <v>0</v>
      </c>
      <c r="L153" s="76">
        <f t="shared" si="20"/>
        <v>0</v>
      </c>
      <c r="M153" s="75">
        <f t="shared" si="21"/>
        <v>0</v>
      </c>
      <c r="N153" s="75">
        <f t="shared" si="22"/>
        <v>0</v>
      </c>
      <c r="O153" s="75">
        <f t="shared" si="23"/>
        <v>0</v>
      </c>
      <c r="P153" s="77">
        <f t="shared" si="24"/>
        <v>0</v>
      </c>
    </row>
    <row r="154" spans="1:16" s="61" customFormat="1" ht="15" x14ac:dyDescent="0.2">
      <c r="A154" s="208">
        <v>0</v>
      </c>
      <c r="B154" s="229">
        <v>0</v>
      </c>
      <c r="C154" s="289" t="s">
        <v>489</v>
      </c>
      <c r="D154" s="233" t="s">
        <v>207</v>
      </c>
      <c r="E154" s="205">
        <f>E153</f>
        <v>20.2</v>
      </c>
      <c r="F154" s="213"/>
      <c r="G154" s="213"/>
      <c r="H154" s="214"/>
      <c r="I154" s="214"/>
      <c r="J154" s="214"/>
      <c r="K154" s="75">
        <f t="shared" si="19"/>
        <v>0</v>
      </c>
      <c r="L154" s="76">
        <f t="shared" si="20"/>
        <v>0</v>
      </c>
      <c r="M154" s="75">
        <f t="shared" si="21"/>
        <v>0</v>
      </c>
      <c r="N154" s="75">
        <f t="shared" si="22"/>
        <v>0</v>
      </c>
      <c r="O154" s="75">
        <f t="shared" si="23"/>
        <v>0</v>
      </c>
      <c r="P154" s="77">
        <f t="shared" si="24"/>
        <v>0</v>
      </c>
    </row>
    <row r="155" spans="1:16" s="61" customFormat="1" ht="15" x14ac:dyDescent="0.2">
      <c r="A155" s="218">
        <v>51</v>
      </c>
      <c r="B155" s="250" t="s">
        <v>246</v>
      </c>
      <c r="C155" s="239" t="s">
        <v>490</v>
      </c>
      <c r="D155" s="211" t="s">
        <v>207</v>
      </c>
      <c r="E155" s="205">
        <f>E153</f>
        <v>20.2</v>
      </c>
      <c r="F155" s="148"/>
      <c r="G155" s="213"/>
      <c r="H155" s="217"/>
      <c r="I155" s="217"/>
      <c r="J155" s="217"/>
      <c r="K155" s="75">
        <f t="shared" si="19"/>
        <v>0</v>
      </c>
      <c r="L155" s="76">
        <f t="shared" si="20"/>
        <v>0</v>
      </c>
      <c r="M155" s="75">
        <f t="shared" si="21"/>
        <v>0</v>
      </c>
      <c r="N155" s="75">
        <f t="shared" si="22"/>
        <v>0</v>
      </c>
      <c r="O155" s="75">
        <f t="shared" si="23"/>
        <v>0</v>
      </c>
      <c r="P155" s="77">
        <f t="shared" si="24"/>
        <v>0</v>
      </c>
    </row>
    <row r="156" spans="1:16" s="61" customFormat="1" ht="15" x14ac:dyDescent="0.2">
      <c r="A156" s="218">
        <v>0</v>
      </c>
      <c r="B156" s="250">
        <v>0</v>
      </c>
      <c r="C156" s="215" t="s">
        <v>491</v>
      </c>
      <c r="D156" s="211" t="s">
        <v>207</v>
      </c>
      <c r="E156" s="205">
        <f>1.05*E155</f>
        <v>21.21</v>
      </c>
      <c r="F156" s="148"/>
      <c r="G156" s="148"/>
      <c r="H156" s="217"/>
      <c r="I156" s="217"/>
      <c r="J156" s="217"/>
      <c r="K156" s="75">
        <f t="shared" si="19"/>
        <v>0</v>
      </c>
      <c r="L156" s="76">
        <f t="shared" si="20"/>
        <v>0</v>
      </c>
      <c r="M156" s="75">
        <f t="shared" si="21"/>
        <v>0</v>
      </c>
      <c r="N156" s="75">
        <f t="shared" si="22"/>
        <v>0</v>
      </c>
      <c r="O156" s="75">
        <f t="shared" si="23"/>
        <v>0</v>
      </c>
      <c r="P156" s="77">
        <f t="shared" si="24"/>
        <v>0</v>
      </c>
    </row>
    <row r="157" spans="1:16" s="61" customFormat="1" x14ac:dyDescent="0.2">
      <c r="A157" s="218">
        <v>52</v>
      </c>
      <c r="B157" s="250" t="s">
        <v>404</v>
      </c>
      <c r="C157" s="263" t="s">
        <v>492</v>
      </c>
      <c r="D157" s="211" t="s">
        <v>207</v>
      </c>
      <c r="E157" s="205">
        <f>E163</f>
        <v>20.2</v>
      </c>
      <c r="F157" s="148"/>
      <c r="G157" s="213"/>
      <c r="H157" s="217"/>
      <c r="I157" s="217"/>
      <c r="J157" s="217"/>
      <c r="K157" s="75">
        <f t="shared" si="19"/>
        <v>0</v>
      </c>
      <c r="L157" s="76">
        <f t="shared" si="20"/>
        <v>0</v>
      </c>
      <c r="M157" s="75">
        <f t="shared" si="21"/>
        <v>0</v>
      </c>
      <c r="N157" s="75">
        <f t="shared" si="22"/>
        <v>0</v>
      </c>
      <c r="O157" s="75">
        <f t="shared" si="23"/>
        <v>0</v>
      </c>
      <c r="P157" s="77">
        <f t="shared" si="24"/>
        <v>0</v>
      </c>
    </row>
    <row r="158" spans="1:16" s="61" customFormat="1" ht="15" x14ac:dyDescent="0.2">
      <c r="A158" s="218">
        <v>0</v>
      </c>
      <c r="B158" s="250">
        <v>0</v>
      </c>
      <c r="C158" s="264" t="s">
        <v>493</v>
      </c>
      <c r="D158" s="211" t="s">
        <v>207</v>
      </c>
      <c r="E158" s="205">
        <f>1.1*E157</f>
        <v>22.220000000000002</v>
      </c>
      <c r="F158" s="148"/>
      <c r="G158" s="148"/>
      <c r="H158" s="217"/>
      <c r="I158" s="217"/>
      <c r="J158" s="217"/>
      <c r="K158" s="75">
        <f t="shared" si="19"/>
        <v>0</v>
      </c>
      <c r="L158" s="76">
        <f t="shared" si="20"/>
        <v>0</v>
      </c>
      <c r="M158" s="75">
        <f t="shared" si="21"/>
        <v>0</v>
      </c>
      <c r="N158" s="75">
        <f t="shared" si="22"/>
        <v>0</v>
      </c>
      <c r="O158" s="75">
        <f t="shared" si="23"/>
        <v>0</v>
      </c>
      <c r="P158" s="77">
        <f t="shared" si="24"/>
        <v>0</v>
      </c>
    </row>
    <row r="159" spans="1:16" s="61" customFormat="1" ht="25.5" x14ac:dyDescent="0.2">
      <c r="A159" s="218">
        <v>0</v>
      </c>
      <c r="B159" s="250">
        <v>0</v>
      </c>
      <c r="C159" s="241" t="s">
        <v>494</v>
      </c>
      <c r="D159" s="211" t="s">
        <v>73</v>
      </c>
      <c r="E159" s="205">
        <v>1</v>
      </c>
      <c r="F159" s="148"/>
      <c r="G159" s="148"/>
      <c r="H159" s="217"/>
      <c r="I159" s="217"/>
      <c r="J159" s="217"/>
      <c r="K159" s="75">
        <f t="shared" si="19"/>
        <v>0</v>
      </c>
      <c r="L159" s="76">
        <f t="shared" si="20"/>
        <v>0</v>
      </c>
      <c r="M159" s="75">
        <f t="shared" si="21"/>
        <v>0</v>
      </c>
      <c r="N159" s="75">
        <f t="shared" si="22"/>
        <v>0</v>
      </c>
      <c r="O159" s="75">
        <f t="shared" si="23"/>
        <v>0</v>
      </c>
      <c r="P159" s="77">
        <f t="shared" si="24"/>
        <v>0</v>
      </c>
    </row>
    <row r="160" spans="1:16" s="61" customFormat="1" x14ac:dyDescent="0.2">
      <c r="A160" s="218">
        <v>53</v>
      </c>
      <c r="B160" s="250" t="s">
        <v>404</v>
      </c>
      <c r="C160" s="263" t="s">
        <v>495</v>
      </c>
      <c r="D160" s="211" t="s">
        <v>115</v>
      </c>
      <c r="E160" s="205">
        <f>0.08*E163</f>
        <v>1.6159999999999999</v>
      </c>
      <c r="F160" s="148"/>
      <c r="G160" s="213"/>
      <c r="H160" s="217"/>
      <c r="I160" s="217"/>
      <c r="J160" s="217"/>
      <c r="K160" s="75">
        <f t="shared" ref="K160:K223" si="25">SUM(H160:J160)</f>
        <v>0</v>
      </c>
      <c r="L160" s="76">
        <f t="shared" ref="L160:L223" si="26">ROUND(F160*E160,2)</f>
        <v>0</v>
      </c>
      <c r="M160" s="75">
        <f t="shared" ref="M160:M223" si="27">ROUND(H160*E160,2)</f>
        <v>0</v>
      </c>
      <c r="N160" s="75">
        <f t="shared" ref="N160:N223" si="28">ROUND(I160*E160,2)</f>
        <v>0</v>
      </c>
      <c r="O160" s="75">
        <f t="shared" ref="O160:O223" si="29">ROUND(J160*E160,2)</f>
        <v>0</v>
      </c>
      <c r="P160" s="77">
        <f t="shared" ref="P160:P223" si="30">SUM(M160:O160)</f>
        <v>0</v>
      </c>
    </row>
    <row r="161" spans="1:16" s="61" customFormat="1" ht="15" x14ac:dyDescent="0.2">
      <c r="A161" s="218">
        <v>0</v>
      </c>
      <c r="B161" s="250">
        <v>0</v>
      </c>
      <c r="C161" s="215" t="s">
        <v>496</v>
      </c>
      <c r="D161" s="211" t="s">
        <v>115</v>
      </c>
      <c r="E161" s="205">
        <f>1.05*E160</f>
        <v>1.6967999999999999</v>
      </c>
      <c r="F161" s="148"/>
      <c r="G161" s="148"/>
      <c r="H161" s="217"/>
      <c r="I161" s="217"/>
      <c r="J161" s="217"/>
      <c r="K161" s="75">
        <f t="shared" si="25"/>
        <v>0</v>
      </c>
      <c r="L161" s="76">
        <f t="shared" si="26"/>
        <v>0</v>
      </c>
      <c r="M161" s="75">
        <f t="shared" si="27"/>
        <v>0</v>
      </c>
      <c r="N161" s="75">
        <f t="shared" si="28"/>
        <v>0</v>
      </c>
      <c r="O161" s="75">
        <f t="shared" si="29"/>
        <v>0</v>
      </c>
      <c r="P161" s="77">
        <f t="shared" si="30"/>
        <v>0</v>
      </c>
    </row>
    <row r="162" spans="1:16" s="61" customFormat="1" x14ac:dyDescent="0.2">
      <c r="A162" s="218">
        <v>0</v>
      </c>
      <c r="B162" s="250">
        <v>0</v>
      </c>
      <c r="C162" s="216" t="s">
        <v>136</v>
      </c>
      <c r="D162" s="431" t="s">
        <v>137</v>
      </c>
      <c r="E162" s="205">
        <f>0.25*E160</f>
        <v>0.40399999999999997</v>
      </c>
      <c r="F162" s="148"/>
      <c r="G162" s="148"/>
      <c r="H162" s="217"/>
      <c r="I162" s="217"/>
      <c r="J162" s="217"/>
      <c r="K162" s="75">
        <f t="shared" si="25"/>
        <v>0</v>
      </c>
      <c r="L162" s="76">
        <f t="shared" si="26"/>
        <v>0</v>
      </c>
      <c r="M162" s="75">
        <f t="shared" si="27"/>
        <v>0</v>
      </c>
      <c r="N162" s="75">
        <f t="shared" si="28"/>
        <v>0</v>
      </c>
      <c r="O162" s="75">
        <f t="shared" si="29"/>
        <v>0</v>
      </c>
      <c r="P162" s="77">
        <f t="shared" si="30"/>
        <v>0</v>
      </c>
    </row>
    <row r="163" spans="1:16" s="61" customFormat="1" ht="15" x14ac:dyDescent="0.2">
      <c r="A163" s="208">
        <v>54</v>
      </c>
      <c r="B163" s="229" t="s">
        <v>229</v>
      </c>
      <c r="C163" s="236" t="s">
        <v>488</v>
      </c>
      <c r="D163" s="233" t="s">
        <v>207</v>
      </c>
      <c r="E163" s="205">
        <v>20.2</v>
      </c>
      <c r="F163" s="213"/>
      <c r="G163" s="213"/>
      <c r="H163" s="214"/>
      <c r="I163" s="214"/>
      <c r="J163" s="214"/>
      <c r="K163" s="75">
        <f t="shared" si="25"/>
        <v>0</v>
      </c>
      <c r="L163" s="76">
        <f t="shared" si="26"/>
        <v>0</v>
      </c>
      <c r="M163" s="75">
        <f t="shared" si="27"/>
        <v>0</v>
      </c>
      <c r="N163" s="75">
        <f t="shared" si="28"/>
        <v>0</v>
      </c>
      <c r="O163" s="75">
        <f t="shared" si="29"/>
        <v>0</v>
      </c>
      <c r="P163" s="77">
        <f t="shared" si="30"/>
        <v>0</v>
      </c>
    </row>
    <row r="164" spans="1:16" s="61" customFormat="1" ht="15" x14ac:dyDescent="0.2">
      <c r="A164" s="208">
        <v>0</v>
      </c>
      <c r="B164" s="229">
        <v>0</v>
      </c>
      <c r="C164" s="289" t="s">
        <v>497</v>
      </c>
      <c r="D164" s="233" t="s">
        <v>207</v>
      </c>
      <c r="E164" s="205">
        <f>E163</f>
        <v>20.2</v>
      </c>
      <c r="F164" s="213"/>
      <c r="G164" s="213"/>
      <c r="H164" s="214"/>
      <c r="I164" s="214"/>
      <c r="J164" s="214"/>
      <c r="K164" s="75">
        <f t="shared" si="25"/>
        <v>0</v>
      </c>
      <c r="L164" s="76">
        <f t="shared" si="26"/>
        <v>0</v>
      </c>
      <c r="M164" s="75">
        <f t="shared" si="27"/>
        <v>0</v>
      </c>
      <c r="N164" s="75">
        <f t="shared" si="28"/>
        <v>0</v>
      </c>
      <c r="O164" s="75">
        <f t="shared" si="29"/>
        <v>0</v>
      </c>
      <c r="P164" s="77">
        <f t="shared" si="30"/>
        <v>0</v>
      </c>
    </row>
    <row r="165" spans="1:16" s="61" customFormat="1" x14ac:dyDescent="0.2">
      <c r="A165" s="202">
        <v>0</v>
      </c>
      <c r="B165" s="144"/>
      <c r="C165" s="207" t="s">
        <v>519</v>
      </c>
      <c r="D165" s="204"/>
      <c r="E165" s="205"/>
      <c r="F165" s="148"/>
      <c r="G165" s="148"/>
      <c r="H165" s="217"/>
      <c r="I165" s="217"/>
      <c r="J165" s="217"/>
      <c r="K165" s="75">
        <f t="shared" si="25"/>
        <v>0</v>
      </c>
      <c r="L165" s="76">
        <f t="shared" si="26"/>
        <v>0</v>
      </c>
      <c r="M165" s="75">
        <f t="shared" si="27"/>
        <v>0</v>
      </c>
      <c r="N165" s="75">
        <f t="shared" si="28"/>
        <v>0</v>
      </c>
      <c r="O165" s="75">
        <f t="shared" si="29"/>
        <v>0</v>
      </c>
      <c r="P165" s="77">
        <f t="shared" si="30"/>
        <v>0</v>
      </c>
    </row>
    <row r="166" spans="1:16" s="61" customFormat="1" ht="30" x14ac:dyDescent="0.2">
      <c r="A166" s="218">
        <v>55</v>
      </c>
      <c r="B166" s="250" t="s">
        <v>441</v>
      </c>
      <c r="C166" s="239" t="s">
        <v>484</v>
      </c>
      <c r="D166" s="211" t="s">
        <v>115</v>
      </c>
      <c r="E166" s="205">
        <f>0.05*E180</f>
        <v>1.155</v>
      </c>
      <c r="F166" s="148"/>
      <c r="G166" s="213"/>
      <c r="H166" s="217"/>
      <c r="I166" s="217"/>
      <c r="J166" s="217"/>
      <c r="K166" s="75">
        <f t="shared" si="25"/>
        <v>0</v>
      </c>
      <c r="L166" s="76">
        <f t="shared" si="26"/>
        <v>0</v>
      </c>
      <c r="M166" s="75">
        <f t="shared" si="27"/>
        <v>0</v>
      </c>
      <c r="N166" s="75">
        <f t="shared" si="28"/>
        <v>0</v>
      </c>
      <c r="O166" s="75">
        <f t="shared" si="29"/>
        <v>0</v>
      </c>
      <c r="P166" s="77">
        <f t="shared" si="30"/>
        <v>0</v>
      </c>
    </row>
    <row r="167" spans="1:16" s="61" customFormat="1" ht="15" x14ac:dyDescent="0.2">
      <c r="A167" s="218">
        <v>0</v>
      </c>
      <c r="B167" s="250">
        <v>0</v>
      </c>
      <c r="C167" s="264" t="s">
        <v>485</v>
      </c>
      <c r="D167" s="211" t="s">
        <v>115</v>
      </c>
      <c r="E167" s="205">
        <f>1.1*E166</f>
        <v>1.2705000000000002</v>
      </c>
      <c r="F167" s="148"/>
      <c r="G167" s="148"/>
      <c r="H167" s="217"/>
      <c r="I167" s="217"/>
      <c r="J167" s="217"/>
      <c r="K167" s="75">
        <f t="shared" si="25"/>
        <v>0</v>
      </c>
      <c r="L167" s="76">
        <f t="shared" si="26"/>
        <v>0</v>
      </c>
      <c r="M167" s="75">
        <f t="shared" si="27"/>
        <v>0</v>
      </c>
      <c r="N167" s="75">
        <f t="shared" si="28"/>
        <v>0</v>
      </c>
      <c r="O167" s="75">
        <f t="shared" si="29"/>
        <v>0</v>
      </c>
      <c r="P167" s="77">
        <f t="shared" si="30"/>
        <v>0</v>
      </c>
    </row>
    <row r="168" spans="1:16" s="61" customFormat="1" x14ac:dyDescent="0.2">
      <c r="A168" s="218">
        <v>56</v>
      </c>
      <c r="B168" s="250" t="s">
        <v>441</v>
      </c>
      <c r="C168" s="263" t="s">
        <v>486</v>
      </c>
      <c r="D168" s="211" t="s">
        <v>115</v>
      </c>
      <c r="E168" s="205">
        <f>0.15*E180</f>
        <v>3.4650000000000003</v>
      </c>
      <c r="F168" s="148"/>
      <c r="G168" s="213"/>
      <c r="H168" s="217"/>
      <c r="I168" s="217"/>
      <c r="J168" s="217"/>
      <c r="K168" s="75">
        <f t="shared" si="25"/>
        <v>0</v>
      </c>
      <c r="L168" s="76">
        <f t="shared" si="26"/>
        <v>0</v>
      </c>
      <c r="M168" s="75">
        <f t="shared" si="27"/>
        <v>0</v>
      </c>
      <c r="N168" s="75">
        <f t="shared" si="28"/>
        <v>0</v>
      </c>
      <c r="O168" s="75">
        <f t="shared" si="29"/>
        <v>0</v>
      </c>
      <c r="P168" s="77">
        <f t="shared" si="30"/>
        <v>0</v>
      </c>
    </row>
    <row r="169" spans="1:16" s="61" customFormat="1" x14ac:dyDescent="0.2">
      <c r="A169" s="218">
        <v>0</v>
      </c>
      <c r="B169" s="250">
        <v>0</v>
      </c>
      <c r="C169" s="241" t="s">
        <v>487</v>
      </c>
      <c r="D169" s="211" t="s">
        <v>115</v>
      </c>
      <c r="E169" s="205">
        <f>1.1*E168</f>
        <v>3.8115000000000006</v>
      </c>
      <c r="F169" s="148"/>
      <c r="G169" s="148"/>
      <c r="H169" s="217"/>
      <c r="I169" s="217"/>
      <c r="J169" s="217"/>
      <c r="K169" s="75">
        <f t="shared" si="25"/>
        <v>0</v>
      </c>
      <c r="L169" s="76">
        <f t="shared" si="26"/>
        <v>0</v>
      </c>
      <c r="M169" s="75">
        <f t="shared" si="27"/>
        <v>0</v>
      </c>
      <c r="N169" s="75">
        <f t="shared" si="28"/>
        <v>0</v>
      </c>
      <c r="O169" s="75">
        <f t="shared" si="29"/>
        <v>0</v>
      </c>
      <c r="P169" s="77">
        <f t="shared" si="30"/>
        <v>0</v>
      </c>
    </row>
    <row r="170" spans="1:16" s="61" customFormat="1" ht="15" x14ac:dyDescent="0.2">
      <c r="A170" s="208">
        <v>57</v>
      </c>
      <c r="B170" s="229" t="s">
        <v>229</v>
      </c>
      <c r="C170" s="236" t="s">
        <v>488</v>
      </c>
      <c r="D170" s="233" t="s">
        <v>207</v>
      </c>
      <c r="E170" s="205">
        <f>E180</f>
        <v>23.1</v>
      </c>
      <c r="F170" s="213"/>
      <c r="G170" s="213"/>
      <c r="H170" s="214"/>
      <c r="I170" s="214"/>
      <c r="J170" s="214"/>
      <c r="K170" s="75">
        <f t="shared" si="25"/>
        <v>0</v>
      </c>
      <c r="L170" s="76">
        <f t="shared" si="26"/>
        <v>0</v>
      </c>
      <c r="M170" s="75">
        <f t="shared" si="27"/>
        <v>0</v>
      </c>
      <c r="N170" s="75">
        <f t="shared" si="28"/>
        <v>0</v>
      </c>
      <c r="O170" s="75">
        <f t="shared" si="29"/>
        <v>0</v>
      </c>
      <c r="P170" s="77">
        <f t="shared" si="30"/>
        <v>0</v>
      </c>
    </row>
    <row r="171" spans="1:16" s="61" customFormat="1" ht="15" x14ac:dyDescent="0.2">
      <c r="A171" s="208">
        <v>0</v>
      </c>
      <c r="B171" s="229">
        <v>0</v>
      </c>
      <c r="C171" s="289" t="s">
        <v>489</v>
      </c>
      <c r="D171" s="233" t="s">
        <v>207</v>
      </c>
      <c r="E171" s="205">
        <f>E170</f>
        <v>23.1</v>
      </c>
      <c r="F171" s="213"/>
      <c r="G171" s="213"/>
      <c r="H171" s="214"/>
      <c r="I171" s="214"/>
      <c r="J171" s="214"/>
      <c r="K171" s="75">
        <f t="shared" si="25"/>
        <v>0</v>
      </c>
      <c r="L171" s="76">
        <f t="shared" si="26"/>
        <v>0</v>
      </c>
      <c r="M171" s="75">
        <f t="shared" si="27"/>
        <v>0</v>
      </c>
      <c r="N171" s="75">
        <f t="shared" si="28"/>
        <v>0</v>
      </c>
      <c r="O171" s="75">
        <f t="shared" si="29"/>
        <v>0</v>
      </c>
      <c r="P171" s="77">
        <f t="shared" si="30"/>
        <v>0</v>
      </c>
    </row>
    <row r="172" spans="1:16" s="61" customFormat="1" ht="15" x14ac:dyDescent="0.2">
      <c r="A172" s="218">
        <v>58</v>
      </c>
      <c r="B172" s="250" t="s">
        <v>246</v>
      </c>
      <c r="C172" s="239" t="s">
        <v>490</v>
      </c>
      <c r="D172" s="211" t="s">
        <v>207</v>
      </c>
      <c r="E172" s="205">
        <f>E170</f>
        <v>23.1</v>
      </c>
      <c r="F172" s="148"/>
      <c r="G172" s="213"/>
      <c r="H172" s="217"/>
      <c r="I172" s="217"/>
      <c r="J172" s="217"/>
      <c r="K172" s="75">
        <f t="shared" si="25"/>
        <v>0</v>
      </c>
      <c r="L172" s="76">
        <f t="shared" si="26"/>
        <v>0</v>
      </c>
      <c r="M172" s="75">
        <f t="shared" si="27"/>
        <v>0</v>
      </c>
      <c r="N172" s="75">
        <f t="shared" si="28"/>
        <v>0</v>
      </c>
      <c r="O172" s="75">
        <f t="shared" si="29"/>
        <v>0</v>
      </c>
      <c r="P172" s="77">
        <f t="shared" si="30"/>
        <v>0</v>
      </c>
    </row>
    <row r="173" spans="1:16" s="61" customFormat="1" ht="15" x14ac:dyDescent="0.2">
      <c r="A173" s="218">
        <v>0</v>
      </c>
      <c r="B173" s="250">
        <v>0</v>
      </c>
      <c r="C173" s="215" t="s">
        <v>491</v>
      </c>
      <c r="D173" s="211" t="s">
        <v>207</v>
      </c>
      <c r="E173" s="205">
        <f>1.05*E172</f>
        <v>24.255000000000003</v>
      </c>
      <c r="F173" s="148"/>
      <c r="G173" s="148"/>
      <c r="H173" s="217"/>
      <c r="I173" s="217"/>
      <c r="J173" s="217"/>
      <c r="K173" s="75">
        <f t="shared" si="25"/>
        <v>0</v>
      </c>
      <c r="L173" s="76">
        <f t="shared" si="26"/>
        <v>0</v>
      </c>
      <c r="M173" s="75">
        <f t="shared" si="27"/>
        <v>0</v>
      </c>
      <c r="N173" s="75">
        <f t="shared" si="28"/>
        <v>0</v>
      </c>
      <c r="O173" s="75">
        <f t="shared" si="29"/>
        <v>0</v>
      </c>
      <c r="P173" s="77">
        <f t="shared" si="30"/>
        <v>0</v>
      </c>
    </row>
    <row r="174" spans="1:16" s="61" customFormat="1" x14ac:dyDescent="0.2">
      <c r="A174" s="218">
        <v>59</v>
      </c>
      <c r="B174" s="250" t="s">
        <v>404</v>
      </c>
      <c r="C174" s="263" t="s">
        <v>492</v>
      </c>
      <c r="D174" s="211" t="s">
        <v>207</v>
      </c>
      <c r="E174" s="205">
        <f>E180</f>
        <v>23.1</v>
      </c>
      <c r="F174" s="148"/>
      <c r="G174" s="213"/>
      <c r="H174" s="217"/>
      <c r="I174" s="217"/>
      <c r="J174" s="217"/>
      <c r="K174" s="75">
        <f t="shared" si="25"/>
        <v>0</v>
      </c>
      <c r="L174" s="76">
        <f t="shared" si="26"/>
        <v>0</v>
      </c>
      <c r="M174" s="75">
        <f t="shared" si="27"/>
        <v>0</v>
      </c>
      <c r="N174" s="75">
        <f t="shared" si="28"/>
        <v>0</v>
      </c>
      <c r="O174" s="75">
        <f t="shared" si="29"/>
        <v>0</v>
      </c>
      <c r="P174" s="77">
        <f t="shared" si="30"/>
        <v>0</v>
      </c>
    </row>
    <row r="175" spans="1:16" s="61" customFormat="1" ht="15" x14ac:dyDescent="0.2">
      <c r="A175" s="218">
        <v>0</v>
      </c>
      <c r="B175" s="250">
        <v>0</v>
      </c>
      <c r="C175" s="264" t="s">
        <v>493</v>
      </c>
      <c r="D175" s="211" t="s">
        <v>207</v>
      </c>
      <c r="E175" s="205">
        <f>1.1*E174</f>
        <v>25.410000000000004</v>
      </c>
      <c r="F175" s="148"/>
      <c r="G175" s="148"/>
      <c r="H175" s="217"/>
      <c r="I175" s="217"/>
      <c r="J175" s="217"/>
      <c r="K175" s="75">
        <f t="shared" si="25"/>
        <v>0</v>
      </c>
      <c r="L175" s="76">
        <f t="shared" si="26"/>
        <v>0</v>
      </c>
      <c r="M175" s="75">
        <f t="shared" si="27"/>
        <v>0</v>
      </c>
      <c r="N175" s="75">
        <f t="shared" si="28"/>
        <v>0</v>
      </c>
      <c r="O175" s="75">
        <f t="shared" si="29"/>
        <v>0</v>
      </c>
      <c r="P175" s="77">
        <f t="shared" si="30"/>
        <v>0</v>
      </c>
    </row>
    <row r="176" spans="1:16" s="61" customFormat="1" ht="25.5" x14ac:dyDescent="0.2">
      <c r="A176" s="218">
        <v>0</v>
      </c>
      <c r="B176" s="250">
        <v>0</v>
      </c>
      <c r="C176" s="241" t="s">
        <v>494</v>
      </c>
      <c r="D176" s="211" t="s">
        <v>73</v>
      </c>
      <c r="E176" s="205">
        <v>1</v>
      </c>
      <c r="F176" s="148"/>
      <c r="G176" s="148"/>
      <c r="H176" s="217"/>
      <c r="I176" s="217"/>
      <c r="J176" s="217"/>
      <c r="K176" s="75">
        <f t="shared" si="25"/>
        <v>0</v>
      </c>
      <c r="L176" s="76">
        <f t="shared" si="26"/>
        <v>0</v>
      </c>
      <c r="M176" s="75">
        <f t="shared" si="27"/>
        <v>0</v>
      </c>
      <c r="N176" s="75">
        <f t="shared" si="28"/>
        <v>0</v>
      </c>
      <c r="O176" s="75">
        <f t="shared" si="29"/>
        <v>0</v>
      </c>
      <c r="P176" s="77">
        <f t="shared" si="30"/>
        <v>0</v>
      </c>
    </row>
    <row r="177" spans="1:16" s="61" customFormat="1" x14ac:dyDescent="0.2">
      <c r="A177" s="218">
        <v>60</v>
      </c>
      <c r="B177" s="250" t="s">
        <v>404</v>
      </c>
      <c r="C177" s="263" t="s">
        <v>495</v>
      </c>
      <c r="D177" s="211" t="s">
        <v>115</v>
      </c>
      <c r="E177" s="205">
        <f>0.08*E180</f>
        <v>1.8480000000000001</v>
      </c>
      <c r="F177" s="148"/>
      <c r="G177" s="213"/>
      <c r="H177" s="217"/>
      <c r="I177" s="217"/>
      <c r="J177" s="217"/>
      <c r="K177" s="75">
        <f t="shared" si="25"/>
        <v>0</v>
      </c>
      <c r="L177" s="76">
        <f t="shared" si="26"/>
        <v>0</v>
      </c>
      <c r="M177" s="75">
        <f t="shared" si="27"/>
        <v>0</v>
      </c>
      <c r="N177" s="75">
        <f t="shared" si="28"/>
        <v>0</v>
      </c>
      <c r="O177" s="75">
        <f t="shared" si="29"/>
        <v>0</v>
      </c>
      <c r="P177" s="77">
        <f t="shared" si="30"/>
        <v>0</v>
      </c>
    </row>
    <row r="178" spans="1:16" s="61" customFormat="1" ht="15" x14ac:dyDescent="0.2">
      <c r="A178" s="218">
        <v>0</v>
      </c>
      <c r="B178" s="250">
        <v>0</v>
      </c>
      <c r="C178" s="215" t="s">
        <v>496</v>
      </c>
      <c r="D178" s="211" t="s">
        <v>115</v>
      </c>
      <c r="E178" s="205">
        <f>1.05*E177</f>
        <v>1.9404000000000001</v>
      </c>
      <c r="F178" s="148"/>
      <c r="G178" s="148"/>
      <c r="H178" s="217"/>
      <c r="I178" s="217"/>
      <c r="J178" s="217"/>
      <c r="K178" s="75">
        <f t="shared" si="25"/>
        <v>0</v>
      </c>
      <c r="L178" s="76">
        <f t="shared" si="26"/>
        <v>0</v>
      </c>
      <c r="M178" s="75">
        <f t="shared" si="27"/>
        <v>0</v>
      </c>
      <c r="N178" s="75">
        <f t="shared" si="28"/>
        <v>0</v>
      </c>
      <c r="O178" s="75">
        <f t="shared" si="29"/>
        <v>0</v>
      </c>
      <c r="P178" s="77">
        <f t="shared" si="30"/>
        <v>0</v>
      </c>
    </row>
    <row r="179" spans="1:16" s="61" customFormat="1" x14ac:dyDescent="0.2">
      <c r="A179" s="218">
        <v>0</v>
      </c>
      <c r="B179" s="250">
        <v>0</v>
      </c>
      <c r="C179" s="216" t="s">
        <v>136</v>
      </c>
      <c r="D179" s="431" t="s">
        <v>137</v>
      </c>
      <c r="E179" s="205">
        <f>0.25*E177</f>
        <v>0.46200000000000002</v>
      </c>
      <c r="F179" s="148"/>
      <c r="G179" s="148"/>
      <c r="H179" s="217"/>
      <c r="I179" s="217"/>
      <c r="J179" s="217"/>
      <c r="K179" s="75">
        <f t="shared" si="25"/>
        <v>0</v>
      </c>
      <c r="L179" s="76">
        <f t="shared" si="26"/>
        <v>0</v>
      </c>
      <c r="M179" s="75">
        <f t="shared" si="27"/>
        <v>0</v>
      </c>
      <c r="N179" s="75">
        <f t="shared" si="28"/>
        <v>0</v>
      </c>
      <c r="O179" s="75">
        <f t="shared" si="29"/>
        <v>0</v>
      </c>
      <c r="P179" s="77">
        <f t="shared" si="30"/>
        <v>0</v>
      </c>
    </row>
    <row r="180" spans="1:16" s="61" customFormat="1" ht="25.5" x14ac:dyDescent="0.2">
      <c r="A180" s="208">
        <v>61</v>
      </c>
      <c r="B180" s="209" t="s">
        <v>229</v>
      </c>
      <c r="C180" s="263" t="s">
        <v>500</v>
      </c>
      <c r="D180" s="67" t="s">
        <v>207</v>
      </c>
      <c r="E180" s="205">
        <v>23.1</v>
      </c>
      <c r="F180" s="213"/>
      <c r="G180" s="213"/>
      <c r="H180" s="214"/>
      <c r="I180" s="214"/>
      <c r="J180" s="214"/>
      <c r="K180" s="75">
        <f t="shared" si="25"/>
        <v>0</v>
      </c>
      <c r="L180" s="76">
        <f t="shared" si="26"/>
        <v>0</v>
      </c>
      <c r="M180" s="75">
        <f t="shared" si="27"/>
        <v>0</v>
      </c>
      <c r="N180" s="75">
        <f t="shared" si="28"/>
        <v>0</v>
      </c>
      <c r="O180" s="75">
        <f t="shared" si="29"/>
        <v>0</v>
      </c>
      <c r="P180" s="77">
        <f t="shared" si="30"/>
        <v>0</v>
      </c>
    </row>
    <row r="181" spans="1:16" s="61" customFormat="1" x14ac:dyDescent="0.2">
      <c r="A181" s="208">
        <v>0</v>
      </c>
      <c r="B181" s="209">
        <v>0</v>
      </c>
      <c r="C181" s="241" t="s">
        <v>501</v>
      </c>
      <c r="D181" s="67" t="s">
        <v>131</v>
      </c>
      <c r="E181" s="205">
        <f>1.5*3*1.15*E180</f>
        <v>119.5425</v>
      </c>
      <c r="F181" s="213"/>
      <c r="G181" s="213"/>
      <c r="H181" s="214"/>
      <c r="I181" s="214"/>
      <c r="J181" s="214"/>
      <c r="K181" s="75">
        <f t="shared" si="25"/>
        <v>0</v>
      </c>
      <c r="L181" s="76">
        <f t="shared" si="26"/>
        <v>0</v>
      </c>
      <c r="M181" s="75">
        <f t="shared" si="27"/>
        <v>0</v>
      </c>
      <c r="N181" s="75">
        <f t="shared" si="28"/>
        <v>0</v>
      </c>
      <c r="O181" s="75">
        <f t="shared" si="29"/>
        <v>0</v>
      </c>
      <c r="P181" s="77">
        <f t="shared" si="30"/>
        <v>0</v>
      </c>
    </row>
    <row r="182" spans="1:16" s="61" customFormat="1" x14ac:dyDescent="0.2">
      <c r="A182" s="202">
        <v>0</v>
      </c>
      <c r="B182" s="144"/>
      <c r="C182" s="207" t="s">
        <v>520</v>
      </c>
      <c r="D182" s="204"/>
      <c r="E182" s="205"/>
      <c r="F182" s="148"/>
      <c r="G182" s="148"/>
      <c r="H182" s="217"/>
      <c r="I182" s="217"/>
      <c r="J182" s="217"/>
      <c r="K182" s="75">
        <f t="shared" si="25"/>
        <v>0</v>
      </c>
      <c r="L182" s="76">
        <f t="shared" si="26"/>
        <v>0</v>
      </c>
      <c r="M182" s="75">
        <f t="shared" si="27"/>
        <v>0</v>
      </c>
      <c r="N182" s="75">
        <f t="shared" si="28"/>
        <v>0</v>
      </c>
      <c r="O182" s="75">
        <f t="shared" si="29"/>
        <v>0</v>
      </c>
      <c r="P182" s="77">
        <f t="shared" si="30"/>
        <v>0</v>
      </c>
    </row>
    <row r="183" spans="1:16" s="61" customFormat="1" x14ac:dyDescent="0.2">
      <c r="A183" s="202">
        <v>0</v>
      </c>
      <c r="B183" s="144"/>
      <c r="C183" s="207" t="s">
        <v>521</v>
      </c>
      <c r="D183" s="204"/>
      <c r="E183" s="205"/>
      <c r="F183" s="148"/>
      <c r="G183" s="148"/>
      <c r="H183" s="217"/>
      <c r="I183" s="217"/>
      <c r="J183" s="217"/>
      <c r="K183" s="75">
        <f t="shared" si="25"/>
        <v>0</v>
      </c>
      <c r="L183" s="76">
        <f t="shared" si="26"/>
        <v>0</v>
      </c>
      <c r="M183" s="75">
        <f t="shared" si="27"/>
        <v>0</v>
      </c>
      <c r="N183" s="75">
        <f t="shared" si="28"/>
        <v>0</v>
      </c>
      <c r="O183" s="75">
        <f t="shared" si="29"/>
        <v>0</v>
      </c>
      <c r="P183" s="77">
        <f t="shared" si="30"/>
        <v>0</v>
      </c>
    </row>
    <row r="184" spans="1:16" s="61" customFormat="1" x14ac:dyDescent="0.2">
      <c r="A184" s="218">
        <v>62</v>
      </c>
      <c r="B184" s="250" t="s">
        <v>246</v>
      </c>
      <c r="C184" s="263" t="s">
        <v>506</v>
      </c>
      <c r="D184" s="67" t="s">
        <v>207</v>
      </c>
      <c r="E184" s="205">
        <f>E192</f>
        <v>3.3</v>
      </c>
      <c r="F184" s="213"/>
      <c r="G184" s="213"/>
      <c r="H184" s="214"/>
      <c r="I184" s="214"/>
      <c r="J184" s="214"/>
      <c r="K184" s="75">
        <f t="shared" si="25"/>
        <v>0</v>
      </c>
      <c r="L184" s="76">
        <f t="shared" si="26"/>
        <v>0</v>
      </c>
      <c r="M184" s="75">
        <f t="shared" si="27"/>
        <v>0</v>
      </c>
      <c r="N184" s="75">
        <f t="shared" si="28"/>
        <v>0</v>
      </c>
      <c r="O184" s="75">
        <f t="shared" si="29"/>
        <v>0</v>
      </c>
      <c r="P184" s="77">
        <f t="shared" si="30"/>
        <v>0</v>
      </c>
    </row>
    <row r="185" spans="1:16" s="61" customFormat="1" x14ac:dyDescent="0.2">
      <c r="A185" s="218">
        <v>0</v>
      </c>
      <c r="B185" s="250">
        <v>0</v>
      </c>
      <c r="C185" s="241" t="s">
        <v>507</v>
      </c>
      <c r="D185" s="67" t="s">
        <v>207</v>
      </c>
      <c r="E185" s="205">
        <f>1.05*E184</f>
        <v>3.4649999999999999</v>
      </c>
      <c r="F185" s="213"/>
      <c r="G185" s="213"/>
      <c r="H185" s="214"/>
      <c r="I185" s="214"/>
      <c r="J185" s="214"/>
      <c r="K185" s="75">
        <f t="shared" si="25"/>
        <v>0</v>
      </c>
      <c r="L185" s="76">
        <f t="shared" si="26"/>
        <v>0</v>
      </c>
      <c r="M185" s="75">
        <f t="shared" si="27"/>
        <v>0</v>
      </c>
      <c r="N185" s="75">
        <f t="shared" si="28"/>
        <v>0</v>
      </c>
      <c r="O185" s="75">
        <f t="shared" si="29"/>
        <v>0</v>
      </c>
      <c r="P185" s="77">
        <f t="shared" si="30"/>
        <v>0</v>
      </c>
    </row>
    <row r="186" spans="1:16" s="61" customFormat="1" x14ac:dyDescent="0.2">
      <c r="A186" s="218">
        <v>63</v>
      </c>
      <c r="B186" s="250" t="s">
        <v>404</v>
      </c>
      <c r="C186" s="263" t="s">
        <v>492</v>
      </c>
      <c r="D186" s="211" t="s">
        <v>207</v>
      </c>
      <c r="E186" s="205">
        <f>E192</f>
        <v>3.3</v>
      </c>
      <c r="F186" s="148"/>
      <c r="G186" s="213"/>
      <c r="H186" s="217"/>
      <c r="I186" s="217"/>
      <c r="J186" s="217"/>
      <c r="K186" s="75">
        <f t="shared" si="25"/>
        <v>0</v>
      </c>
      <c r="L186" s="76">
        <f t="shared" si="26"/>
        <v>0</v>
      </c>
      <c r="M186" s="75">
        <f t="shared" si="27"/>
        <v>0</v>
      </c>
      <c r="N186" s="75">
        <f t="shared" si="28"/>
        <v>0</v>
      </c>
      <c r="O186" s="75">
        <f t="shared" si="29"/>
        <v>0</v>
      </c>
      <c r="P186" s="77">
        <f t="shared" si="30"/>
        <v>0</v>
      </c>
    </row>
    <row r="187" spans="1:16" s="61" customFormat="1" ht="15" x14ac:dyDescent="0.2">
      <c r="A187" s="218">
        <v>0</v>
      </c>
      <c r="B187" s="250">
        <v>0</v>
      </c>
      <c r="C187" s="264" t="s">
        <v>493</v>
      </c>
      <c r="D187" s="211" t="s">
        <v>207</v>
      </c>
      <c r="E187" s="205">
        <f>1.1*E186</f>
        <v>3.63</v>
      </c>
      <c r="F187" s="148"/>
      <c r="G187" s="148"/>
      <c r="H187" s="217"/>
      <c r="I187" s="217"/>
      <c r="J187" s="217"/>
      <c r="K187" s="75">
        <f t="shared" si="25"/>
        <v>0</v>
      </c>
      <c r="L187" s="76">
        <f t="shared" si="26"/>
        <v>0</v>
      </c>
      <c r="M187" s="75">
        <f t="shared" si="27"/>
        <v>0</v>
      </c>
      <c r="N187" s="75">
        <f t="shared" si="28"/>
        <v>0</v>
      </c>
      <c r="O187" s="75">
        <f t="shared" si="29"/>
        <v>0</v>
      </c>
      <c r="P187" s="77">
        <f t="shared" si="30"/>
        <v>0</v>
      </c>
    </row>
    <row r="188" spans="1:16" s="61" customFormat="1" ht="25.5" x14ac:dyDescent="0.2">
      <c r="A188" s="218">
        <v>0</v>
      </c>
      <c r="B188" s="250">
        <v>0</v>
      </c>
      <c r="C188" s="241" t="s">
        <v>494</v>
      </c>
      <c r="D188" s="211" t="s">
        <v>73</v>
      </c>
      <c r="E188" s="205">
        <v>1</v>
      </c>
      <c r="F188" s="148"/>
      <c r="G188" s="148"/>
      <c r="H188" s="217"/>
      <c r="I188" s="217"/>
      <c r="J188" s="217"/>
      <c r="K188" s="75">
        <f t="shared" si="25"/>
        <v>0</v>
      </c>
      <c r="L188" s="76">
        <f t="shared" si="26"/>
        <v>0</v>
      </c>
      <c r="M188" s="75">
        <f t="shared" si="27"/>
        <v>0</v>
      </c>
      <c r="N188" s="75">
        <f t="shared" si="28"/>
        <v>0</v>
      </c>
      <c r="O188" s="75">
        <f t="shared" si="29"/>
        <v>0</v>
      </c>
      <c r="P188" s="77">
        <f t="shared" si="30"/>
        <v>0</v>
      </c>
    </row>
    <row r="189" spans="1:16" s="61" customFormat="1" ht="15" x14ac:dyDescent="0.2">
      <c r="A189" s="218">
        <v>64</v>
      </c>
      <c r="B189" s="250" t="s">
        <v>404</v>
      </c>
      <c r="C189" s="239" t="s">
        <v>508</v>
      </c>
      <c r="D189" s="211" t="s">
        <v>115</v>
      </c>
      <c r="E189" s="205">
        <f>0.06*E192</f>
        <v>0.19799999999999998</v>
      </c>
      <c r="F189" s="148"/>
      <c r="G189" s="213"/>
      <c r="H189" s="217"/>
      <c r="I189" s="217"/>
      <c r="J189" s="217"/>
      <c r="K189" s="75">
        <f t="shared" si="25"/>
        <v>0</v>
      </c>
      <c r="L189" s="76">
        <f t="shared" si="26"/>
        <v>0</v>
      </c>
      <c r="M189" s="75">
        <f t="shared" si="27"/>
        <v>0</v>
      </c>
      <c r="N189" s="75">
        <f t="shared" si="28"/>
        <v>0</v>
      </c>
      <c r="O189" s="75">
        <f t="shared" si="29"/>
        <v>0</v>
      </c>
      <c r="P189" s="77">
        <f t="shared" si="30"/>
        <v>0</v>
      </c>
    </row>
    <row r="190" spans="1:16" s="61" customFormat="1" ht="15" x14ac:dyDescent="0.2">
      <c r="A190" s="218">
        <v>0</v>
      </c>
      <c r="B190" s="250">
        <v>0</v>
      </c>
      <c r="C190" s="215" t="s">
        <v>496</v>
      </c>
      <c r="D190" s="211" t="s">
        <v>115</v>
      </c>
      <c r="E190" s="205">
        <f>1.05*E189</f>
        <v>0.2079</v>
      </c>
      <c r="F190" s="148"/>
      <c r="G190" s="148"/>
      <c r="H190" s="217"/>
      <c r="I190" s="217"/>
      <c r="J190" s="217"/>
      <c r="K190" s="75">
        <f t="shared" si="25"/>
        <v>0</v>
      </c>
      <c r="L190" s="76">
        <f t="shared" si="26"/>
        <v>0</v>
      </c>
      <c r="M190" s="75">
        <f t="shared" si="27"/>
        <v>0</v>
      </c>
      <c r="N190" s="75">
        <f t="shared" si="28"/>
        <v>0</v>
      </c>
      <c r="O190" s="75">
        <f t="shared" si="29"/>
        <v>0</v>
      </c>
      <c r="P190" s="77">
        <f t="shared" si="30"/>
        <v>0</v>
      </c>
    </row>
    <row r="191" spans="1:16" s="61" customFormat="1" x14ac:dyDescent="0.2">
      <c r="A191" s="218">
        <v>0</v>
      </c>
      <c r="B191" s="250">
        <v>0</v>
      </c>
      <c r="C191" s="216" t="s">
        <v>136</v>
      </c>
      <c r="D191" s="431" t="s">
        <v>137</v>
      </c>
      <c r="E191" s="205">
        <f>0.25*E189</f>
        <v>4.9499999999999995E-2</v>
      </c>
      <c r="F191" s="148"/>
      <c r="G191" s="148"/>
      <c r="H191" s="217"/>
      <c r="I191" s="217"/>
      <c r="J191" s="217"/>
      <c r="K191" s="75">
        <f t="shared" si="25"/>
        <v>0</v>
      </c>
      <c r="L191" s="76">
        <f t="shared" si="26"/>
        <v>0</v>
      </c>
      <c r="M191" s="75">
        <f t="shared" si="27"/>
        <v>0</v>
      </c>
      <c r="N191" s="75">
        <f t="shared" si="28"/>
        <v>0</v>
      </c>
      <c r="O191" s="75">
        <f t="shared" si="29"/>
        <v>0</v>
      </c>
      <c r="P191" s="77">
        <f t="shared" si="30"/>
        <v>0</v>
      </c>
    </row>
    <row r="192" spans="1:16" s="61" customFormat="1" ht="15" x14ac:dyDescent="0.2">
      <c r="A192" s="208">
        <v>65</v>
      </c>
      <c r="B192" s="229" t="s">
        <v>229</v>
      </c>
      <c r="C192" s="236" t="s">
        <v>488</v>
      </c>
      <c r="D192" s="233" t="s">
        <v>207</v>
      </c>
      <c r="E192" s="205">
        <v>3.3</v>
      </c>
      <c r="F192" s="213"/>
      <c r="G192" s="213"/>
      <c r="H192" s="214"/>
      <c r="I192" s="214"/>
      <c r="J192" s="214"/>
      <c r="K192" s="75">
        <f t="shared" si="25"/>
        <v>0</v>
      </c>
      <c r="L192" s="76">
        <f t="shared" si="26"/>
        <v>0</v>
      </c>
      <c r="M192" s="75">
        <f t="shared" si="27"/>
        <v>0</v>
      </c>
      <c r="N192" s="75">
        <f t="shared" si="28"/>
        <v>0</v>
      </c>
      <c r="O192" s="75">
        <f t="shared" si="29"/>
        <v>0</v>
      </c>
      <c r="P192" s="77">
        <f t="shared" si="30"/>
        <v>0</v>
      </c>
    </row>
    <row r="193" spans="1:16" s="61" customFormat="1" ht="15" x14ac:dyDescent="0.2">
      <c r="A193" s="208">
        <v>0</v>
      </c>
      <c r="B193" s="229">
        <v>0</v>
      </c>
      <c r="C193" s="289" t="s">
        <v>497</v>
      </c>
      <c r="D193" s="233" t="s">
        <v>207</v>
      </c>
      <c r="E193" s="205">
        <f>E192</f>
        <v>3.3</v>
      </c>
      <c r="F193" s="213"/>
      <c r="G193" s="213"/>
      <c r="H193" s="214"/>
      <c r="I193" s="214"/>
      <c r="J193" s="214"/>
      <c r="K193" s="75">
        <f t="shared" si="25"/>
        <v>0</v>
      </c>
      <c r="L193" s="76">
        <f t="shared" si="26"/>
        <v>0</v>
      </c>
      <c r="M193" s="75">
        <f t="shared" si="27"/>
        <v>0</v>
      </c>
      <c r="N193" s="75">
        <f t="shared" si="28"/>
        <v>0</v>
      </c>
      <c r="O193" s="75">
        <f t="shared" si="29"/>
        <v>0</v>
      </c>
      <c r="P193" s="77">
        <f t="shared" si="30"/>
        <v>0</v>
      </c>
    </row>
    <row r="194" spans="1:16" s="61" customFormat="1" x14ac:dyDescent="0.2">
      <c r="A194" s="202">
        <v>0</v>
      </c>
      <c r="B194" s="144"/>
      <c r="C194" s="207" t="s">
        <v>522</v>
      </c>
      <c r="D194" s="204"/>
      <c r="E194" s="205"/>
      <c r="F194" s="148"/>
      <c r="G194" s="148"/>
      <c r="H194" s="217"/>
      <c r="I194" s="217"/>
      <c r="J194" s="217"/>
      <c r="K194" s="75">
        <f t="shared" si="25"/>
        <v>0</v>
      </c>
      <c r="L194" s="76">
        <f t="shared" si="26"/>
        <v>0</v>
      </c>
      <c r="M194" s="75">
        <f t="shared" si="27"/>
        <v>0</v>
      </c>
      <c r="N194" s="75">
        <f t="shared" si="28"/>
        <v>0</v>
      </c>
      <c r="O194" s="75">
        <f t="shared" si="29"/>
        <v>0</v>
      </c>
      <c r="P194" s="77">
        <f t="shared" si="30"/>
        <v>0</v>
      </c>
    </row>
    <row r="195" spans="1:16" s="61" customFormat="1" x14ac:dyDescent="0.2">
      <c r="A195" s="218">
        <v>66</v>
      </c>
      <c r="B195" s="250" t="s">
        <v>246</v>
      </c>
      <c r="C195" s="220" t="s">
        <v>345</v>
      </c>
      <c r="D195" s="67" t="s">
        <v>115</v>
      </c>
      <c r="E195" s="425">
        <f>0.12*E200*1.25</f>
        <v>28.26</v>
      </c>
      <c r="F195" s="213"/>
      <c r="G195" s="148"/>
      <c r="H195" s="221"/>
      <c r="I195" s="221"/>
      <c r="J195" s="222"/>
      <c r="K195" s="75">
        <f t="shared" si="25"/>
        <v>0</v>
      </c>
      <c r="L195" s="76">
        <f t="shared" si="26"/>
        <v>0</v>
      </c>
      <c r="M195" s="75">
        <f t="shared" si="27"/>
        <v>0</v>
      </c>
      <c r="N195" s="75">
        <f t="shared" si="28"/>
        <v>0</v>
      </c>
      <c r="O195" s="75">
        <f t="shared" si="29"/>
        <v>0</v>
      </c>
      <c r="P195" s="77">
        <f t="shared" si="30"/>
        <v>0</v>
      </c>
    </row>
    <row r="196" spans="1:16" s="61" customFormat="1" x14ac:dyDescent="0.2">
      <c r="A196" s="218">
        <v>0</v>
      </c>
      <c r="B196" s="250">
        <v>0</v>
      </c>
      <c r="C196" s="420" t="s">
        <v>787</v>
      </c>
      <c r="D196" s="67" t="s">
        <v>115</v>
      </c>
      <c r="E196" s="425">
        <f>1.1*E195</f>
        <v>31.086000000000006</v>
      </c>
      <c r="F196" s="213"/>
      <c r="G196" s="213"/>
      <c r="H196" s="221"/>
      <c r="I196" s="221"/>
      <c r="J196" s="222"/>
      <c r="K196" s="75">
        <f t="shared" si="25"/>
        <v>0</v>
      </c>
      <c r="L196" s="76">
        <f t="shared" si="26"/>
        <v>0</v>
      </c>
      <c r="M196" s="75">
        <f t="shared" si="27"/>
        <v>0</v>
      </c>
      <c r="N196" s="75">
        <f t="shared" si="28"/>
        <v>0</v>
      </c>
      <c r="O196" s="75">
        <f t="shared" si="29"/>
        <v>0</v>
      </c>
      <c r="P196" s="77">
        <f t="shared" si="30"/>
        <v>0</v>
      </c>
    </row>
    <row r="197" spans="1:16" s="61" customFormat="1" x14ac:dyDescent="0.2">
      <c r="A197" s="218">
        <v>67</v>
      </c>
      <c r="B197" s="250" t="s">
        <v>205</v>
      </c>
      <c r="C197" s="220" t="s">
        <v>346</v>
      </c>
      <c r="D197" s="67" t="s">
        <v>207</v>
      </c>
      <c r="E197" s="205">
        <f>E200</f>
        <v>188.4</v>
      </c>
      <c r="F197" s="213"/>
      <c r="G197" s="148"/>
      <c r="H197" s="221"/>
      <c r="I197" s="221"/>
      <c r="J197" s="222"/>
      <c r="K197" s="75">
        <f t="shared" si="25"/>
        <v>0</v>
      </c>
      <c r="L197" s="76">
        <f t="shared" si="26"/>
        <v>0</v>
      </c>
      <c r="M197" s="75">
        <f t="shared" si="27"/>
        <v>0</v>
      </c>
      <c r="N197" s="75">
        <f t="shared" si="28"/>
        <v>0</v>
      </c>
      <c r="O197" s="75">
        <f t="shared" si="29"/>
        <v>0</v>
      </c>
      <c r="P197" s="77">
        <f t="shared" si="30"/>
        <v>0</v>
      </c>
    </row>
    <row r="198" spans="1:16" s="61" customFormat="1" x14ac:dyDescent="0.2">
      <c r="A198" s="218">
        <v>0</v>
      </c>
      <c r="B198" s="250">
        <v>0</v>
      </c>
      <c r="C198" s="125" t="s">
        <v>523</v>
      </c>
      <c r="D198" s="67" t="s">
        <v>115</v>
      </c>
      <c r="E198" s="205">
        <f>0.12*0.05*2.6*E197</f>
        <v>2.9390400000000003</v>
      </c>
      <c r="F198" s="213"/>
      <c r="G198" s="213"/>
      <c r="H198" s="221"/>
      <c r="I198" s="221"/>
      <c r="J198" s="222"/>
      <c r="K198" s="75">
        <f t="shared" si="25"/>
        <v>0</v>
      </c>
      <c r="L198" s="76">
        <f t="shared" si="26"/>
        <v>0</v>
      </c>
      <c r="M198" s="75">
        <f t="shared" si="27"/>
        <v>0</v>
      </c>
      <c r="N198" s="75">
        <f t="shared" si="28"/>
        <v>0</v>
      </c>
      <c r="O198" s="75">
        <f t="shared" si="29"/>
        <v>0</v>
      </c>
      <c r="P198" s="77">
        <f t="shared" si="30"/>
        <v>0</v>
      </c>
    </row>
    <row r="199" spans="1:16" s="61" customFormat="1" x14ac:dyDescent="0.2">
      <c r="A199" s="218">
        <v>0</v>
      </c>
      <c r="B199" s="250">
        <v>0</v>
      </c>
      <c r="C199" s="125" t="s">
        <v>524</v>
      </c>
      <c r="D199" s="67" t="s">
        <v>210</v>
      </c>
      <c r="E199" s="205">
        <f>0.16*E197</f>
        <v>30.144000000000002</v>
      </c>
      <c r="F199" s="213"/>
      <c r="G199" s="213"/>
      <c r="H199" s="221"/>
      <c r="I199" s="221"/>
      <c r="J199" s="222"/>
      <c r="K199" s="75">
        <f t="shared" si="25"/>
        <v>0</v>
      </c>
      <c r="L199" s="76">
        <f t="shared" si="26"/>
        <v>0</v>
      </c>
      <c r="M199" s="75">
        <f t="shared" si="27"/>
        <v>0</v>
      </c>
      <c r="N199" s="75">
        <f t="shared" si="28"/>
        <v>0</v>
      </c>
      <c r="O199" s="75">
        <f t="shared" si="29"/>
        <v>0</v>
      </c>
      <c r="P199" s="77">
        <f t="shared" si="30"/>
        <v>0</v>
      </c>
    </row>
    <row r="200" spans="1:16" s="61" customFormat="1" x14ac:dyDescent="0.2">
      <c r="A200" s="218">
        <v>68</v>
      </c>
      <c r="B200" s="250" t="s">
        <v>229</v>
      </c>
      <c r="C200" s="220" t="s">
        <v>525</v>
      </c>
      <c r="D200" s="67" t="s">
        <v>207</v>
      </c>
      <c r="E200" s="205">
        <v>188.4</v>
      </c>
      <c r="F200" s="213"/>
      <c r="G200" s="148"/>
      <c r="H200" s="221"/>
      <c r="I200" s="221"/>
      <c r="J200" s="222"/>
      <c r="K200" s="75">
        <f t="shared" si="25"/>
        <v>0</v>
      </c>
      <c r="L200" s="76">
        <f t="shared" si="26"/>
        <v>0</v>
      </c>
      <c r="M200" s="75">
        <f t="shared" si="27"/>
        <v>0</v>
      </c>
      <c r="N200" s="75">
        <f t="shared" si="28"/>
        <v>0</v>
      </c>
      <c r="O200" s="75">
        <f t="shared" si="29"/>
        <v>0</v>
      </c>
      <c r="P200" s="77">
        <f t="shared" si="30"/>
        <v>0</v>
      </c>
    </row>
    <row r="201" spans="1:16" s="61" customFormat="1" x14ac:dyDescent="0.2">
      <c r="A201" s="218">
        <v>0</v>
      </c>
      <c r="B201" s="250">
        <v>0</v>
      </c>
      <c r="C201" s="125" t="s">
        <v>526</v>
      </c>
      <c r="D201" s="67" t="s">
        <v>207</v>
      </c>
      <c r="E201" s="205">
        <f>1.1*E200</f>
        <v>207.24</v>
      </c>
      <c r="F201" s="213"/>
      <c r="G201" s="213"/>
      <c r="H201" s="221"/>
      <c r="I201" s="221"/>
      <c r="J201" s="222"/>
      <c r="K201" s="75">
        <f t="shared" si="25"/>
        <v>0</v>
      </c>
      <c r="L201" s="76">
        <f t="shared" si="26"/>
        <v>0</v>
      </c>
      <c r="M201" s="75">
        <f t="shared" si="27"/>
        <v>0</v>
      </c>
      <c r="N201" s="75">
        <f t="shared" si="28"/>
        <v>0</v>
      </c>
      <c r="O201" s="75">
        <f t="shared" si="29"/>
        <v>0</v>
      </c>
      <c r="P201" s="77">
        <f t="shared" si="30"/>
        <v>0</v>
      </c>
    </row>
    <row r="202" spans="1:16" s="61" customFormat="1" x14ac:dyDescent="0.2">
      <c r="A202" s="218">
        <v>0</v>
      </c>
      <c r="B202" s="250">
        <v>0</v>
      </c>
      <c r="C202" s="125" t="s">
        <v>352</v>
      </c>
      <c r="D202" s="455" t="s">
        <v>207</v>
      </c>
      <c r="E202" s="425">
        <f>E200</f>
        <v>188.4</v>
      </c>
      <c r="F202" s="213"/>
      <c r="G202" s="213"/>
      <c r="H202" s="221"/>
      <c r="I202" s="221"/>
      <c r="J202" s="222"/>
      <c r="K202" s="75">
        <f t="shared" si="25"/>
        <v>0</v>
      </c>
      <c r="L202" s="76">
        <f t="shared" si="26"/>
        <v>0</v>
      </c>
      <c r="M202" s="75">
        <f t="shared" si="27"/>
        <v>0</v>
      </c>
      <c r="N202" s="75">
        <f t="shared" si="28"/>
        <v>0</v>
      </c>
      <c r="O202" s="75">
        <f t="shared" si="29"/>
        <v>0</v>
      </c>
      <c r="P202" s="77">
        <f t="shared" si="30"/>
        <v>0</v>
      </c>
    </row>
    <row r="203" spans="1:16" s="61" customFormat="1" x14ac:dyDescent="0.2">
      <c r="A203" s="202">
        <v>0</v>
      </c>
      <c r="B203" s="144"/>
      <c r="C203" s="207" t="s">
        <v>527</v>
      </c>
      <c r="D203" s="204"/>
      <c r="E203" s="205"/>
      <c r="F203" s="148"/>
      <c r="G203" s="148"/>
      <c r="H203" s="217"/>
      <c r="I203" s="217"/>
      <c r="J203" s="217"/>
      <c r="K203" s="75">
        <f t="shared" si="25"/>
        <v>0</v>
      </c>
      <c r="L203" s="76">
        <f t="shared" si="26"/>
        <v>0</v>
      </c>
      <c r="M203" s="75">
        <f t="shared" si="27"/>
        <v>0</v>
      </c>
      <c r="N203" s="75">
        <f t="shared" si="28"/>
        <v>0</v>
      </c>
      <c r="O203" s="75">
        <f t="shared" si="29"/>
        <v>0</v>
      </c>
      <c r="P203" s="77">
        <f t="shared" si="30"/>
        <v>0</v>
      </c>
    </row>
    <row r="204" spans="1:16" s="61" customFormat="1" x14ac:dyDescent="0.2">
      <c r="A204" s="218">
        <v>69</v>
      </c>
      <c r="B204" s="250" t="s">
        <v>205</v>
      </c>
      <c r="C204" s="220" t="s">
        <v>528</v>
      </c>
      <c r="D204" s="67" t="s">
        <v>115</v>
      </c>
      <c r="E204" s="205">
        <f>2</f>
        <v>2</v>
      </c>
      <c r="F204" s="213"/>
      <c r="G204" s="148"/>
      <c r="H204" s="221"/>
      <c r="I204" s="221"/>
      <c r="J204" s="222"/>
      <c r="K204" s="75">
        <f t="shared" si="25"/>
        <v>0</v>
      </c>
      <c r="L204" s="76">
        <f t="shared" si="26"/>
        <v>0</v>
      </c>
      <c r="M204" s="75">
        <f t="shared" si="27"/>
        <v>0</v>
      </c>
      <c r="N204" s="75">
        <f t="shared" si="28"/>
        <v>0</v>
      </c>
      <c r="O204" s="75">
        <f t="shared" si="29"/>
        <v>0</v>
      </c>
      <c r="P204" s="77">
        <f t="shared" si="30"/>
        <v>0</v>
      </c>
    </row>
    <row r="205" spans="1:16" s="61" customFormat="1" x14ac:dyDescent="0.2">
      <c r="A205" s="218">
        <v>0</v>
      </c>
      <c r="B205" s="250">
        <v>0</v>
      </c>
      <c r="C205" s="251" t="s">
        <v>342</v>
      </c>
      <c r="D205" s="67" t="s">
        <v>115</v>
      </c>
      <c r="E205" s="205">
        <f>1.1*E204</f>
        <v>2.2000000000000002</v>
      </c>
      <c r="F205" s="213"/>
      <c r="G205" s="213"/>
      <c r="H205" s="221"/>
      <c r="I205" s="221"/>
      <c r="J205" s="222"/>
      <c r="K205" s="75">
        <f t="shared" si="25"/>
        <v>0</v>
      </c>
      <c r="L205" s="76">
        <f t="shared" si="26"/>
        <v>0</v>
      </c>
      <c r="M205" s="75">
        <f t="shared" si="27"/>
        <v>0</v>
      </c>
      <c r="N205" s="75">
        <f t="shared" si="28"/>
        <v>0</v>
      </c>
      <c r="O205" s="75">
        <f t="shared" si="29"/>
        <v>0</v>
      </c>
      <c r="P205" s="77">
        <f t="shared" si="30"/>
        <v>0</v>
      </c>
    </row>
    <row r="206" spans="1:16" s="61" customFormat="1" ht="15" x14ac:dyDescent="0.2">
      <c r="A206" s="218">
        <v>0</v>
      </c>
      <c r="B206" s="250">
        <v>0</v>
      </c>
      <c r="C206" s="125" t="s">
        <v>529</v>
      </c>
      <c r="D206" s="233" t="s">
        <v>73</v>
      </c>
      <c r="E206" s="205">
        <v>1</v>
      </c>
      <c r="F206" s="213"/>
      <c r="G206" s="213"/>
      <c r="H206" s="221"/>
      <c r="I206" s="221"/>
      <c r="J206" s="222"/>
      <c r="K206" s="75">
        <f t="shared" si="25"/>
        <v>0</v>
      </c>
      <c r="L206" s="76">
        <f t="shared" si="26"/>
        <v>0</v>
      </c>
      <c r="M206" s="75">
        <f t="shared" si="27"/>
        <v>0</v>
      </c>
      <c r="N206" s="75">
        <f t="shared" si="28"/>
        <v>0</v>
      </c>
      <c r="O206" s="75">
        <f t="shared" si="29"/>
        <v>0</v>
      </c>
      <c r="P206" s="77">
        <f t="shared" si="30"/>
        <v>0</v>
      </c>
    </row>
    <row r="207" spans="1:16" s="61" customFormat="1" x14ac:dyDescent="0.2">
      <c r="A207" s="218">
        <v>70</v>
      </c>
      <c r="B207" s="250" t="s">
        <v>205</v>
      </c>
      <c r="C207" s="220" t="s">
        <v>354</v>
      </c>
      <c r="D207" s="67" t="s">
        <v>207</v>
      </c>
      <c r="E207" s="205">
        <v>63.5</v>
      </c>
      <c r="F207" s="213"/>
      <c r="G207" s="148"/>
      <c r="H207" s="221"/>
      <c r="I207" s="221"/>
      <c r="J207" s="222"/>
      <c r="K207" s="75">
        <f t="shared" si="25"/>
        <v>0</v>
      </c>
      <c r="L207" s="76">
        <f t="shared" si="26"/>
        <v>0</v>
      </c>
      <c r="M207" s="75">
        <f t="shared" si="27"/>
        <v>0</v>
      </c>
      <c r="N207" s="75">
        <f t="shared" si="28"/>
        <v>0</v>
      </c>
      <c r="O207" s="75">
        <f t="shared" si="29"/>
        <v>0</v>
      </c>
      <c r="P207" s="77">
        <f t="shared" si="30"/>
        <v>0</v>
      </c>
    </row>
    <row r="208" spans="1:16" s="61" customFormat="1" x14ac:dyDescent="0.2">
      <c r="A208" s="218">
        <v>0</v>
      </c>
      <c r="B208" s="250">
        <v>0</v>
      </c>
      <c r="C208" s="125" t="s">
        <v>355</v>
      </c>
      <c r="D208" s="67" t="s">
        <v>207</v>
      </c>
      <c r="E208" s="205">
        <f>1.1*E207</f>
        <v>69.850000000000009</v>
      </c>
      <c r="F208" s="213"/>
      <c r="G208" s="213"/>
      <c r="H208" s="221"/>
      <c r="I208" s="221"/>
      <c r="J208" s="222"/>
      <c r="K208" s="75">
        <f t="shared" si="25"/>
        <v>0</v>
      </c>
      <c r="L208" s="76">
        <f t="shared" si="26"/>
        <v>0</v>
      </c>
      <c r="M208" s="75">
        <f t="shared" si="27"/>
        <v>0</v>
      </c>
      <c r="N208" s="75">
        <f t="shared" si="28"/>
        <v>0</v>
      </c>
      <c r="O208" s="75">
        <f t="shared" si="29"/>
        <v>0</v>
      </c>
      <c r="P208" s="77">
        <f t="shared" si="30"/>
        <v>0</v>
      </c>
    </row>
    <row r="209" spans="1:16" s="61" customFormat="1" x14ac:dyDescent="0.2">
      <c r="A209" s="218">
        <v>0</v>
      </c>
      <c r="B209" s="250">
        <v>0</v>
      </c>
      <c r="C209" s="125" t="s">
        <v>356</v>
      </c>
      <c r="D209" s="67" t="s">
        <v>210</v>
      </c>
      <c r="E209" s="205">
        <f>0.08*E207</f>
        <v>5.08</v>
      </c>
      <c r="F209" s="213"/>
      <c r="G209" s="213"/>
      <c r="H209" s="221"/>
      <c r="I209" s="221"/>
      <c r="J209" s="222"/>
      <c r="K209" s="75">
        <f t="shared" si="25"/>
        <v>0</v>
      </c>
      <c r="L209" s="76">
        <f t="shared" si="26"/>
        <v>0</v>
      </c>
      <c r="M209" s="75">
        <f t="shared" si="27"/>
        <v>0</v>
      </c>
      <c r="N209" s="75">
        <f t="shared" si="28"/>
        <v>0</v>
      </c>
      <c r="O209" s="75">
        <f t="shared" si="29"/>
        <v>0</v>
      </c>
      <c r="P209" s="77">
        <f t="shared" si="30"/>
        <v>0</v>
      </c>
    </row>
    <row r="210" spans="1:16" s="61" customFormat="1" x14ac:dyDescent="0.2">
      <c r="A210" s="218">
        <v>71</v>
      </c>
      <c r="B210" s="250" t="s">
        <v>205</v>
      </c>
      <c r="C210" s="220" t="s">
        <v>530</v>
      </c>
      <c r="D210" s="67" t="s">
        <v>199</v>
      </c>
      <c r="E210" s="205">
        <v>64</v>
      </c>
      <c r="F210" s="213"/>
      <c r="G210" s="148"/>
      <c r="H210" s="221"/>
      <c r="I210" s="221"/>
      <c r="J210" s="222"/>
      <c r="K210" s="75">
        <f t="shared" si="25"/>
        <v>0</v>
      </c>
      <c r="L210" s="76">
        <f t="shared" si="26"/>
        <v>0</v>
      </c>
      <c r="M210" s="75">
        <f t="shared" si="27"/>
        <v>0</v>
      </c>
      <c r="N210" s="75">
        <f t="shared" si="28"/>
        <v>0</v>
      </c>
      <c r="O210" s="75">
        <f t="shared" si="29"/>
        <v>0</v>
      </c>
      <c r="P210" s="77">
        <f t="shared" si="30"/>
        <v>0</v>
      </c>
    </row>
    <row r="211" spans="1:16" s="61" customFormat="1" ht="15" x14ac:dyDescent="0.2">
      <c r="A211" s="208">
        <v>72</v>
      </c>
      <c r="B211" s="209" t="s">
        <v>229</v>
      </c>
      <c r="C211" s="239" t="s">
        <v>531</v>
      </c>
      <c r="D211" s="67" t="s">
        <v>207</v>
      </c>
      <c r="E211" s="205">
        <f>E207</f>
        <v>63.5</v>
      </c>
      <c r="F211" s="213"/>
      <c r="G211" s="213"/>
      <c r="H211" s="214"/>
      <c r="I211" s="214"/>
      <c r="J211" s="214"/>
      <c r="K211" s="75">
        <f t="shared" si="25"/>
        <v>0</v>
      </c>
      <c r="L211" s="76">
        <f t="shared" si="26"/>
        <v>0</v>
      </c>
      <c r="M211" s="75">
        <f t="shared" si="27"/>
        <v>0</v>
      </c>
      <c r="N211" s="75">
        <f t="shared" si="28"/>
        <v>0</v>
      </c>
      <c r="O211" s="75">
        <f t="shared" si="29"/>
        <v>0</v>
      </c>
      <c r="P211" s="77">
        <f t="shared" si="30"/>
        <v>0</v>
      </c>
    </row>
    <row r="212" spans="1:16" s="61" customFormat="1" ht="15" x14ac:dyDescent="0.2">
      <c r="A212" s="208">
        <v>0</v>
      </c>
      <c r="B212" s="209">
        <v>0</v>
      </c>
      <c r="C212" s="264" t="s">
        <v>532</v>
      </c>
      <c r="D212" s="67" t="s">
        <v>207</v>
      </c>
      <c r="E212" s="205">
        <f>1.09*E211</f>
        <v>69.215000000000003</v>
      </c>
      <c r="F212" s="213"/>
      <c r="G212" s="213"/>
      <c r="H212" s="214"/>
      <c r="I212" s="214"/>
      <c r="J212" s="214"/>
      <c r="K212" s="75">
        <f t="shared" si="25"/>
        <v>0</v>
      </c>
      <c r="L212" s="76">
        <f t="shared" si="26"/>
        <v>0</v>
      </c>
      <c r="M212" s="75">
        <f t="shared" si="27"/>
        <v>0</v>
      </c>
      <c r="N212" s="75">
        <f t="shared" si="28"/>
        <v>0</v>
      </c>
      <c r="O212" s="75">
        <f t="shared" si="29"/>
        <v>0</v>
      </c>
      <c r="P212" s="77">
        <f t="shared" si="30"/>
        <v>0</v>
      </c>
    </row>
    <row r="213" spans="1:16" s="61" customFormat="1" ht="15" x14ac:dyDescent="0.2">
      <c r="A213" s="208">
        <v>0</v>
      </c>
      <c r="B213" s="209">
        <v>0</v>
      </c>
      <c r="C213" s="264" t="s">
        <v>533</v>
      </c>
      <c r="D213" s="67" t="s">
        <v>131</v>
      </c>
      <c r="E213" s="205">
        <f>0.45*E211</f>
        <v>28.574999999999999</v>
      </c>
      <c r="F213" s="213"/>
      <c r="G213" s="213"/>
      <c r="H213" s="214"/>
      <c r="I213" s="214"/>
      <c r="J213" s="214"/>
      <c r="K213" s="75">
        <f t="shared" si="25"/>
        <v>0</v>
      </c>
      <c r="L213" s="76">
        <f t="shared" si="26"/>
        <v>0</v>
      </c>
      <c r="M213" s="75">
        <f t="shared" si="27"/>
        <v>0</v>
      </c>
      <c r="N213" s="75">
        <f t="shared" si="28"/>
        <v>0</v>
      </c>
      <c r="O213" s="75">
        <f t="shared" si="29"/>
        <v>0</v>
      </c>
      <c r="P213" s="77">
        <f t="shared" si="30"/>
        <v>0</v>
      </c>
    </row>
    <row r="214" spans="1:16" s="61" customFormat="1" ht="15" x14ac:dyDescent="0.2">
      <c r="A214" s="208">
        <v>0</v>
      </c>
      <c r="B214" s="209">
        <v>0</v>
      </c>
      <c r="C214" s="264" t="s">
        <v>534</v>
      </c>
      <c r="D214" s="233" t="s">
        <v>207</v>
      </c>
      <c r="E214" s="205">
        <f>E211</f>
        <v>63.5</v>
      </c>
      <c r="F214" s="213"/>
      <c r="G214" s="213"/>
      <c r="H214" s="214"/>
      <c r="I214" s="214"/>
      <c r="J214" s="214"/>
      <c r="K214" s="75">
        <f t="shared" si="25"/>
        <v>0</v>
      </c>
      <c r="L214" s="76">
        <f t="shared" si="26"/>
        <v>0</v>
      </c>
      <c r="M214" s="75">
        <f t="shared" si="27"/>
        <v>0</v>
      </c>
      <c r="N214" s="75">
        <f t="shared" si="28"/>
        <v>0</v>
      </c>
      <c r="O214" s="75">
        <f t="shared" si="29"/>
        <v>0</v>
      </c>
      <c r="P214" s="77">
        <f t="shared" si="30"/>
        <v>0</v>
      </c>
    </row>
    <row r="215" spans="1:16" s="61" customFormat="1" x14ac:dyDescent="0.2">
      <c r="A215" s="202">
        <v>0</v>
      </c>
      <c r="B215" s="144"/>
      <c r="C215" s="207" t="s">
        <v>535</v>
      </c>
      <c r="D215" s="204"/>
      <c r="E215" s="205"/>
      <c r="F215" s="148"/>
      <c r="G215" s="148"/>
      <c r="H215" s="217"/>
      <c r="I215" s="217"/>
      <c r="J215" s="217"/>
      <c r="K215" s="75">
        <f t="shared" si="25"/>
        <v>0</v>
      </c>
      <c r="L215" s="76">
        <f t="shared" si="26"/>
        <v>0</v>
      </c>
      <c r="M215" s="75">
        <f t="shared" si="27"/>
        <v>0</v>
      </c>
      <c r="N215" s="75">
        <f t="shared" si="28"/>
        <v>0</v>
      </c>
      <c r="O215" s="75">
        <f t="shared" si="29"/>
        <v>0</v>
      </c>
      <c r="P215" s="77">
        <f t="shared" si="30"/>
        <v>0</v>
      </c>
    </row>
    <row r="216" spans="1:16" s="61" customFormat="1" ht="15" x14ac:dyDescent="0.2">
      <c r="A216" s="208">
        <v>73</v>
      </c>
      <c r="B216" s="209" t="s">
        <v>229</v>
      </c>
      <c r="C216" s="239" t="s">
        <v>536</v>
      </c>
      <c r="D216" s="67" t="s">
        <v>207</v>
      </c>
      <c r="E216" s="205">
        <v>175.3</v>
      </c>
      <c r="F216" s="213"/>
      <c r="G216" s="213"/>
      <c r="H216" s="214"/>
      <c r="I216" s="214"/>
      <c r="J216" s="214"/>
      <c r="K216" s="75">
        <f t="shared" si="25"/>
        <v>0</v>
      </c>
      <c r="L216" s="76">
        <f t="shared" si="26"/>
        <v>0</v>
      </c>
      <c r="M216" s="75">
        <f t="shared" si="27"/>
        <v>0</v>
      </c>
      <c r="N216" s="75">
        <f t="shared" si="28"/>
        <v>0</v>
      </c>
      <c r="O216" s="75">
        <f t="shared" si="29"/>
        <v>0</v>
      </c>
      <c r="P216" s="77">
        <f t="shared" si="30"/>
        <v>0</v>
      </c>
    </row>
    <row r="217" spans="1:16" s="61" customFormat="1" ht="15" x14ac:dyDescent="0.2">
      <c r="A217" s="208">
        <v>74</v>
      </c>
      <c r="B217" s="209" t="s">
        <v>229</v>
      </c>
      <c r="C217" s="239" t="s">
        <v>531</v>
      </c>
      <c r="D217" s="67" t="s">
        <v>207</v>
      </c>
      <c r="E217" s="205">
        <v>260.85000000000002</v>
      </c>
      <c r="F217" s="213"/>
      <c r="G217" s="213"/>
      <c r="H217" s="214"/>
      <c r="I217" s="214"/>
      <c r="J217" s="214"/>
      <c r="K217" s="75">
        <f t="shared" si="25"/>
        <v>0</v>
      </c>
      <c r="L217" s="76">
        <f t="shared" si="26"/>
        <v>0</v>
      </c>
      <c r="M217" s="75">
        <f t="shared" si="27"/>
        <v>0</v>
      </c>
      <c r="N217" s="75">
        <f t="shared" si="28"/>
        <v>0</v>
      </c>
      <c r="O217" s="75">
        <f t="shared" si="29"/>
        <v>0</v>
      </c>
      <c r="P217" s="77">
        <f t="shared" si="30"/>
        <v>0</v>
      </c>
    </row>
    <row r="218" spans="1:16" s="61" customFormat="1" ht="15" x14ac:dyDescent="0.2">
      <c r="A218" s="208">
        <v>0</v>
      </c>
      <c r="B218" s="209">
        <v>0</v>
      </c>
      <c r="C218" s="264" t="s">
        <v>532</v>
      </c>
      <c r="D218" s="67" t="s">
        <v>207</v>
      </c>
      <c r="E218" s="205">
        <f>1.09*E217</f>
        <v>284.32650000000007</v>
      </c>
      <c r="F218" s="213"/>
      <c r="G218" s="213"/>
      <c r="H218" s="214"/>
      <c r="I218" s="214"/>
      <c r="J218" s="214"/>
      <c r="K218" s="75">
        <f t="shared" si="25"/>
        <v>0</v>
      </c>
      <c r="L218" s="76">
        <f t="shared" si="26"/>
        <v>0</v>
      </c>
      <c r="M218" s="75">
        <f t="shared" si="27"/>
        <v>0</v>
      </c>
      <c r="N218" s="75">
        <f t="shared" si="28"/>
        <v>0</v>
      </c>
      <c r="O218" s="75">
        <f t="shared" si="29"/>
        <v>0</v>
      </c>
      <c r="P218" s="77">
        <f t="shared" si="30"/>
        <v>0</v>
      </c>
    </row>
    <row r="219" spans="1:16" s="61" customFormat="1" ht="15" x14ac:dyDescent="0.2">
      <c r="A219" s="208">
        <v>0</v>
      </c>
      <c r="B219" s="209">
        <v>0</v>
      </c>
      <c r="C219" s="264" t="s">
        <v>533</v>
      </c>
      <c r="D219" s="67" t="s">
        <v>131</v>
      </c>
      <c r="E219" s="205">
        <f>0.45*E217</f>
        <v>117.38250000000001</v>
      </c>
      <c r="F219" s="213"/>
      <c r="G219" s="213"/>
      <c r="H219" s="214"/>
      <c r="I219" s="214"/>
      <c r="J219" s="214"/>
      <c r="K219" s="75">
        <f t="shared" si="25"/>
        <v>0</v>
      </c>
      <c r="L219" s="76">
        <f t="shared" si="26"/>
        <v>0</v>
      </c>
      <c r="M219" s="75">
        <f t="shared" si="27"/>
        <v>0</v>
      </c>
      <c r="N219" s="75">
        <f t="shared" si="28"/>
        <v>0</v>
      </c>
      <c r="O219" s="75">
        <f t="shared" si="29"/>
        <v>0</v>
      </c>
      <c r="P219" s="77">
        <f t="shared" si="30"/>
        <v>0</v>
      </c>
    </row>
    <row r="220" spans="1:16" s="61" customFormat="1" ht="15" x14ac:dyDescent="0.2">
      <c r="A220" s="208">
        <v>0</v>
      </c>
      <c r="B220" s="209">
        <v>0</v>
      </c>
      <c r="C220" s="264" t="s">
        <v>534</v>
      </c>
      <c r="D220" s="233" t="s">
        <v>207</v>
      </c>
      <c r="E220" s="205">
        <f>E217</f>
        <v>260.85000000000002</v>
      </c>
      <c r="F220" s="213"/>
      <c r="G220" s="213"/>
      <c r="H220" s="214"/>
      <c r="I220" s="214"/>
      <c r="J220" s="214"/>
      <c r="K220" s="75">
        <f t="shared" si="25"/>
        <v>0</v>
      </c>
      <c r="L220" s="76">
        <f t="shared" si="26"/>
        <v>0</v>
      </c>
      <c r="M220" s="75">
        <f t="shared" si="27"/>
        <v>0</v>
      </c>
      <c r="N220" s="75">
        <f t="shared" si="28"/>
        <v>0</v>
      </c>
      <c r="O220" s="75">
        <f t="shared" si="29"/>
        <v>0</v>
      </c>
      <c r="P220" s="77">
        <f t="shared" si="30"/>
        <v>0</v>
      </c>
    </row>
    <row r="221" spans="1:16" s="61" customFormat="1" ht="15" x14ac:dyDescent="0.2">
      <c r="A221" s="208">
        <v>75</v>
      </c>
      <c r="B221" s="209" t="s">
        <v>229</v>
      </c>
      <c r="C221" s="239" t="s">
        <v>537</v>
      </c>
      <c r="D221" s="67" t="s">
        <v>207</v>
      </c>
      <c r="E221" s="205">
        <v>197.82</v>
      </c>
      <c r="F221" s="213"/>
      <c r="G221" s="213"/>
      <c r="H221" s="214"/>
      <c r="I221" s="214"/>
      <c r="J221" s="214"/>
      <c r="K221" s="75">
        <f t="shared" si="25"/>
        <v>0</v>
      </c>
      <c r="L221" s="76">
        <f t="shared" si="26"/>
        <v>0</v>
      </c>
      <c r="M221" s="75">
        <f t="shared" si="27"/>
        <v>0</v>
      </c>
      <c r="N221" s="75">
        <f t="shared" si="28"/>
        <v>0</v>
      </c>
      <c r="O221" s="75">
        <f t="shared" si="29"/>
        <v>0</v>
      </c>
      <c r="P221" s="77">
        <f t="shared" si="30"/>
        <v>0</v>
      </c>
    </row>
    <row r="222" spans="1:16" s="61" customFormat="1" x14ac:dyDescent="0.2">
      <c r="A222" s="218">
        <v>76</v>
      </c>
      <c r="B222" s="250" t="s">
        <v>229</v>
      </c>
      <c r="C222" s="220" t="s">
        <v>538</v>
      </c>
      <c r="D222" s="67" t="s">
        <v>207</v>
      </c>
      <c r="E222" s="205">
        <v>203.58</v>
      </c>
      <c r="F222" s="213"/>
      <c r="G222" s="148"/>
      <c r="H222" s="221"/>
      <c r="I222" s="221"/>
      <c r="J222" s="222"/>
      <c r="K222" s="75">
        <f t="shared" si="25"/>
        <v>0</v>
      </c>
      <c r="L222" s="76">
        <f t="shared" si="26"/>
        <v>0</v>
      </c>
      <c r="M222" s="75">
        <f t="shared" si="27"/>
        <v>0</v>
      </c>
      <c r="N222" s="75">
        <f t="shared" si="28"/>
        <v>0</v>
      </c>
      <c r="O222" s="75">
        <f t="shared" si="29"/>
        <v>0</v>
      </c>
      <c r="P222" s="77">
        <f t="shared" si="30"/>
        <v>0</v>
      </c>
    </row>
    <row r="223" spans="1:16" s="61" customFormat="1" x14ac:dyDescent="0.2">
      <c r="A223" s="208">
        <v>77</v>
      </c>
      <c r="B223" s="229" t="s">
        <v>229</v>
      </c>
      <c r="C223" s="259" t="s">
        <v>539</v>
      </c>
      <c r="D223" s="272" t="s">
        <v>207</v>
      </c>
      <c r="E223" s="205">
        <v>47</v>
      </c>
      <c r="F223" s="213"/>
      <c r="G223" s="213"/>
      <c r="H223" s="214"/>
      <c r="I223" s="214"/>
      <c r="J223" s="214"/>
      <c r="K223" s="75">
        <f t="shared" si="25"/>
        <v>0</v>
      </c>
      <c r="L223" s="76">
        <f t="shared" si="26"/>
        <v>0</v>
      </c>
      <c r="M223" s="75">
        <f t="shared" si="27"/>
        <v>0</v>
      </c>
      <c r="N223" s="75">
        <f t="shared" si="28"/>
        <v>0</v>
      </c>
      <c r="O223" s="75">
        <f t="shared" si="29"/>
        <v>0</v>
      </c>
      <c r="P223" s="77">
        <f t="shared" si="30"/>
        <v>0</v>
      </c>
    </row>
    <row r="224" spans="1:16" s="61" customFormat="1" x14ac:dyDescent="0.2">
      <c r="A224" s="208">
        <v>0</v>
      </c>
      <c r="B224" s="229">
        <v>0</v>
      </c>
      <c r="C224" s="262" t="s">
        <v>540</v>
      </c>
      <c r="D224" s="272" t="s">
        <v>207</v>
      </c>
      <c r="E224" s="205">
        <f>1.05*E223</f>
        <v>49.35</v>
      </c>
      <c r="F224" s="213"/>
      <c r="G224" s="213"/>
      <c r="H224" s="214"/>
      <c r="I224" s="214"/>
      <c r="J224" s="214"/>
      <c r="K224" s="75">
        <f t="shared" ref="K224:K251" si="31">SUM(H224:J224)</f>
        <v>0</v>
      </c>
      <c r="L224" s="76">
        <f t="shared" ref="L224:L251" si="32">ROUND(F224*E224,2)</f>
        <v>0</v>
      </c>
      <c r="M224" s="75">
        <f t="shared" ref="M224:M251" si="33">ROUND(H224*E224,2)</f>
        <v>0</v>
      </c>
      <c r="N224" s="75">
        <f t="shared" ref="N224:N251" si="34">ROUND(I224*E224,2)</f>
        <v>0</v>
      </c>
      <c r="O224" s="75">
        <f t="shared" ref="O224:O251" si="35">ROUND(J224*E224,2)</f>
        <v>0</v>
      </c>
      <c r="P224" s="77">
        <f t="shared" ref="P224:P251" si="36">SUM(M224:O224)</f>
        <v>0</v>
      </c>
    </row>
    <row r="225" spans="1:16" s="61" customFormat="1" x14ac:dyDescent="0.2">
      <c r="A225" s="208">
        <v>0</v>
      </c>
      <c r="B225" s="229">
        <v>0</v>
      </c>
      <c r="C225" s="262" t="s">
        <v>541</v>
      </c>
      <c r="D225" s="272" t="s">
        <v>207</v>
      </c>
      <c r="E225" s="205">
        <f>1.05*E223</f>
        <v>49.35</v>
      </c>
      <c r="F225" s="213"/>
      <c r="G225" s="213"/>
      <c r="H225" s="214"/>
      <c r="I225" s="214"/>
      <c r="J225" s="214"/>
      <c r="K225" s="75">
        <f t="shared" si="31"/>
        <v>0</v>
      </c>
      <c r="L225" s="76">
        <f t="shared" si="32"/>
        <v>0</v>
      </c>
      <c r="M225" s="75">
        <f t="shared" si="33"/>
        <v>0</v>
      </c>
      <c r="N225" s="75">
        <f t="shared" si="34"/>
        <v>0</v>
      </c>
      <c r="O225" s="75">
        <f t="shared" si="35"/>
        <v>0</v>
      </c>
      <c r="P225" s="77">
        <f t="shared" si="36"/>
        <v>0</v>
      </c>
    </row>
    <row r="226" spans="1:16" s="61" customFormat="1" x14ac:dyDescent="0.2">
      <c r="A226" s="208">
        <v>0</v>
      </c>
      <c r="B226" s="229">
        <v>0</v>
      </c>
      <c r="C226" s="262" t="s">
        <v>542</v>
      </c>
      <c r="D226" s="272" t="s">
        <v>543</v>
      </c>
      <c r="E226" s="205">
        <f>0.4*E223</f>
        <v>18.8</v>
      </c>
      <c r="F226" s="213"/>
      <c r="G226" s="213"/>
      <c r="H226" s="214"/>
      <c r="I226" s="214"/>
      <c r="J226" s="214"/>
      <c r="K226" s="75">
        <f t="shared" si="31"/>
        <v>0</v>
      </c>
      <c r="L226" s="76">
        <f t="shared" si="32"/>
        <v>0</v>
      </c>
      <c r="M226" s="75">
        <f t="shared" si="33"/>
        <v>0</v>
      </c>
      <c r="N226" s="75">
        <f t="shared" si="34"/>
        <v>0</v>
      </c>
      <c r="O226" s="75">
        <f t="shared" si="35"/>
        <v>0</v>
      </c>
      <c r="P226" s="77">
        <f t="shared" si="36"/>
        <v>0</v>
      </c>
    </row>
    <row r="227" spans="1:16" s="61" customFormat="1" x14ac:dyDescent="0.2">
      <c r="A227" s="208">
        <v>78</v>
      </c>
      <c r="B227" s="209" t="s">
        <v>229</v>
      </c>
      <c r="C227" s="263" t="s">
        <v>544</v>
      </c>
      <c r="D227" s="67" t="s">
        <v>207</v>
      </c>
      <c r="E227" s="205">
        <v>558.79</v>
      </c>
      <c r="F227" s="213"/>
      <c r="G227" s="213"/>
      <c r="H227" s="214"/>
      <c r="I227" s="214"/>
      <c r="J227" s="214"/>
      <c r="K227" s="75">
        <f t="shared" si="31"/>
        <v>0</v>
      </c>
      <c r="L227" s="76">
        <f t="shared" si="32"/>
        <v>0</v>
      </c>
      <c r="M227" s="75">
        <f t="shared" si="33"/>
        <v>0</v>
      </c>
      <c r="N227" s="75">
        <f t="shared" si="34"/>
        <v>0</v>
      </c>
      <c r="O227" s="75">
        <f t="shared" si="35"/>
        <v>0</v>
      </c>
      <c r="P227" s="77">
        <f t="shared" si="36"/>
        <v>0</v>
      </c>
    </row>
    <row r="228" spans="1:16" s="61" customFormat="1" ht="30" x14ac:dyDescent="0.2">
      <c r="A228" s="208">
        <v>0</v>
      </c>
      <c r="B228" s="209">
        <v>0</v>
      </c>
      <c r="C228" s="264" t="s">
        <v>545</v>
      </c>
      <c r="D228" s="67" t="s">
        <v>207</v>
      </c>
      <c r="E228" s="205">
        <f>1.09*E227</f>
        <v>609.08109999999999</v>
      </c>
      <c r="F228" s="213"/>
      <c r="G228" s="213"/>
      <c r="H228" s="214"/>
      <c r="I228" s="214"/>
      <c r="J228" s="214"/>
      <c r="K228" s="75">
        <f t="shared" si="31"/>
        <v>0</v>
      </c>
      <c r="L228" s="76">
        <f t="shared" si="32"/>
        <v>0</v>
      </c>
      <c r="M228" s="75">
        <f t="shared" si="33"/>
        <v>0</v>
      </c>
      <c r="N228" s="75">
        <f t="shared" si="34"/>
        <v>0</v>
      </c>
      <c r="O228" s="75">
        <f t="shared" si="35"/>
        <v>0</v>
      </c>
      <c r="P228" s="77">
        <f t="shared" si="36"/>
        <v>0</v>
      </c>
    </row>
    <row r="229" spans="1:16" s="61" customFormat="1" ht="15" x14ac:dyDescent="0.2">
      <c r="A229" s="208">
        <v>0</v>
      </c>
      <c r="B229" s="209">
        <v>0</v>
      </c>
      <c r="C229" s="264" t="s">
        <v>546</v>
      </c>
      <c r="D229" s="67" t="s">
        <v>131</v>
      </c>
      <c r="E229" s="205">
        <f>0.45*E227</f>
        <v>251.4555</v>
      </c>
      <c r="F229" s="213"/>
      <c r="G229" s="213"/>
      <c r="H229" s="214"/>
      <c r="I229" s="214"/>
      <c r="J229" s="214"/>
      <c r="K229" s="75">
        <f t="shared" si="31"/>
        <v>0</v>
      </c>
      <c r="L229" s="76">
        <f t="shared" si="32"/>
        <v>0</v>
      </c>
      <c r="M229" s="75">
        <f t="shared" si="33"/>
        <v>0</v>
      </c>
      <c r="N229" s="75">
        <f t="shared" si="34"/>
        <v>0</v>
      </c>
      <c r="O229" s="75">
        <f t="shared" si="35"/>
        <v>0</v>
      </c>
      <c r="P229" s="77">
        <f t="shared" si="36"/>
        <v>0</v>
      </c>
    </row>
    <row r="230" spans="1:16" s="61" customFormat="1" x14ac:dyDescent="0.2">
      <c r="A230" s="208">
        <v>0</v>
      </c>
      <c r="B230" s="209">
        <v>0</v>
      </c>
      <c r="C230" s="241" t="s">
        <v>547</v>
      </c>
      <c r="D230" s="211" t="s">
        <v>199</v>
      </c>
      <c r="E230" s="205">
        <f>0.7*E227</f>
        <v>391.15299999999996</v>
      </c>
      <c r="F230" s="213"/>
      <c r="G230" s="213"/>
      <c r="H230" s="214"/>
      <c r="I230" s="214"/>
      <c r="J230" s="214"/>
      <c r="K230" s="75">
        <f t="shared" si="31"/>
        <v>0</v>
      </c>
      <c r="L230" s="76">
        <f t="shared" si="32"/>
        <v>0</v>
      </c>
      <c r="M230" s="75">
        <f t="shared" si="33"/>
        <v>0</v>
      </c>
      <c r="N230" s="75">
        <f t="shared" si="34"/>
        <v>0</v>
      </c>
      <c r="O230" s="75">
        <f t="shared" si="35"/>
        <v>0</v>
      </c>
      <c r="P230" s="77">
        <f t="shared" si="36"/>
        <v>0</v>
      </c>
    </row>
    <row r="231" spans="1:16" s="61" customFormat="1" x14ac:dyDescent="0.2">
      <c r="A231" s="208">
        <v>79</v>
      </c>
      <c r="B231" s="209" t="s">
        <v>229</v>
      </c>
      <c r="C231" s="263" t="s">
        <v>544</v>
      </c>
      <c r="D231" s="67" t="s">
        <v>207</v>
      </c>
      <c r="E231" s="205">
        <v>147.55000000000001</v>
      </c>
      <c r="F231" s="213"/>
      <c r="G231" s="213"/>
      <c r="H231" s="214"/>
      <c r="I231" s="214"/>
      <c r="J231" s="214"/>
      <c r="K231" s="75">
        <f t="shared" si="31"/>
        <v>0</v>
      </c>
      <c r="L231" s="76">
        <f t="shared" si="32"/>
        <v>0</v>
      </c>
      <c r="M231" s="75">
        <f t="shared" si="33"/>
        <v>0</v>
      </c>
      <c r="N231" s="75">
        <f t="shared" si="34"/>
        <v>0</v>
      </c>
      <c r="O231" s="75">
        <f t="shared" si="35"/>
        <v>0</v>
      </c>
      <c r="P231" s="77">
        <f t="shared" si="36"/>
        <v>0</v>
      </c>
    </row>
    <row r="232" spans="1:16" s="61" customFormat="1" ht="15" x14ac:dyDescent="0.2">
      <c r="A232" s="208">
        <v>0</v>
      </c>
      <c r="B232" s="209">
        <v>0</v>
      </c>
      <c r="C232" s="264" t="s">
        <v>548</v>
      </c>
      <c r="D232" s="67" t="s">
        <v>207</v>
      </c>
      <c r="E232" s="205">
        <f>1.09*E231</f>
        <v>160.82950000000002</v>
      </c>
      <c r="F232" s="213"/>
      <c r="G232" s="213"/>
      <c r="H232" s="214"/>
      <c r="I232" s="214"/>
      <c r="J232" s="214"/>
      <c r="K232" s="75">
        <f t="shared" si="31"/>
        <v>0</v>
      </c>
      <c r="L232" s="76">
        <f t="shared" si="32"/>
        <v>0</v>
      </c>
      <c r="M232" s="75">
        <f t="shared" si="33"/>
        <v>0</v>
      </c>
      <c r="N232" s="75">
        <f t="shared" si="34"/>
        <v>0</v>
      </c>
      <c r="O232" s="75">
        <f t="shared" si="35"/>
        <v>0</v>
      </c>
      <c r="P232" s="77">
        <f t="shared" si="36"/>
        <v>0</v>
      </c>
    </row>
    <row r="233" spans="1:16" s="61" customFormat="1" ht="15" x14ac:dyDescent="0.2">
      <c r="A233" s="208">
        <v>0</v>
      </c>
      <c r="B233" s="209">
        <v>0</v>
      </c>
      <c r="C233" s="264" t="s">
        <v>546</v>
      </c>
      <c r="D233" s="67" t="s">
        <v>131</v>
      </c>
      <c r="E233" s="205">
        <f>0.45*E231</f>
        <v>66.397500000000008</v>
      </c>
      <c r="F233" s="213"/>
      <c r="G233" s="213"/>
      <c r="H233" s="214"/>
      <c r="I233" s="214"/>
      <c r="J233" s="214"/>
      <c r="K233" s="75">
        <f t="shared" si="31"/>
        <v>0</v>
      </c>
      <c r="L233" s="76">
        <f t="shared" si="32"/>
        <v>0</v>
      </c>
      <c r="M233" s="75">
        <f t="shared" si="33"/>
        <v>0</v>
      </c>
      <c r="N233" s="75">
        <f t="shared" si="34"/>
        <v>0</v>
      </c>
      <c r="O233" s="75">
        <f t="shared" si="35"/>
        <v>0</v>
      </c>
      <c r="P233" s="77">
        <f t="shared" si="36"/>
        <v>0</v>
      </c>
    </row>
    <row r="234" spans="1:16" s="61" customFormat="1" x14ac:dyDescent="0.2">
      <c r="A234" s="208">
        <v>0</v>
      </c>
      <c r="B234" s="209">
        <v>0</v>
      </c>
      <c r="C234" s="241" t="s">
        <v>547</v>
      </c>
      <c r="D234" s="211" t="s">
        <v>199</v>
      </c>
      <c r="E234" s="205">
        <f>0.7*E231</f>
        <v>103.285</v>
      </c>
      <c r="F234" s="213"/>
      <c r="G234" s="213"/>
      <c r="H234" s="214"/>
      <c r="I234" s="214"/>
      <c r="J234" s="214"/>
      <c r="K234" s="75">
        <f t="shared" si="31"/>
        <v>0</v>
      </c>
      <c r="L234" s="76">
        <f t="shared" si="32"/>
        <v>0</v>
      </c>
      <c r="M234" s="75">
        <f t="shared" si="33"/>
        <v>0</v>
      </c>
      <c r="N234" s="75">
        <f t="shared" si="34"/>
        <v>0</v>
      </c>
      <c r="O234" s="75">
        <f t="shared" si="35"/>
        <v>0</v>
      </c>
      <c r="P234" s="77">
        <f t="shared" si="36"/>
        <v>0</v>
      </c>
    </row>
    <row r="235" spans="1:16" s="61" customFormat="1" x14ac:dyDescent="0.2">
      <c r="A235" s="208">
        <v>80</v>
      </c>
      <c r="B235" s="209" t="s">
        <v>229</v>
      </c>
      <c r="C235" s="263" t="s">
        <v>544</v>
      </c>
      <c r="D235" s="67" t="s">
        <v>207</v>
      </c>
      <c r="E235" s="205">
        <v>863.32</v>
      </c>
      <c r="F235" s="213"/>
      <c r="G235" s="213"/>
      <c r="H235" s="214"/>
      <c r="I235" s="214"/>
      <c r="J235" s="214"/>
      <c r="K235" s="75">
        <f t="shared" si="31"/>
        <v>0</v>
      </c>
      <c r="L235" s="76">
        <f t="shared" si="32"/>
        <v>0</v>
      </c>
      <c r="M235" s="75">
        <f t="shared" si="33"/>
        <v>0</v>
      </c>
      <c r="N235" s="75">
        <f t="shared" si="34"/>
        <v>0</v>
      </c>
      <c r="O235" s="75">
        <f t="shared" si="35"/>
        <v>0</v>
      </c>
      <c r="P235" s="77">
        <f t="shared" si="36"/>
        <v>0</v>
      </c>
    </row>
    <row r="236" spans="1:16" s="61" customFormat="1" ht="15" x14ac:dyDescent="0.2">
      <c r="A236" s="208">
        <v>0</v>
      </c>
      <c r="B236" s="209">
        <v>0</v>
      </c>
      <c r="C236" s="264" t="s">
        <v>549</v>
      </c>
      <c r="D236" s="67" t="s">
        <v>207</v>
      </c>
      <c r="E236" s="205">
        <f>1.09*E235</f>
        <v>941.01880000000017</v>
      </c>
      <c r="F236" s="213"/>
      <c r="G236" s="213"/>
      <c r="H236" s="214"/>
      <c r="I236" s="214"/>
      <c r="J236" s="214"/>
      <c r="K236" s="75">
        <f t="shared" si="31"/>
        <v>0</v>
      </c>
      <c r="L236" s="76">
        <f t="shared" si="32"/>
        <v>0</v>
      </c>
      <c r="M236" s="75">
        <f t="shared" si="33"/>
        <v>0</v>
      </c>
      <c r="N236" s="75">
        <f t="shared" si="34"/>
        <v>0</v>
      </c>
      <c r="O236" s="75">
        <f t="shared" si="35"/>
        <v>0</v>
      </c>
      <c r="P236" s="77">
        <f t="shared" si="36"/>
        <v>0</v>
      </c>
    </row>
    <row r="237" spans="1:16" s="61" customFormat="1" ht="15" x14ac:dyDescent="0.2">
      <c r="A237" s="208">
        <v>0</v>
      </c>
      <c r="B237" s="209">
        <v>0</v>
      </c>
      <c r="C237" s="264" t="s">
        <v>546</v>
      </c>
      <c r="D237" s="67" t="s">
        <v>131</v>
      </c>
      <c r="E237" s="205">
        <f>0.45*E235</f>
        <v>388.49400000000003</v>
      </c>
      <c r="F237" s="213"/>
      <c r="G237" s="213"/>
      <c r="H237" s="214"/>
      <c r="I237" s="214"/>
      <c r="J237" s="214"/>
      <c r="K237" s="75">
        <f t="shared" si="31"/>
        <v>0</v>
      </c>
      <c r="L237" s="76">
        <f t="shared" si="32"/>
        <v>0</v>
      </c>
      <c r="M237" s="75">
        <f t="shared" si="33"/>
        <v>0</v>
      </c>
      <c r="N237" s="75">
        <f t="shared" si="34"/>
        <v>0</v>
      </c>
      <c r="O237" s="75">
        <f t="shared" si="35"/>
        <v>0</v>
      </c>
      <c r="P237" s="77">
        <f t="shared" si="36"/>
        <v>0</v>
      </c>
    </row>
    <row r="238" spans="1:16" s="61" customFormat="1" x14ac:dyDescent="0.2">
      <c r="A238" s="208">
        <v>0</v>
      </c>
      <c r="B238" s="209">
        <v>0</v>
      </c>
      <c r="C238" s="241" t="s">
        <v>547</v>
      </c>
      <c r="D238" s="211" t="s">
        <v>199</v>
      </c>
      <c r="E238" s="205">
        <f>0.7*E235</f>
        <v>604.32399999999996</v>
      </c>
      <c r="F238" s="213"/>
      <c r="G238" s="213"/>
      <c r="H238" s="214"/>
      <c r="I238" s="214"/>
      <c r="J238" s="214"/>
      <c r="K238" s="75">
        <f t="shared" si="31"/>
        <v>0</v>
      </c>
      <c r="L238" s="76">
        <f t="shared" si="32"/>
        <v>0</v>
      </c>
      <c r="M238" s="75">
        <f t="shared" si="33"/>
        <v>0</v>
      </c>
      <c r="N238" s="75">
        <f t="shared" si="34"/>
        <v>0</v>
      </c>
      <c r="O238" s="75">
        <f t="shared" si="35"/>
        <v>0</v>
      </c>
      <c r="P238" s="77">
        <f t="shared" si="36"/>
        <v>0</v>
      </c>
    </row>
    <row r="239" spans="1:16" s="61" customFormat="1" x14ac:dyDescent="0.2">
      <c r="A239" s="252">
        <v>81</v>
      </c>
      <c r="B239" s="250" t="s">
        <v>229</v>
      </c>
      <c r="C239" s="263" t="s">
        <v>550</v>
      </c>
      <c r="D239" s="67" t="s">
        <v>207</v>
      </c>
      <c r="E239" s="205">
        <v>613.21</v>
      </c>
      <c r="F239" s="290"/>
      <c r="G239" s="213"/>
      <c r="H239" s="221"/>
      <c r="I239" s="221"/>
      <c r="J239" s="222"/>
      <c r="K239" s="75">
        <f t="shared" si="31"/>
        <v>0</v>
      </c>
      <c r="L239" s="76">
        <f t="shared" si="32"/>
        <v>0</v>
      </c>
      <c r="M239" s="75">
        <f t="shared" si="33"/>
        <v>0</v>
      </c>
      <c r="N239" s="75">
        <f t="shared" si="34"/>
        <v>0</v>
      </c>
      <c r="O239" s="75">
        <f t="shared" si="35"/>
        <v>0</v>
      </c>
      <c r="P239" s="77">
        <f t="shared" si="36"/>
        <v>0</v>
      </c>
    </row>
    <row r="240" spans="1:16" s="61" customFormat="1" ht="15" x14ac:dyDescent="0.2">
      <c r="A240" s="252">
        <v>0</v>
      </c>
      <c r="B240" s="250">
        <v>0</v>
      </c>
      <c r="C240" s="215" t="s">
        <v>551</v>
      </c>
      <c r="D240" s="67" t="s">
        <v>207</v>
      </c>
      <c r="E240" s="205">
        <f>1.08*E239</f>
        <v>662.2668000000001</v>
      </c>
      <c r="F240" s="290"/>
      <c r="G240" s="291"/>
      <c r="H240" s="221"/>
      <c r="I240" s="221"/>
      <c r="J240" s="222"/>
      <c r="K240" s="75">
        <f t="shared" si="31"/>
        <v>0</v>
      </c>
      <c r="L240" s="76">
        <f t="shared" si="32"/>
        <v>0</v>
      </c>
      <c r="M240" s="75">
        <f t="shared" si="33"/>
        <v>0</v>
      </c>
      <c r="N240" s="75">
        <f t="shared" si="34"/>
        <v>0</v>
      </c>
      <c r="O240" s="75">
        <f t="shared" si="35"/>
        <v>0</v>
      </c>
      <c r="P240" s="77">
        <f t="shared" si="36"/>
        <v>0</v>
      </c>
    </row>
    <row r="241" spans="1:16" s="61" customFormat="1" x14ac:dyDescent="0.2">
      <c r="A241" s="252">
        <v>0</v>
      </c>
      <c r="B241" s="250">
        <v>0</v>
      </c>
      <c r="C241" s="262" t="s">
        <v>552</v>
      </c>
      <c r="D241" s="67" t="s">
        <v>131</v>
      </c>
      <c r="E241" s="205">
        <f>4.4*E239</f>
        <v>2698.1240000000003</v>
      </c>
      <c r="F241" s="290"/>
      <c r="G241" s="291"/>
      <c r="H241" s="221"/>
      <c r="I241" s="221"/>
      <c r="J241" s="222"/>
      <c r="K241" s="75">
        <f t="shared" si="31"/>
        <v>0</v>
      </c>
      <c r="L241" s="76">
        <f t="shared" si="32"/>
        <v>0</v>
      </c>
      <c r="M241" s="75">
        <f t="shared" si="33"/>
        <v>0</v>
      </c>
      <c r="N241" s="75">
        <f t="shared" si="34"/>
        <v>0</v>
      </c>
      <c r="O241" s="75">
        <f t="shared" si="35"/>
        <v>0</v>
      </c>
      <c r="P241" s="77">
        <f t="shared" si="36"/>
        <v>0</v>
      </c>
    </row>
    <row r="242" spans="1:16" s="61" customFormat="1" x14ac:dyDescent="0.2">
      <c r="A242" s="252">
        <v>0</v>
      </c>
      <c r="B242" s="250">
        <v>0</v>
      </c>
      <c r="C242" s="216" t="s">
        <v>553</v>
      </c>
      <c r="D242" s="67" t="s">
        <v>131</v>
      </c>
      <c r="E242" s="205">
        <f>0.44*E239</f>
        <v>269.81240000000003</v>
      </c>
      <c r="F242" s="290"/>
      <c r="G242" s="291"/>
      <c r="H242" s="221"/>
      <c r="I242" s="221"/>
      <c r="J242" s="222"/>
      <c r="K242" s="75">
        <f t="shared" si="31"/>
        <v>0</v>
      </c>
      <c r="L242" s="76">
        <f t="shared" si="32"/>
        <v>0</v>
      </c>
      <c r="M242" s="75">
        <f t="shared" si="33"/>
        <v>0</v>
      </c>
      <c r="N242" s="75">
        <f t="shared" si="34"/>
        <v>0</v>
      </c>
      <c r="O242" s="75">
        <f t="shared" si="35"/>
        <v>0</v>
      </c>
      <c r="P242" s="77">
        <f t="shared" si="36"/>
        <v>0</v>
      </c>
    </row>
    <row r="243" spans="1:16" s="61" customFormat="1" x14ac:dyDescent="0.2">
      <c r="A243" s="252">
        <v>82</v>
      </c>
      <c r="B243" s="250" t="s">
        <v>229</v>
      </c>
      <c r="C243" s="263" t="s">
        <v>550</v>
      </c>
      <c r="D243" s="67" t="s">
        <v>207</v>
      </c>
      <c r="E243" s="205">
        <v>358.08</v>
      </c>
      <c r="F243" s="290"/>
      <c r="G243" s="213"/>
      <c r="H243" s="221"/>
      <c r="I243" s="221"/>
      <c r="J243" s="222"/>
      <c r="K243" s="75">
        <f t="shared" si="31"/>
        <v>0</v>
      </c>
      <c r="L243" s="76">
        <f t="shared" si="32"/>
        <v>0</v>
      </c>
      <c r="M243" s="75">
        <f t="shared" si="33"/>
        <v>0</v>
      </c>
      <c r="N243" s="75">
        <f t="shared" si="34"/>
        <v>0</v>
      </c>
      <c r="O243" s="75">
        <f t="shared" si="35"/>
        <v>0</v>
      </c>
      <c r="P243" s="77">
        <f t="shared" si="36"/>
        <v>0</v>
      </c>
    </row>
    <row r="244" spans="1:16" s="61" customFormat="1" ht="15" x14ac:dyDescent="0.2">
      <c r="A244" s="252">
        <v>0</v>
      </c>
      <c r="B244" s="250">
        <v>0</v>
      </c>
      <c r="C244" s="215" t="s">
        <v>554</v>
      </c>
      <c r="D244" s="67" t="s">
        <v>207</v>
      </c>
      <c r="E244" s="205">
        <f>1.08*E243</f>
        <v>386.72640000000001</v>
      </c>
      <c r="F244" s="290"/>
      <c r="G244" s="291"/>
      <c r="H244" s="221"/>
      <c r="I244" s="221"/>
      <c r="J244" s="222"/>
      <c r="K244" s="75">
        <f t="shared" si="31"/>
        <v>0</v>
      </c>
      <c r="L244" s="76">
        <f t="shared" si="32"/>
        <v>0</v>
      </c>
      <c r="M244" s="75">
        <f t="shared" si="33"/>
        <v>0</v>
      </c>
      <c r="N244" s="75">
        <f t="shared" si="34"/>
        <v>0</v>
      </c>
      <c r="O244" s="75">
        <f t="shared" si="35"/>
        <v>0</v>
      </c>
      <c r="P244" s="77">
        <f t="shared" si="36"/>
        <v>0</v>
      </c>
    </row>
    <row r="245" spans="1:16" s="61" customFormat="1" x14ac:dyDescent="0.2">
      <c r="A245" s="252">
        <v>0</v>
      </c>
      <c r="B245" s="250">
        <v>0</v>
      </c>
      <c r="C245" s="262" t="s">
        <v>552</v>
      </c>
      <c r="D245" s="67" t="s">
        <v>131</v>
      </c>
      <c r="E245" s="205">
        <f>4.4*E243</f>
        <v>1575.5520000000001</v>
      </c>
      <c r="F245" s="290"/>
      <c r="G245" s="291"/>
      <c r="H245" s="221"/>
      <c r="I245" s="221"/>
      <c r="J245" s="222"/>
      <c r="K245" s="75">
        <f t="shared" si="31"/>
        <v>0</v>
      </c>
      <c r="L245" s="76">
        <f t="shared" si="32"/>
        <v>0</v>
      </c>
      <c r="M245" s="75">
        <f t="shared" si="33"/>
        <v>0</v>
      </c>
      <c r="N245" s="75">
        <f t="shared" si="34"/>
        <v>0</v>
      </c>
      <c r="O245" s="75">
        <f t="shared" si="35"/>
        <v>0</v>
      </c>
      <c r="P245" s="77">
        <f t="shared" si="36"/>
        <v>0</v>
      </c>
    </row>
    <row r="246" spans="1:16" s="61" customFormat="1" x14ac:dyDescent="0.2">
      <c r="A246" s="252">
        <v>0</v>
      </c>
      <c r="B246" s="250">
        <v>0</v>
      </c>
      <c r="C246" s="216" t="s">
        <v>553</v>
      </c>
      <c r="D246" s="67" t="s">
        <v>131</v>
      </c>
      <c r="E246" s="205">
        <f>0.44*E243</f>
        <v>157.55519999999999</v>
      </c>
      <c r="F246" s="290"/>
      <c r="G246" s="291"/>
      <c r="H246" s="221"/>
      <c r="I246" s="221"/>
      <c r="J246" s="222"/>
      <c r="K246" s="75">
        <f t="shared" si="31"/>
        <v>0</v>
      </c>
      <c r="L246" s="76">
        <f t="shared" si="32"/>
        <v>0</v>
      </c>
      <c r="M246" s="75">
        <f t="shared" si="33"/>
        <v>0</v>
      </c>
      <c r="N246" s="75">
        <f t="shared" si="34"/>
        <v>0</v>
      </c>
      <c r="O246" s="75">
        <f t="shared" si="35"/>
        <v>0</v>
      </c>
      <c r="P246" s="77">
        <f t="shared" si="36"/>
        <v>0</v>
      </c>
    </row>
    <row r="247" spans="1:16" s="61" customFormat="1" x14ac:dyDescent="0.2">
      <c r="A247" s="202">
        <v>0</v>
      </c>
      <c r="B247" s="144"/>
      <c r="C247" s="207" t="s">
        <v>111</v>
      </c>
      <c r="D247" s="204"/>
      <c r="E247" s="205"/>
      <c r="F247" s="148"/>
      <c r="G247" s="148"/>
      <c r="H247" s="217"/>
      <c r="I247" s="217"/>
      <c r="J247" s="217"/>
      <c r="K247" s="75">
        <f t="shared" si="31"/>
        <v>0</v>
      </c>
      <c r="L247" s="76">
        <f t="shared" si="32"/>
        <v>0</v>
      </c>
      <c r="M247" s="75">
        <f t="shared" si="33"/>
        <v>0</v>
      </c>
      <c r="N247" s="75">
        <f t="shared" si="34"/>
        <v>0</v>
      </c>
      <c r="O247" s="75">
        <f t="shared" si="35"/>
        <v>0</v>
      </c>
      <c r="P247" s="77">
        <f t="shared" si="36"/>
        <v>0</v>
      </c>
    </row>
    <row r="248" spans="1:16" s="61" customFormat="1" ht="30" x14ac:dyDescent="0.2">
      <c r="A248" s="208">
        <v>83</v>
      </c>
      <c r="B248" s="209" t="s">
        <v>229</v>
      </c>
      <c r="C248" s="230" t="s">
        <v>555</v>
      </c>
      <c r="D248" s="211" t="s">
        <v>199</v>
      </c>
      <c r="E248" s="205">
        <v>340</v>
      </c>
      <c r="F248" s="213"/>
      <c r="G248" s="213"/>
      <c r="H248" s="214"/>
      <c r="I248" s="214"/>
      <c r="J248" s="214"/>
      <c r="K248" s="75">
        <f t="shared" si="31"/>
        <v>0</v>
      </c>
      <c r="L248" s="76">
        <f t="shared" si="32"/>
        <v>0</v>
      </c>
      <c r="M248" s="75">
        <f t="shared" si="33"/>
        <v>0</v>
      </c>
      <c r="N248" s="75">
        <f t="shared" si="34"/>
        <v>0</v>
      </c>
      <c r="O248" s="75">
        <f t="shared" si="35"/>
        <v>0</v>
      </c>
      <c r="P248" s="77">
        <f t="shared" si="36"/>
        <v>0</v>
      </c>
    </row>
    <row r="249" spans="1:16" s="61" customFormat="1" ht="15" x14ac:dyDescent="0.2">
      <c r="A249" s="208">
        <v>84</v>
      </c>
      <c r="B249" s="209" t="s">
        <v>229</v>
      </c>
      <c r="C249" s="230" t="s">
        <v>556</v>
      </c>
      <c r="D249" s="211" t="s">
        <v>199</v>
      </c>
      <c r="E249" s="205">
        <v>475</v>
      </c>
      <c r="F249" s="213"/>
      <c r="G249" s="213"/>
      <c r="H249" s="214"/>
      <c r="I249" s="214"/>
      <c r="J249" s="214"/>
      <c r="K249" s="75">
        <f t="shared" si="31"/>
        <v>0</v>
      </c>
      <c r="L249" s="76">
        <f t="shared" si="32"/>
        <v>0</v>
      </c>
      <c r="M249" s="75">
        <f t="shared" si="33"/>
        <v>0</v>
      </c>
      <c r="N249" s="75">
        <f t="shared" si="34"/>
        <v>0</v>
      </c>
      <c r="O249" s="75">
        <f t="shared" si="35"/>
        <v>0</v>
      </c>
      <c r="P249" s="77">
        <f t="shared" si="36"/>
        <v>0</v>
      </c>
    </row>
    <row r="250" spans="1:16" s="61" customFormat="1" ht="15" x14ac:dyDescent="0.2">
      <c r="A250" s="208">
        <v>85</v>
      </c>
      <c r="B250" s="209" t="s">
        <v>229</v>
      </c>
      <c r="C250" s="230" t="s">
        <v>557</v>
      </c>
      <c r="D250" s="211" t="s">
        <v>199</v>
      </c>
      <c r="E250" s="205">
        <v>502</v>
      </c>
      <c r="F250" s="213"/>
      <c r="G250" s="213"/>
      <c r="H250" s="214"/>
      <c r="I250" s="214"/>
      <c r="J250" s="214"/>
      <c r="K250" s="75">
        <f t="shared" si="31"/>
        <v>0</v>
      </c>
      <c r="L250" s="76">
        <f t="shared" si="32"/>
        <v>0</v>
      </c>
      <c r="M250" s="75">
        <f t="shared" si="33"/>
        <v>0</v>
      </c>
      <c r="N250" s="75">
        <f t="shared" si="34"/>
        <v>0</v>
      </c>
      <c r="O250" s="75">
        <f t="shared" si="35"/>
        <v>0</v>
      </c>
      <c r="P250" s="77">
        <f t="shared" si="36"/>
        <v>0</v>
      </c>
    </row>
    <row r="251" spans="1:16" s="61" customFormat="1" ht="15" x14ac:dyDescent="0.2">
      <c r="A251" s="208">
        <v>86</v>
      </c>
      <c r="B251" s="209" t="s">
        <v>229</v>
      </c>
      <c r="C251" s="230" t="s">
        <v>558</v>
      </c>
      <c r="D251" s="211" t="s">
        <v>199</v>
      </c>
      <c r="E251" s="205">
        <v>405</v>
      </c>
      <c r="F251" s="213"/>
      <c r="G251" s="213"/>
      <c r="H251" s="214"/>
      <c r="I251" s="214"/>
      <c r="J251" s="214"/>
      <c r="K251" s="75">
        <f t="shared" si="31"/>
        <v>0</v>
      </c>
      <c r="L251" s="76">
        <f t="shared" si="32"/>
        <v>0</v>
      </c>
      <c r="M251" s="75">
        <f t="shared" si="33"/>
        <v>0</v>
      </c>
      <c r="N251" s="75">
        <f t="shared" si="34"/>
        <v>0</v>
      </c>
      <c r="O251" s="75">
        <f t="shared" si="35"/>
        <v>0</v>
      </c>
      <c r="P251" s="77">
        <f t="shared" si="36"/>
        <v>0</v>
      </c>
    </row>
    <row r="252" spans="1:16" x14ac:dyDescent="0.2">
      <c r="A252" s="78"/>
      <c r="B252" s="126"/>
      <c r="C252" s="80"/>
      <c r="D252" s="81"/>
      <c r="E252" s="82"/>
      <c r="F252" s="82">
        <v>0</v>
      </c>
      <c r="G252" s="82">
        <v>0</v>
      </c>
      <c r="H252" s="83"/>
      <c r="I252" s="82"/>
      <c r="J252" s="82"/>
      <c r="K252" s="82"/>
      <c r="L252" s="82"/>
      <c r="M252" s="82"/>
      <c r="N252" s="82"/>
      <c r="O252" s="82"/>
      <c r="P252" s="84"/>
    </row>
    <row r="253" spans="1:16" ht="15" customHeight="1" x14ac:dyDescent="0.2">
      <c r="A253" s="85"/>
      <c r="B253" s="85"/>
      <c r="C253" s="509" t="s">
        <v>74</v>
      </c>
      <c r="D253" s="510"/>
      <c r="E253" s="510"/>
      <c r="F253" s="510"/>
      <c r="G253" s="510"/>
      <c r="H253" s="510"/>
      <c r="I253" s="510"/>
      <c r="J253" s="510"/>
      <c r="K253" s="510"/>
      <c r="L253" s="87">
        <f>SUM(L13:L252)</f>
        <v>0</v>
      </c>
      <c r="M253" s="87">
        <f>SUM(M13:M252)</f>
        <v>0</v>
      </c>
      <c r="N253" s="87">
        <f>SUM(N13:N252)</f>
        <v>0</v>
      </c>
      <c r="O253" s="87">
        <f>SUM(O13:O252)</f>
        <v>0</v>
      </c>
      <c r="P253" s="87">
        <f>SUM(P13:P252)</f>
        <v>0</v>
      </c>
    </row>
    <row r="254" spans="1:16" s="88" customFormat="1" collapsed="1" x14ac:dyDescent="0.2">
      <c r="I254" s="89"/>
    </row>
    <row r="255" spans="1:16" s="2" customFormat="1" ht="12.75" customHeight="1" x14ac:dyDescent="0.2">
      <c r="B255" s="90" t="s">
        <v>75</v>
      </c>
    </row>
    <row r="256" spans="1:16" s="2" customFormat="1" ht="45" customHeight="1" x14ac:dyDescent="0.2">
      <c r="A256"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256" s="511"/>
      <c r="C256" s="511"/>
      <c r="D256" s="511"/>
      <c r="E256" s="511"/>
      <c r="F256" s="511"/>
      <c r="G256" s="511"/>
      <c r="H256" s="511"/>
      <c r="I256" s="511"/>
      <c r="J256" s="511"/>
      <c r="K256" s="511"/>
      <c r="L256" s="511"/>
      <c r="M256" s="511"/>
      <c r="N256" s="511"/>
      <c r="O256" s="511"/>
      <c r="P256" s="511"/>
    </row>
    <row r="257" spans="1:16" s="2" customFormat="1" ht="85.5" customHeight="1" x14ac:dyDescent="0.2">
      <c r="A257" s="512"/>
      <c r="B257" s="512"/>
      <c r="C257" s="512"/>
      <c r="D257" s="512"/>
      <c r="E257" s="512"/>
      <c r="F257" s="512"/>
      <c r="G257" s="512"/>
      <c r="H257" s="512"/>
      <c r="I257" s="512"/>
      <c r="J257" s="512"/>
      <c r="K257" s="512"/>
      <c r="L257" s="512"/>
      <c r="M257" s="512"/>
      <c r="N257" s="512"/>
      <c r="O257" s="512"/>
      <c r="P257" s="512"/>
    </row>
    <row r="258" spans="1:16" s="2" customFormat="1" ht="12.75" customHeight="1" x14ac:dyDescent="0.2">
      <c r="B258" s="91"/>
    </row>
    <row r="259" spans="1:16" s="2" customFormat="1" ht="12.75" customHeight="1" x14ac:dyDescent="0.2">
      <c r="B259" s="91"/>
    </row>
    <row r="260" spans="1:16" s="88" customFormat="1" x14ac:dyDescent="0.2">
      <c r="B260" s="88" t="s">
        <v>36</v>
      </c>
      <c r="L260" s="92" t="s">
        <v>98</v>
      </c>
      <c r="M260" s="92"/>
      <c r="N260" s="92"/>
      <c r="O260" s="92"/>
      <c r="P260" s="92"/>
    </row>
    <row r="261" spans="1:16" s="88" customFormat="1" ht="14.25" customHeight="1" x14ac:dyDescent="0.2">
      <c r="C261" s="36"/>
      <c r="L261" s="36"/>
      <c r="M261" s="513"/>
      <c r="N261" s="513"/>
      <c r="O261" s="92"/>
      <c r="P261" s="92"/>
    </row>
    <row r="262" spans="1:16" s="88" customFormat="1" x14ac:dyDescent="0.2">
      <c r="C262" s="39"/>
      <c r="L262" s="39"/>
      <c r="M262" s="507"/>
      <c r="N262" s="507"/>
      <c r="O262" s="92"/>
      <c r="P262" s="92"/>
    </row>
    <row r="263" spans="1:16" s="88" customFormat="1" collapsed="1" x14ac:dyDescent="0.2">
      <c r="B263" s="89"/>
      <c r="F263" s="89"/>
      <c r="G263" s="89"/>
    </row>
  </sheetData>
  <autoFilter ref="C1:C263"/>
  <mergeCells count="17">
    <mergeCell ref="M262:N262"/>
    <mergeCell ref="F11:K11"/>
    <mergeCell ref="L11:P11"/>
    <mergeCell ref="C253:K253"/>
    <mergeCell ref="A256:P256"/>
    <mergeCell ref="A257:P257"/>
    <mergeCell ref="M261:N261"/>
    <mergeCell ref="A11:A12"/>
    <mergeCell ref="B11:B12"/>
    <mergeCell ref="C11:C12"/>
    <mergeCell ref="D11:D12"/>
    <mergeCell ref="E11:E12"/>
    <mergeCell ref="A2:P2"/>
    <mergeCell ref="D3:P3"/>
    <mergeCell ref="D4:P4"/>
    <mergeCell ref="D5:P5"/>
    <mergeCell ref="L9:O9"/>
  </mergeCells>
  <printOptions horizontalCentered="1"/>
  <pageMargins left="0.27559055118110237" right="0.27559055118110237" top="0.74803149606299213" bottom="0.74803149606299213" header="0.31496062992125984" footer="0.31496062992125984"/>
  <pageSetup paperSize="9" scale="63"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431" id="{2E613C86-8DA6-477D-A235-1676281E4029}">
            <xm:f>'\Dropbox\1MANI DOCUMENTI\2015_11novembris\1KAS_JAPILDA2015\2_DARBS_2015\[IZMAKSAS_2015_11.3(18.11.2015)(Baltex)JAUNAIS.xlsx]BAZE2015_EUR'!#REF!&gt;0</xm:f>
            <x14:dxf>
              <fill>
                <patternFill>
                  <bgColor rgb="FFFF0000"/>
                </patternFill>
              </fill>
            </x14:dxf>
          </x14:cfRule>
          <x14:cfRule type="expression" priority="432" id="{0D22B2A3-ED93-43CE-89AE-F44F6EF5D936}">
            <xm:f>'\Dropbox\1MANI DOCUMENTI\2015_11novembris\1KAS_JAPILDA2015\2_DARBS_2015\[IZMAKSAS_2015_11.3(18.11.2015)(Baltex)JAUNAIS.xlsx]BAZE2015_EUR'!#REF!=3</xm:f>
            <x14:dxf>
              <fill>
                <patternFill>
                  <bgColor rgb="FFFF0000"/>
                </patternFill>
              </fill>
            </x14:dxf>
          </x14:cfRule>
          <x14:cfRule type="expression" priority="433" id="{C6EF2B46-24E4-4AB4-9818-8EF65B5EE763}">
            <xm:f>'\Dropbox\1MANI DOCUMENTI\2015_11novembris\1KAS_JAPILDA2015\2_DARBS_2015\[IZMAKSAS_2015_11.3(18.11.2015)(Baltex)JAUNAIS.xlsx]BAZE2015_EUR'!#REF!=2</xm:f>
            <x14:dxf>
              <fill>
                <patternFill>
                  <bgColor theme="6" tint="0.39994506668294322"/>
                </patternFill>
              </fill>
            </x14:dxf>
          </x14:cfRule>
          <x14:cfRule type="expression" priority="434" id="{AEBB7EA6-317E-4C9B-80EE-709EE23060D7}">
            <xm:f>'\Dropbox\1MANI DOCUMENTI\2015_11novembris\1KAS_JAPILDA2015\2_DARBS_2015\[IZMAKSAS_2015_11.3(18.11.2015)(Baltex)JAUNAIS.xlsx]BAZE2015_EUR'!#REF!=1</xm:f>
            <x14:dxf>
              <fill>
                <patternFill>
                  <bgColor rgb="FFFFC000"/>
                </patternFill>
              </fill>
            </x14:dxf>
          </x14:cfRule>
          <xm:sqref>I15</xm:sqref>
        </x14:conditionalFormatting>
        <x14:conditionalFormatting xmlns:xm="http://schemas.microsoft.com/office/excel/2006/main">
          <x14:cfRule type="expression" priority="435" stopIfTrue="1" id="{30D1F856-813D-4F1E-913F-C6269D624B6A}">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I15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96"/>
  <sheetViews>
    <sheetView showZeros="0" view="pageBreakPreview" topLeftCell="A7" zoomScale="80" zoomScaleNormal="100" zoomScaleSheetLayoutView="80" workbookViewId="0">
      <selection activeCell="C47" sqref="C47:E47"/>
    </sheetView>
  </sheetViews>
  <sheetFormatPr defaultRowHeight="14.25" x14ac:dyDescent="0.2"/>
  <cols>
    <col min="1" max="1" width="9" style="49" customWidth="1"/>
    <col min="2" max="2" width="9.42578125" style="49" customWidth="1"/>
    <col min="3" max="3" width="43.85546875" style="130" customWidth="1"/>
    <col min="4" max="4" width="8.140625" style="49" customWidth="1"/>
    <col min="5" max="11" width="9.140625" style="49"/>
    <col min="12" max="12" width="11.5703125" style="49" customWidth="1"/>
    <col min="13" max="13" width="12.28515625" style="49" customWidth="1"/>
    <col min="14" max="14" width="14" style="49" customWidth="1"/>
    <col min="15" max="15" width="11.5703125" style="49" customWidth="1"/>
    <col min="16" max="16" width="14.140625" style="49" customWidth="1"/>
    <col min="17" max="16384" width="9.140625" style="49"/>
  </cols>
  <sheetData>
    <row r="1" spans="1:16" s="41" customFormat="1" ht="15" x14ac:dyDescent="0.25">
      <c r="C1" s="127"/>
      <c r="E1" s="43"/>
      <c r="F1" s="43"/>
      <c r="G1" s="95" t="s">
        <v>37</v>
      </c>
      <c r="H1" s="128" t="str">
        <f>kops1!B30</f>
        <v>1,10</v>
      </c>
    </row>
    <row r="2" spans="1:16" s="41" customFormat="1" ht="15" x14ac:dyDescent="0.25">
      <c r="A2" s="504" t="str">
        <f>C13</f>
        <v>Ailu aizpildījuma elementi</v>
      </c>
      <c r="B2" s="504"/>
      <c r="C2" s="504"/>
      <c r="D2" s="504"/>
      <c r="E2" s="504"/>
      <c r="F2" s="504"/>
      <c r="G2" s="504"/>
      <c r="H2" s="504"/>
      <c r="I2" s="504"/>
      <c r="J2" s="504"/>
      <c r="K2" s="504"/>
      <c r="L2" s="504"/>
      <c r="M2" s="504"/>
      <c r="N2" s="504"/>
      <c r="O2" s="504"/>
      <c r="P2" s="504"/>
    </row>
    <row r="3" spans="1:16" ht="15" x14ac:dyDescent="0.2">
      <c r="A3" s="47"/>
      <c r="B3" s="47"/>
      <c r="C3" s="129" t="s">
        <v>38</v>
      </c>
      <c r="D3" s="505" t="s">
        <v>94</v>
      </c>
      <c r="E3" s="505"/>
      <c r="F3" s="505"/>
      <c r="G3" s="505"/>
      <c r="H3" s="505"/>
      <c r="I3" s="505"/>
      <c r="J3" s="505"/>
      <c r="K3" s="505"/>
      <c r="L3" s="505"/>
      <c r="M3" s="505"/>
      <c r="N3" s="505"/>
      <c r="O3" s="505"/>
      <c r="P3" s="505"/>
    </row>
    <row r="4" spans="1:16" ht="15" x14ac:dyDescent="0.2">
      <c r="A4" s="47"/>
      <c r="B4" s="47"/>
      <c r="C4" s="129" t="s">
        <v>39</v>
      </c>
      <c r="D4" s="505" t="s">
        <v>95</v>
      </c>
      <c r="E4" s="505"/>
      <c r="F4" s="505"/>
      <c r="G4" s="505"/>
      <c r="H4" s="505"/>
      <c r="I4" s="505"/>
      <c r="J4" s="505"/>
      <c r="K4" s="505"/>
      <c r="L4" s="505"/>
      <c r="M4" s="505"/>
      <c r="N4" s="505"/>
      <c r="O4" s="505"/>
      <c r="P4" s="505"/>
    </row>
    <row r="5" spans="1:16" ht="15" x14ac:dyDescent="0.2">
      <c r="A5" s="47"/>
      <c r="B5" s="47"/>
      <c r="C5" s="129" t="s">
        <v>40</v>
      </c>
      <c r="D5" s="505" t="s">
        <v>96</v>
      </c>
      <c r="E5" s="505"/>
      <c r="F5" s="505"/>
      <c r="G5" s="505"/>
      <c r="H5" s="505"/>
      <c r="I5" s="505"/>
      <c r="J5" s="505"/>
      <c r="K5" s="505"/>
      <c r="L5" s="505"/>
      <c r="M5" s="505"/>
      <c r="N5" s="505"/>
      <c r="O5" s="505"/>
      <c r="P5" s="505"/>
    </row>
    <row r="6" spans="1:16" x14ac:dyDescent="0.2">
      <c r="A6" s="47"/>
      <c r="B6" s="47"/>
      <c r="C6" s="129" t="s">
        <v>100</v>
      </c>
      <c r="D6" s="50" t="s">
        <v>97</v>
      </c>
      <c r="E6" s="51"/>
      <c r="F6" s="51"/>
      <c r="G6" s="51"/>
      <c r="H6" s="51"/>
      <c r="I6" s="51"/>
      <c r="J6" s="51"/>
      <c r="K6" s="51"/>
      <c r="L6" s="51"/>
      <c r="M6" s="51"/>
      <c r="N6" s="51"/>
      <c r="O6" s="51"/>
      <c r="P6" s="53"/>
    </row>
    <row r="7" spans="1:16" x14ac:dyDescent="0.2">
      <c r="A7" s="8" t="s">
        <v>745</v>
      </c>
      <c r="B7" s="96"/>
      <c r="D7" s="50"/>
      <c r="E7" s="50"/>
      <c r="F7" s="50"/>
      <c r="G7" s="50"/>
      <c r="H7" s="50"/>
      <c r="I7" s="50"/>
      <c r="J7" s="50"/>
      <c r="K7" s="51"/>
      <c r="L7" s="51"/>
      <c r="M7" s="51"/>
      <c r="N7" s="51"/>
      <c r="O7" s="47" t="s">
        <v>41</v>
      </c>
      <c r="P7" s="56">
        <f>P86</f>
        <v>0</v>
      </c>
    </row>
    <row r="8" spans="1:16" x14ac:dyDescent="0.2">
      <c r="A8" s="57"/>
      <c r="B8" s="57"/>
      <c r="D8" s="58"/>
      <c r="E8" s="51"/>
      <c r="F8" s="51"/>
      <c r="G8" s="51"/>
      <c r="H8" s="51"/>
      <c r="I8" s="51"/>
      <c r="J8" s="51"/>
      <c r="K8" s="51"/>
      <c r="N8" s="51"/>
      <c r="O8" s="51"/>
      <c r="P8" s="53"/>
    </row>
    <row r="9" spans="1:16" ht="15" customHeight="1" x14ac:dyDescent="0.2">
      <c r="A9" s="59"/>
      <c r="B9" s="59"/>
      <c r="J9" s="62"/>
      <c r="K9" s="62"/>
      <c r="L9" s="506" t="s">
        <v>736</v>
      </c>
      <c r="M9" s="506"/>
      <c r="N9" s="506"/>
      <c r="O9" s="506"/>
      <c r="P9" s="62"/>
    </row>
    <row r="10" spans="1:16" ht="15" x14ac:dyDescent="0.2">
      <c r="A10" s="59"/>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v>0</v>
      </c>
      <c r="C13" s="65" t="str">
        <f>kops1!C30</f>
        <v>Ailu aizpildījuma elementi</v>
      </c>
      <c r="D13" s="66"/>
      <c r="E13" s="67"/>
      <c r="F13" s="76">
        <v>0</v>
      </c>
      <c r="G13" s="76">
        <v>0</v>
      </c>
      <c r="H13" s="69"/>
      <c r="I13" s="70"/>
      <c r="J13" s="70"/>
      <c r="K13" s="75">
        <f t="shared" ref="K13" si="0">SUM(H13:J13)</f>
        <v>0</v>
      </c>
      <c r="L13" s="76">
        <f t="shared" ref="L13" si="1">ROUND(F13*E13,2)</f>
        <v>0</v>
      </c>
      <c r="M13" s="75">
        <f t="shared" ref="M13" si="2">ROUND(H13*E13,2)</f>
        <v>0</v>
      </c>
      <c r="N13" s="75">
        <f t="shared" ref="N13" si="3">ROUND(I13*E13,2)</f>
        <v>0</v>
      </c>
      <c r="O13" s="75">
        <f t="shared" ref="O13" si="4">ROUND(J13*E13,2)</f>
        <v>0</v>
      </c>
      <c r="P13" s="77">
        <f t="shared" ref="P13" si="5">SUM(M13:O13)</f>
        <v>0</v>
      </c>
    </row>
    <row r="14" spans="1:16" s="61" customFormat="1" x14ac:dyDescent="0.2">
      <c r="A14" s="218">
        <v>1</v>
      </c>
      <c r="B14" s="250" t="s">
        <v>205</v>
      </c>
      <c r="C14" s="236" t="s">
        <v>559</v>
      </c>
      <c r="D14" s="211" t="s">
        <v>207</v>
      </c>
      <c r="E14" s="425">
        <v>148</v>
      </c>
      <c r="F14" s="148"/>
      <c r="G14" s="213"/>
      <c r="H14" s="214"/>
      <c r="I14" s="214"/>
      <c r="J14" s="258"/>
      <c r="K14" s="75">
        <f>SUM(H14:J14)</f>
        <v>0</v>
      </c>
      <c r="L14" s="76">
        <f>ROUND(F14*E14,2)</f>
        <v>0</v>
      </c>
      <c r="M14" s="75">
        <f>ROUND(H14*E14,2)</f>
        <v>0</v>
      </c>
      <c r="N14" s="75">
        <f>ROUND(I14*E14,2)</f>
        <v>0</v>
      </c>
      <c r="O14" s="75">
        <f>ROUND(J14*E14,2)</f>
        <v>0</v>
      </c>
      <c r="P14" s="77">
        <f>SUM(M14:O14)</f>
        <v>0</v>
      </c>
    </row>
    <row r="15" spans="1:16" s="61" customFormat="1" ht="15" x14ac:dyDescent="0.25">
      <c r="A15" s="218">
        <v>0</v>
      </c>
      <c r="B15" s="250">
        <v>0</v>
      </c>
      <c r="C15" s="289" t="s">
        <v>560</v>
      </c>
      <c r="D15" s="211" t="s">
        <v>62</v>
      </c>
      <c r="E15" s="322">
        <v>2</v>
      </c>
      <c r="F15" s="148"/>
      <c r="G15" s="148"/>
      <c r="H15" s="214"/>
      <c r="I15" s="214"/>
      <c r="J15" s="258"/>
      <c r="K15" s="75">
        <f t="shared" ref="K15:K81" si="6">SUM(H15:J15)</f>
        <v>0</v>
      </c>
      <c r="L15" s="76">
        <f t="shared" ref="L15:L81" si="7">ROUND(F15*E15,2)</f>
        <v>0</v>
      </c>
      <c r="M15" s="75">
        <f t="shared" ref="M15:M81" si="8">ROUND(H15*E15,2)</f>
        <v>0</v>
      </c>
      <c r="N15" s="75">
        <f t="shared" ref="N15:N81" si="9">ROUND(I15*E15,2)</f>
        <v>0</v>
      </c>
      <c r="O15" s="75">
        <f t="shared" ref="O15:O81" si="10">ROUND(J15*E15,2)</f>
        <v>0</v>
      </c>
      <c r="P15" s="77">
        <f t="shared" ref="P15:P81" si="11">SUM(M15:O15)</f>
        <v>0</v>
      </c>
    </row>
    <row r="16" spans="1:16" s="61" customFormat="1" ht="15" x14ac:dyDescent="0.25">
      <c r="A16" s="218">
        <v>0</v>
      </c>
      <c r="B16" s="250"/>
      <c r="C16" s="437" t="s">
        <v>794</v>
      </c>
      <c r="D16" s="211" t="s">
        <v>62</v>
      </c>
      <c r="E16" s="322">
        <v>1</v>
      </c>
      <c r="F16" s="148"/>
      <c r="G16" s="148"/>
      <c r="H16" s="214"/>
      <c r="I16" s="214"/>
      <c r="J16" s="258"/>
      <c r="K16" s="75">
        <f t="shared" si="6"/>
        <v>0</v>
      </c>
      <c r="L16" s="76">
        <f t="shared" si="7"/>
        <v>0</v>
      </c>
      <c r="M16" s="75">
        <f t="shared" si="8"/>
        <v>0</v>
      </c>
      <c r="N16" s="75">
        <f t="shared" si="9"/>
        <v>0</v>
      </c>
      <c r="O16" s="75">
        <f t="shared" si="10"/>
        <v>0</v>
      </c>
      <c r="P16" s="77">
        <f t="shared" si="11"/>
        <v>0</v>
      </c>
    </row>
    <row r="17" spans="1:16" s="61" customFormat="1" ht="15" x14ac:dyDescent="0.25">
      <c r="A17" s="218">
        <v>0</v>
      </c>
      <c r="B17" s="250"/>
      <c r="C17" s="289" t="s">
        <v>561</v>
      </c>
      <c r="D17" s="211" t="s">
        <v>62</v>
      </c>
      <c r="E17" s="322">
        <v>1</v>
      </c>
      <c r="F17" s="148"/>
      <c r="G17" s="148"/>
      <c r="H17" s="214"/>
      <c r="I17" s="214"/>
      <c r="J17" s="258"/>
      <c r="K17" s="75">
        <f t="shared" si="6"/>
        <v>0</v>
      </c>
      <c r="L17" s="76">
        <f t="shared" si="7"/>
        <v>0</v>
      </c>
      <c r="M17" s="75">
        <f t="shared" si="8"/>
        <v>0</v>
      </c>
      <c r="N17" s="75">
        <f t="shared" si="9"/>
        <v>0</v>
      </c>
      <c r="O17" s="75">
        <f t="shared" si="10"/>
        <v>0</v>
      </c>
      <c r="P17" s="77">
        <f t="shared" si="11"/>
        <v>0</v>
      </c>
    </row>
    <row r="18" spans="1:16" s="61" customFormat="1" ht="15" x14ac:dyDescent="0.25">
      <c r="A18" s="218">
        <v>0</v>
      </c>
      <c r="B18" s="250"/>
      <c r="C18" s="289" t="s">
        <v>562</v>
      </c>
      <c r="D18" s="211" t="s">
        <v>62</v>
      </c>
      <c r="E18" s="439">
        <v>28</v>
      </c>
      <c r="F18" s="148"/>
      <c r="G18" s="148"/>
      <c r="H18" s="214"/>
      <c r="I18" s="214"/>
      <c r="J18" s="258"/>
      <c r="K18" s="75">
        <f t="shared" si="6"/>
        <v>0</v>
      </c>
      <c r="L18" s="76">
        <f t="shared" si="7"/>
        <v>0</v>
      </c>
      <c r="M18" s="75">
        <f t="shared" si="8"/>
        <v>0</v>
      </c>
      <c r="N18" s="75">
        <f t="shared" si="9"/>
        <v>0</v>
      </c>
      <c r="O18" s="75">
        <f t="shared" si="10"/>
        <v>0</v>
      </c>
      <c r="P18" s="77">
        <f t="shared" si="11"/>
        <v>0</v>
      </c>
    </row>
    <row r="19" spans="1:16" s="61" customFormat="1" ht="15" x14ac:dyDescent="0.25">
      <c r="A19" s="218">
        <v>0</v>
      </c>
      <c r="B19" s="250"/>
      <c r="C19" s="289" t="s">
        <v>563</v>
      </c>
      <c r="D19" s="211" t="s">
        <v>62</v>
      </c>
      <c r="E19" s="322">
        <v>5</v>
      </c>
      <c r="F19" s="148"/>
      <c r="G19" s="148"/>
      <c r="H19" s="214"/>
      <c r="I19" s="214"/>
      <c r="J19" s="258"/>
      <c r="K19" s="75">
        <f t="shared" si="6"/>
        <v>0</v>
      </c>
      <c r="L19" s="76">
        <f t="shared" si="7"/>
        <v>0</v>
      </c>
      <c r="M19" s="75">
        <f t="shared" si="8"/>
        <v>0</v>
      </c>
      <c r="N19" s="75">
        <f t="shared" si="9"/>
        <v>0</v>
      </c>
      <c r="O19" s="75">
        <f t="shared" si="10"/>
        <v>0</v>
      </c>
      <c r="P19" s="77">
        <f t="shared" si="11"/>
        <v>0</v>
      </c>
    </row>
    <row r="20" spans="1:16" s="61" customFormat="1" ht="15" x14ac:dyDescent="0.25">
      <c r="A20" s="218">
        <v>0</v>
      </c>
      <c r="B20" s="250"/>
      <c r="C20" s="289" t="s">
        <v>564</v>
      </c>
      <c r="D20" s="211" t="s">
        <v>62</v>
      </c>
      <c r="E20" s="322">
        <v>7</v>
      </c>
      <c r="F20" s="148"/>
      <c r="G20" s="148"/>
      <c r="H20" s="214"/>
      <c r="I20" s="214"/>
      <c r="J20" s="258"/>
      <c r="K20" s="75">
        <f t="shared" si="6"/>
        <v>0</v>
      </c>
      <c r="L20" s="76">
        <f t="shared" si="7"/>
        <v>0</v>
      </c>
      <c r="M20" s="75">
        <f t="shared" si="8"/>
        <v>0</v>
      </c>
      <c r="N20" s="75">
        <f t="shared" si="9"/>
        <v>0</v>
      </c>
      <c r="O20" s="75">
        <f t="shared" si="10"/>
        <v>0</v>
      </c>
      <c r="P20" s="77">
        <f t="shared" si="11"/>
        <v>0</v>
      </c>
    </row>
    <row r="21" spans="1:16" s="61" customFormat="1" ht="15" x14ac:dyDescent="0.25">
      <c r="A21" s="218">
        <v>0</v>
      </c>
      <c r="B21" s="250"/>
      <c r="C21" s="289" t="s">
        <v>565</v>
      </c>
      <c r="D21" s="211" t="s">
        <v>62</v>
      </c>
      <c r="E21" s="322">
        <v>2</v>
      </c>
      <c r="F21" s="148"/>
      <c r="G21" s="148"/>
      <c r="H21" s="214"/>
      <c r="I21" s="214"/>
      <c r="J21" s="258"/>
      <c r="K21" s="75">
        <f t="shared" si="6"/>
        <v>0</v>
      </c>
      <c r="L21" s="76">
        <f t="shared" si="7"/>
        <v>0</v>
      </c>
      <c r="M21" s="75">
        <f t="shared" si="8"/>
        <v>0</v>
      </c>
      <c r="N21" s="75">
        <f t="shared" si="9"/>
        <v>0</v>
      </c>
      <c r="O21" s="75">
        <f t="shared" si="10"/>
        <v>0</v>
      </c>
      <c r="P21" s="77">
        <f t="shared" si="11"/>
        <v>0</v>
      </c>
    </row>
    <row r="22" spans="1:16" s="61" customFormat="1" ht="15" x14ac:dyDescent="0.25">
      <c r="A22" s="218">
        <v>0</v>
      </c>
      <c r="B22" s="250"/>
      <c r="C22" s="289" t="s">
        <v>566</v>
      </c>
      <c r="D22" s="211" t="s">
        <v>62</v>
      </c>
      <c r="E22" s="322">
        <v>5</v>
      </c>
      <c r="F22" s="148"/>
      <c r="G22" s="148"/>
      <c r="H22" s="214"/>
      <c r="I22" s="214"/>
      <c r="J22" s="258"/>
      <c r="K22" s="75">
        <f t="shared" si="6"/>
        <v>0</v>
      </c>
      <c r="L22" s="76">
        <f t="shared" si="7"/>
        <v>0</v>
      </c>
      <c r="M22" s="75">
        <f t="shared" si="8"/>
        <v>0</v>
      </c>
      <c r="N22" s="75">
        <f t="shared" si="9"/>
        <v>0</v>
      </c>
      <c r="O22" s="75">
        <f t="shared" si="10"/>
        <v>0</v>
      </c>
      <c r="P22" s="77">
        <f t="shared" si="11"/>
        <v>0</v>
      </c>
    </row>
    <row r="23" spans="1:16" s="61" customFormat="1" ht="15" x14ac:dyDescent="0.25">
      <c r="A23" s="218">
        <v>0</v>
      </c>
      <c r="B23" s="250"/>
      <c r="C23" s="289" t="s">
        <v>567</v>
      </c>
      <c r="D23" s="211" t="s">
        <v>62</v>
      </c>
      <c r="E23" s="322">
        <v>2</v>
      </c>
      <c r="F23" s="148"/>
      <c r="G23" s="148"/>
      <c r="H23" s="214"/>
      <c r="I23" s="214"/>
      <c r="J23" s="258"/>
      <c r="K23" s="75">
        <f t="shared" si="6"/>
        <v>0</v>
      </c>
      <c r="L23" s="76">
        <f t="shared" si="7"/>
        <v>0</v>
      </c>
      <c r="M23" s="75">
        <f t="shared" si="8"/>
        <v>0</v>
      </c>
      <c r="N23" s="75">
        <f t="shared" si="9"/>
        <v>0</v>
      </c>
      <c r="O23" s="75">
        <f t="shared" si="10"/>
        <v>0</v>
      </c>
      <c r="P23" s="77">
        <f t="shared" si="11"/>
        <v>0</v>
      </c>
    </row>
    <row r="24" spans="1:16" s="61" customFormat="1" ht="15" x14ac:dyDescent="0.25">
      <c r="A24" s="218">
        <v>0</v>
      </c>
      <c r="B24" s="250"/>
      <c r="C24" s="289" t="s">
        <v>568</v>
      </c>
      <c r="D24" s="211" t="s">
        <v>62</v>
      </c>
      <c r="E24" s="322">
        <v>4</v>
      </c>
      <c r="F24" s="148"/>
      <c r="G24" s="148"/>
      <c r="H24" s="214"/>
      <c r="I24" s="214"/>
      <c r="J24" s="258"/>
      <c r="K24" s="75">
        <f t="shared" si="6"/>
        <v>0</v>
      </c>
      <c r="L24" s="76">
        <f t="shared" si="7"/>
        <v>0</v>
      </c>
      <c r="M24" s="75">
        <f t="shared" si="8"/>
        <v>0</v>
      </c>
      <c r="N24" s="75">
        <f t="shared" si="9"/>
        <v>0</v>
      </c>
      <c r="O24" s="75">
        <f t="shared" si="10"/>
        <v>0</v>
      </c>
      <c r="P24" s="77">
        <f t="shared" si="11"/>
        <v>0</v>
      </c>
    </row>
    <row r="25" spans="1:16" s="61" customFormat="1" ht="15" x14ac:dyDescent="0.25">
      <c r="A25" s="218">
        <v>0</v>
      </c>
      <c r="B25" s="250"/>
      <c r="C25" s="289" t="s">
        <v>569</v>
      </c>
      <c r="D25" s="211" t="s">
        <v>62</v>
      </c>
      <c r="E25" s="322">
        <v>1</v>
      </c>
      <c r="F25" s="148"/>
      <c r="G25" s="148"/>
      <c r="H25" s="214"/>
      <c r="I25" s="214"/>
      <c r="J25" s="258"/>
      <c r="K25" s="75">
        <f t="shared" si="6"/>
        <v>0</v>
      </c>
      <c r="L25" s="76">
        <f t="shared" si="7"/>
        <v>0</v>
      </c>
      <c r="M25" s="75">
        <f t="shared" si="8"/>
        <v>0</v>
      </c>
      <c r="N25" s="75">
        <f t="shared" si="9"/>
        <v>0</v>
      </c>
      <c r="O25" s="75">
        <f t="shared" si="10"/>
        <v>0</v>
      </c>
      <c r="P25" s="77">
        <f t="shared" si="11"/>
        <v>0</v>
      </c>
    </row>
    <row r="26" spans="1:16" s="61" customFormat="1" ht="15" x14ac:dyDescent="0.25">
      <c r="A26" s="218">
        <v>0</v>
      </c>
      <c r="B26" s="250"/>
      <c r="C26" s="289" t="s">
        <v>570</v>
      </c>
      <c r="D26" s="211" t="s">
        <v>62</v>
      </c>
      <c r="E26" s="322">
        <v>1</v>
      </c>
      <c r="F26" s="148"/>
      <c r="G26" s="148"/>
      <c r="H26" s="214"/>
      <c r="I26" s="214"/>
      <c r="J26" s="258"/>
      <c r="K26" s="75">
        <f t="shared" si="6"/>
        <v>0</v>
      </c>
      <c r="L26" s="76">
        <f t="shared" si="7"/>
        <v>0</v>
      </c>
      <c r="M26" s="75">
        <f t="shared" si="8"/>
        <v>0</v>
      </c>
      <c r="N26" s="75">
        <f t="shared" si="9"/>
        <v>0</v>
      </c>
      <c r="O26" s="75">
        <f t="shared" si="10"/>
        <v>0</v>
      </c>
      <c r="P26" s="77">
        <f t="shared" si="11"/>
        <v>0</v>
      </c>
    </row>
    <row r="27" spans="1:16" s="61" customFormat="1" ht="15" x14ac:dyDescent="0.25">
      <c r="A27" s="218">
        <v>0</v>
      </c>
      <c r="B27" s="250"/>
      <c r="C27" s="437" t="s">
        <v>795</v>
      </c>
      <c r="D27" s="211" t="s">
        <v>62</v>
      </c>
      <c r="E27" s="322">
        <v>4</v>
      </c>
      <c r="F27" s="148"/>
      <c r="G27" s="148"/>
      <c r="H27" s="214"/>
      <c r="I27" s="214"/>
      <c r="J27" s="258"/>
      <c r="K27" s="75">
        <f t="shared" si="6"/>
        <v>0</v>
      </c>
      <c r="L27" s="76">
        <f t="shared" si="7"/>
        <v>0</v>
      </c>
      <c r="M27" s="75">
        <f t="shared" si="8"/>
        <v>0</v>
      </c>
      <c r="N27" s="75">
        <f t="shared" si="9"/>
        <v>0</v>
      </c>
      <c r="O27" s="75">
        <f t="shared" si="10"/>
        <v>0</v>
      </c>
      <c r="P27" s="77">
        <f t="shared" si="11"/>
        <v>0</v>
      </c>
    </row>
    <row r="28" spans="1:16" s="61" customFormat="1" ht="25.5" x14ac:dyDescent="0.2">
      <c r="A28" s="218">
        <v>0</v>
      </c>
      <c r="B28" s="250">
        <v>0</v>
      </c>
      <c r="C28" s="289" t="s">
        <v>571</v>
      </c>
      <c r="D28" s="211" t="s">
        <v>207</v>
      </c>
      <c r="E28" s="205">
        <f>E14</f>
        <v>148</v>
      </c>
      <c r="F28" s="148"/>
      <c r="G28" s="148"/>
      <c r="H28" s="214"/>
      <c r="I28" s="214"/>
      <c r="J28" s="258"/>
      <c r="K28" s="75">
        <f t="shared" si="6"/>
        <v>0</v>
      </c>
      <c r="L28" s="76">
        <f t="shared" si="7"/>
        <v>0</v>
      </c>
      <c r="M28" s="75">
        <f t="shared" si="8"/>
        <v>0</v>
      </c>
      <c r="N28" s="75">
        <f t="shared" si="9"/>
        <v>0</v>
      </c>
      <c r="O28" s="75">
        <f t="shared" si="10"/>
        <v>0</v>
      </c>
      <c r="P28" s="77">
        <f t="shared" si="11"/>
        <v>0</v>
      </c>
    </row>
    <row r="29" spans="1:16" s="61" customFormat="1" x14ac:dyDescent="0.2">
      <c r="A29" s="218">
        <v>2</v>
      </c>
      <c r="B29" s="250" t="s">
        <v>205</v>
      </c>
      <c r="C29" s="236" t="s">
        <v>572</v>
      </c>
      <c r="D29" s="211" t="s">
        <v>199</v>
      </c>
      <c r="E29" s="205">
        <v>98</v>
      </c>
      <c r="F29" s="213"/>
      <c r="G29" s="213"/>
      <c r="H29" s="214"/>
      <c r="I29" s="214"/>
      <c r="J29" s="258"/>
      <c r="K29" s="75">
        <f t="shared" si="6"/>
        <v>0</v>
      </c>
      <c r="L29" s="76">
        <f t="shared" si="7"/>
        <v>0</v>
      </c>
      <c r="M29" s="75">
        <f t="shared" si="8"/>
        <v>0</v>
      </c>
      <c r="N29" s="75">
        <f t="shared" si="9"/>
        <v>0</v>
      </c>
      <c r="O29" s="75">
        <f t="shared" si="10"/>
        <v>0</v>
      </c>
      <c r="P29" s="77">
        <f t="shared" si="11"/>
        <v>0</v>
      </c>
    </row>
    <row r="30" spans="1:16" s="61" customFormat="1" ht="25.5" x14ac:dyDescent="0.2">
      <c r="A30" s="218">
        <v>0</v>
      </c>
      <c r="B30" s="250">
        <v>0</v>
      </c>
      <c r="C30" s="289" t="s">
        <v>573</v>
      </c>
      <c r="D30" s="211" t="s">
        <v>199</v>
      </c>
      <c r="E30" s="205">
        <f>1.05*E29</f>
        <v>102.9</v>
      </c>
      <c r="F30" s="213"/>
      <c r="G30" s="213"/>
      <c r="H30" s="214"/>
      <c r="I30" s="214"/>
      <c r="J30" s="258"/>
      <c r="K30" s="75">
        <f t="shared" si="6"/>
        <v>0</v>
      </c>
      <c r="L30" s="76">
        <f t="shared" si="7"/>
        <v>0</v>
      </c>
      <c r="M30" s="75">
        <f t="shared" si="8"/>
        <v>0</v>
      </c>
      <c r="N30" s="75">
        <f t="shared" si="9"/>
        <v>0</v>
      </c>
      <c r="O30" s="75">
        <f t="shared" si="10"/>
        <v>0</v>
      </c>
      <c r="P30" s="77">
        <f t="shared" si="11"/>
        <v>0</v>
      </c>
    </row>
    <row r="31" spans="1:16" s="61" customFormat="1" ht="25.5" x14ac:dyDescent="0.2">
      <c r="A31" s="218">
        <v>0</v>
      </c>
      <c r="B31" s="250">
        <v>0</v>
      </c>
      <c r="C31" s="289" t="s">
        <v>571</v>
      </c>
      <c r="D31" s="211" t="s">
        <v>199</v>
      </c>
      <c r="E31" s="205">
        <f>E29</f>
        <v>98</v>
      </c>
      <c r="F31" s="213"/>
      <c r="G31" s="213"/>
      <c r="H31" s="214"/>
      <c r="I31" s="214"/>
      <c r="J31" s="258"/>
      <c r="K31" s="75">
        <f t="shared" si="6"/>
        <v>0</v>
      </c>
      <c r="L31" s="76">
        <f t="shared" si="7"/>
        <v>0</v>
      </c>
      <c r="M31" s="75">
        <f t="shared" si="8"/>
        <v>0</v>
      </c>
      <c r="N31" s="75">
        <f t="shared" si="9"/>
        <v>0</v>
      </c>
      <c r="O31" s="75">
        <f t="shared" si="10"/>
        <v>0</v>
      </c>
      <c r="P31" s="77">
        <f t="shared" si="11"/>
        <v>0</v>
      </c>
    </row>
    <row r="32" spans="1:16" s="61" customFormat="1" x14ac:dyDescent="0.2">
      <c r="A32" s="218">
        <v>3</v>
      </c>
      <c r="B32" s="250" t="s">
        <v>205</v>
      </c>
      <c r="C32" s="263" t="s">
        <v>574</v>
      </c>
      <c r="D32" s="211" t="s">
        <v>199</v>
      </c>
      <c r="E32" s="205">
        <v>98</v>
      </c>
      <c r="F32" s="213"/>
      <c r="G32" s="213"/>
      <c r="H32" s="214"/>
      <c r="I32" s="214"/>
      <c r="J32" s="258"/>
      <c r="K32" s="75">
        <f t="shared" si="6"/>
        <v>0</v>
      </c>
      <c r="L32" s="76">
        <f t="shared" si="7"/>
        <v>0</v>
      </c>
      <c r="M32" s="75">
        <f t="shared" si="8"/>
        <v>0</v>
      </c>
      <c r="N32" s="75">
        <f t="shared" si="9"/>
        <v>0</v>
      </c>
      <c r="O32" s="75">
        <f t="shared" si="10"/>
        <v>0</v>
      </c>
      <c r="P32" s="77">
        <f t="shared" si="11"/>
        <v>0</v>
      </c>
    </row>
    <row r="33" spans="1:16" s="61" customFormat="1" x14ac:dyDescent="0.2">
      <c r="A33" s="218">
        <v>0</v>
      </c>
      <c r="B33" s="250">
        <v>0</v>
      </c>
      <c r="C33" s="289" t="s">
        <v>575</v>
      </c>
      <c r="D33" s="211" t="s">
        <v>199</v>
      </c>
      <c r="E33" s="205">
        <f>1.05*E32</f>
        <v>102.9</v>
      </c>
      <c r="F33" s="213"/>
      <c r="G33" s="213"/>
      <c r="H33" s="214"/>
      <c r="I33" s="214"/>
      <c r="J33" s="258"/>
      <c r="K33" s="75">
        <f t="shared" si="6"/>
        <v>0</v>
      </c>
      <c r="L33" s="76">
        <f t="shared" si="7"/>
        <v>0</v>
      </c>
      <c r="M33" s="75">
        <f t="shared" si="8"/>
        <v>0</v>
      </c>
      <c r="N33" s="75">
        <f t="shared" si="9"/>
        <v>0</v>
      </c>
      <c r="O33" s="75">
        <f t="shared" si="10"/>
        <v>0</v>
      </c>
      <c r="P33" s="77">
        <f t="shared" si="11"/>
        <v>0</v>
      </c>
    </row>
    <row r="34" spans="1:16" s="61" customFormat="1" ht="25.5" x14ac:dyDescent="0.2">
      <c r="A34" s="218">
        <v>0</v>
      </c>
      <c r="B34" s="250">
        <v>0</v>
      </c>
      <c r="C34" s="289" t="s">
        <v>576</v>
      </c>
      <c r="D34" s="211" t="s">
        <v>199</v>
      </c>
      <c r="E34" s="205">
        <f>E32</f>
        <v>98</v>
      </c>
      <c r="F34" s="213"/>
      <c r="G34" s="213"/>
      <c r="H34" s="214"/>
      <c r="I34" s="214"/>
      <c r="J34" s="258"/>
      <c r="K34" s="75">
        <f t="shared" si="6"/>
        <v>0</v>
      </c>
      <c r="L34" s="76">
        <f t="shared" si="7"/>
        <v>0</v>
      </c>
      <c r="M34" s="75">
        <f t="shared" si="8"/>
        <v>0</v>
      </c>
      <c r="N34" s="75">
        <f t="shared" si="9"/>
        <v>0</v>
      </c>
      <c r="O34" s="75">
        <f t="shared" si="10"/>
        <v>0</v>
      </c>
      <c r="P34" s="77">
        <f t="shared" si="11"/>
        <v>0</v>
      </c>
    </row>
    <row r="35" spans="1:16" s="61" customFormat="1" x14ac:dyDescent="0.2">
      <c r="A35" s="218">
        <v>4</v>
      </c>
      <c r="B35" s="250" t="s">
        <v>205</v>
      </c>
      <c r="C35" s="236" t="s">
        <v>577</v>
      </c>
      <c r="D35" s="211" t="s">
        <v>207</v>
      </c>
      <c r="E35" s="205">
        <v>312</v>
      </c>
      <c r="F35" s="148"/>
      <c r="G35" s="213"/>
      <c r="H35" s="214"/>
      <c r="I35" s="214"/>
      <c r="J35" s="258"/>
      <c r="K35" s="75">
        <f t="shared" si="6"/>
        <v>0</v>
      </c>
      <c r="L35" s="76">
        <f t="shared" si="7"/>
        <v>0</v>
      </c>
      <c r="M35" s="75">
        <f t="shared" si="8"/>
        <v>0</v>
      </c>
      <c r="N35" s="75">
        <f t="shared" si="9"/>
        <v>0</v>
      </c>
      <c r="O35" s="75">
        <f t="shared" si="10"/>
        <v>0</v>
      </c>
      <c r="P35" s="77">
        <f t="shared" si="11"/>
        <v>0</v>
      </c>
    </row>
    <row r="36" spans="1:16" s="61" customFormat="1" x14ac:dyDescent="0.2">
      <c r="A36" s="218">
        <v>0</v>
      </c>
      <c r="B36" s="250">
        <v>0</v>
      </c>
      <c r="C36" s="289" t="s">
        <v>578</v>
      </c>
      <c r="D36" s="211" t="s">
        <v>62</v>
      </c>
      <c r="E36" s="205">
        <v>1</v>
      </c>
      <c r="F36" s="148"/>
      <c r="G36" s="148"/>
      <c r="H36" s="214"/>
      <c r="I36" s="214"/>
      <c r="J36" s="258"/>
      <c r="K36" s="75">
        <f t="shared" si="6"/>
        <v>0</v>
      </c>
      <c r="L36" s="76">
        <f t="shared" si="7"/>
        <v>0</v>
      </c>
      <c r="M36" s="75">
        <f t="shared" si="8"/>
        <v>0</v>
      </c>
      <c r="N36" s="75">
        <f t="shared" si="9"/>
        <v>0</v>
      </c>
      <c r="O36" s="75">
        <f t="shared" si="10"/>
        <v>0</v>
      </c>
      <c r="P36" s="77">
        <f t="shared" si="11"/>
        <v>0</v>
      </c>
    </row>
    <row r="37" spans="1:16" s="61" customFormat="1" x14ac:dyDescent="0.2">
      <c r="A37" s="218">
        <v>0</v>
      </c>
      <c r="B37" s="250"/>
      <c r="C37" s="289" t="s">
        <v>579</v>
      </c>
      <c r="D37" s="211" t="s">
        <v>62</v>
      </c>
      <c r="E37" s="205">
        <v>1</v>
      </c>
      <c r="F37" s="148"/>
      <c r="G37" s="148"/>
      <c r="H37" s="214"/>
      <c r="I37" s="214"/>
      <c r="J37" s="258"/>
      <c r="K37" s="75">
        <f t="shared" si="6"/>
        <v>0</v>
      </c>
      <c r="L37" s="76">
        <f t="shared" si="7"/>
        <v>0</v>
      </c>
      <c r="M37" s="75">
        <f t="shared" si="8"/>
        <v>0</v>
      </c>
      <c r="N37" s="75">
        <f t="shared" si="9"/>
        <v>0</v>
      </c>
      <c r="O37" s="75">
        <f t="shared" si="10"/>
        <v>0</v>
      </c>
      <c r="P37" s="77">
        <f t="shared" si="11"/>
        <v>0</v>
      </c>
    </row>
    <row r="38" spans="1:16" s="61" customFormat="1" x14ac:dyDescent="0.2">
      <c r="A38" s="218">
        <v>0</v>
      </c>
      <c r="B38" s="250"/>
      <c r="C38" s="289" t="s">
        <v>580</v>
      </c>
      <c r="D38" s="211" t="s">
        <v>62</v>
      </c>
      <c r="E38" s="205">
        <v>1</v>
      </c>
      <c r="F38" s="148"/>
      <c r="G38" s="148"/>
      <c r="H38" s="214"/>
      <c r="I38" s="214"/>
      <c r="J38" s="258"/>
      <c r="K38" s="75">
        <f t="shared" si="6"/>
        <v>0</v>
      </c>
      <c r="L38" s="76">
        <f t="shared" si="7"/>
        <v>0</v>
      </c>
      <c r="M38" s="75">
        <f t="shared" si="8"/>
        <v>0</v>
      </c>
      <c r="N38" s="75">
        <f t="shared" si="9"/>
        <v>0</v>
      </c>
      <c r="O38" s="75">
        <f t="shared" si="10"/>
        <v>0</v>
      </c>
      <c r="P38" s="77">
        <f t="shared" si="11"/>
        <v>0</v>
      </c>
    </row>
    <row r="39" spans="1:16" s="61" customFormat="1" x14ac:dyDescent="0.2">
      <c r="A39" s="218">
        <v>0</v>
      </c>
      <c r="B39" s="250"/>
      <c r="C39" s="289" t="s">
        <v>581</v>
      </c>
      <c r="D39" s="211" t="s">
        <v>62</v>
      </c>
      <c r="E39" s="205">
        <v>1</v>
      </c>
      <c r="F39" s="148"/>
      <c r="G39" s="148"/>
      <c r="H39" s="214"/>
      <c r="I39" s="214"/>
      <c r="J39" s="258"/>
      <c r="K39" s="75">
        <f t="shared" si="6"/>
        <v>0</v>
      </c>
      <c r="L39" s="76">
        <f t="shared" si="7"/>
        <v>0</v>
      </c>
      <c r="M39" s="75">
        <f t="shared" si="8"/>
        <v>0</v>
      </c>
      <c r="N39" s="75">
        <f t="shared" si="9"/>
        <v>0</v>
      </c>
      <c r="O39" s="75">
        <f t="shared" si="10"/>
        <v>0</v>
      </c>
      <c r="P39" s="77">
        <f t="shared" si="11"/>
        <v>0</v>
      </c>
    </row>
    <row r="40" spans="1:16" s="61" customFormat="1" x14ac:dyDescent="0.2">
      <c r="A40" s="218">
        <v>0</v>
      </c>
      <c r="B40" s="250"/>
      <c r="C40" s="289" t="s">
        <v>582</v>
      </c>
      <c r="D40" s="211" t="s">
        <v>62</v>
      </c>
      <c r="E40" s="205">
        <v>1</v>
      </c>
      <c r="F40" s="148"/>
      <c r="G40" s="148"/>
      <c r="H40" s="214"/>
      <c r="I40" s="214"/>
      <c r="J40" s="258"/>
      <c r="K40" s="75">
        <f t="shared" si="6"/>
        <v>0</v>
      </c>
      <c r="L40" s="76">
        <f t="shared" si="7"/>
        <v>0</v>
      </c>
      <c r="M40" s="75">
        <f t="shared" si="8"/>
        <v>0</v>
      </c>
      <c r="N40" s="75">
        <f t="shared" si="9"/>
        <v>0</v>
      </c>
      <c r="O40" s="75">
        <f t="shared" si="10"/>
        <v>0</v>
      </c>
      <c r="P40" s="77">
        <f t="shared" si="11"/>
        <v>0</v>
      </c>
    </row>
    <row r="41" spans="1:16" s="61" customFormat="1" x14ac:dyDescent="0.2">
      <c r="A41" s="218">
        <v>0</v>
      </c>
      <c r="B41" s="250"/>
      <c r="C41" s="289" t="s">
        <v>583</v>
      </c>
      <c r="D41" s="211" t="s">
        <v>62</v>
      </c>
      <c r="E41" s="205">
        <v>1</v>
      </c>
      <c r="F41" s="148"/>
      <c r="G41" s="148"/>
      <c r="H41" s="214"/>
      <c r="I41" s="214"/>
      <c r="J41" s="258"/>
      <c r="K41" s="75">
        <f t="shared" si="6"/>
        <v>0</v>
      </c>
      <c r="L41" s="76">
        <f t="shared" si="7"/>
        <v>0</v>
      </c>
      <c r="M41" s="75">
        <f t="shared" si="8"/>
        <v>0</v>
      </c>
      <c r="N41" s="75">
        <f t="shared" si="9"/>
        <v>0</v>
      </c>
      <c r="O41" s="75">
        <f t="shared" si="10"/>
        <v>0</v>
      </c>
      <c r="P41" s="77">
        <f t="shared" si="11"/>
        <v>0</v>
      </c>
    </row>
    <row r="42" spans="1:16" s="61" customFormat="1" ht="25.5" x14ac:dyDescent="0.2">
      <c r="A42" s="218">
        <v>0</v>
      </c>
      <c r="B42" s="250">
        <v>0</v>
      </c>
      <c r="C42" s="289" t="s">
        <v>571</v>
      </c>
      <c r="D42" s="211" t="s">
        <v>207</v>
      </c>
      <c r="E42" s="205">
        <f>E35</f>
        <v>312</v>
      </c>
      <c r="F42" s="148"/>
      <c r="G42" s="148"/>
      <c r="H42" s="214"/>
      <c r="I42" s="214"/>
      <c r="J42" s="258"/>
      <c r="K42" s="75">
        <f t="shared" si="6"/>
        <v>0</v>
      </c>
      <c r="L42" s="76">
        <f t="shared" si="7"/>
        <v>0</v>
      </c>
      <c r="M42" s="75">
        <f t="shared" si="8"/>
        <v>0</v>
      </c>
      <c r="N42" s="75">
        <f t="shared" si="9"/>
        <v>0</v>
      </c>
      <c r="O42" s="75">
        <f t="shared" si="10"/>
        <v>0</v>
      </c>
      <c r="P42" s="77">
        <f t="shared" si="11"/>
        <v>0</v>
      </c>
    </row>
    <row r="43" spans="1:16" s="61" customFormat="1" ht="15" x14ac:dyDescent="0.2">
      <c r="A43" s="218">
        <v>5</v>
      </c>
      <c r="B43" s="250" t="s">
        <v>205</v>
      </c>
      <c r="C43" s="423" t="s">
        <v>796</v>
      </c>
      <c r="D43" s="233" t="s">
        <v>207</v>
      </c>
      <c r="E43" s="425">
        <v>37.1</v>
      </c>
      <c r="F43" s="213"/>
      <c r="G43" s="213"/>
      <c r="H43" s="214"/>
      <c r="I43" s="214"/>
      <c r="J43" s="258"/>
      <c r="K43" s="75">
        <f t="shared" si="6"/>
        <v>0</v>
      </c>
      <c r="L43" s="76">
        <f t="shared" si="7"/>
        <v>0</v>
      </c>
      <c r="M43" s="75">
        <f t="shared" si="8"/>
        <v>0</v>
      </c>
      <c r="N43" s="75">
        <f t="shared" si="9"/>
        <v>0</v>
      </c>
      <c r="O43" s="75">
        <f t="shared" si="10"/>
        <v>0</v>
      </c>
      <c r="P43" s="77">
        <f t="shared" si="11"/>
        <v>0</v>
      </c>
    </row>
    <row r="44" spans="1:16" s="61" customFormat="1" ht="15" x14ac:dyDescent="0.2">
      <c r="A44" s="218">
        <v>0</v>
      </c>
      <c r="B44" s="250">
        <v>0</v>
      </c>
      <c r="C44" s="215" t="s">
        <v>584</v>
      </c>
      <c r="D44" s="233" t="s">
        <v>62</v>
      </c>
      <c r="E44" s="205">
        <v>1</v>
      </c>
      <c r="F44" s="213"/>
      <c r="G44" s="213"/>
      <c r="H44" s="214"/>
      <c r="I44" s="214"/>
      <c r="J44" s="258"/>
      <c r="K44" s="75">
        <f t="shared" si="6"/>
        <v>0</v>
      </c>
      <c r="L44" s="76">
        <f t="shared" si="7"/>
        <v>0</v>
      </c>
      <c r="M44" s="75">
        <f t="shared" si="8"/>
        <v>0</v>
      </c>
      <c r="N44" s="75">
        <f t="shared" si="9"/>
        <v>0</v>
      </c>
      <c r="O44" s="75">
        <f t="shared" si="10"/>
        <v>0</v>
      </c>
      <c r="P44" s="77">
        <f t="shared" si="11"/>
        <v>0</v>
      </c>
    </row>
    <row r="45" spans="1:16" s="61" customFormat="1" ht="15" x14ac:dyDescent="0.2">
      <c r="A45" s="218">
        <v>0</v>
      </c>
      <c r="B45" s="250"/>
      <c r="C45" s="215" t="s">
        <v>585</v>
      </c>
      <c r="D45" s="233" t="s">
        <v>62</v>
      </c>
      <c r="E45" s="205">
        <v>2</v>
      </c>
      <c r="F45" s="213"/>
      <c r="G45" s="213"/>
      <c r="H45" s="214"/>
      <c r="I45" s="214"/>
      <c r="J45" s="258"/>
      <c r="K45" s="75">
        <f t="shared" si="6"/>
        <v>0</v>
      </c>
      <c r="L45" s="76">
        <f t="shared" si="7"/>
        <v>0</v>
      </c>
      <c r="M45" s="75">
        <f t="shared" si="8"/>
        <v>0</v>
      </c>
      <c r="N45" s="75">
        <f t="shared" si="9"/>
        <v>0</v>
      </c>
      <c r="O45" s="75">
        <f t="shared" si="10"/>
        <v>0</v>
      </c>
      <c r="P45" s="77">
        <f t="shared" si="11"/>
        <v>0</v>
      </c>
    </row>
    <row r="46" spans="1:16" s="61" customFormat="1" ht="15" x14ac:dyDescent="0.2">
      <c r="A46" s="218">
        <v>0</v>
      </c>
      <c r="B46" s="250"/>
      <c r="C46" s="215" t="s">
        <v>586</v>
      </c>
      <c r="D46" s="233" t="s">
        <v>62</v>
      </c>
      <c r="E46" s="425">
        <v>3</v>
      </c>
      <c r="F46" s="213"/>
      <c r="G46" s="213"/>
      <c r="H46" s="214"/>
      <c r="I46" s="214"/>
      <c r="J46" s="258"/>
      <c r="K46" s="75">
        <f t="shared" si="6"/>
        <v>0</v>
      </c>
      <c r="L46" s="76">
        <f t="shared" si="7"/>
        <v>0</v>
      </c>
      <c r="M46" s="75">
        <f t="shared" si="8"/>
        <v>0</v>
      </c>
      <c r="N46" s="75">
        <f t="shared" si="9"/>
        <v>0</v>
      </c>
      <c r="O46" s="75">
        <f t="shared" si="10"/>
        <v>0</v>
      </c>
      <c r="P46" s="77">
        <f t="shared" si="11"/>
        <v>0</v>
      </c>
    </row>
    <row r="47" spans="1:16" s="61" customFormat="1" ht="15" x14ac:dyDescent="0.2">
      <c r="A47" s="218"/>
      <c r="B47" s="250"/>
      <c r="C47" s="432" t="s">
        <v>800</v>
      </c>
      <c r="D47" s="424" t="s">
        <v>62</v>
      </c>
      <c r="E47" s="425">
        <v>1</v>
      </c>
      <c r="F47" s="213"/>
      <c r="G47" s="213"/>
      <c r="H47" s="214"/>
      <c r="I47" s="214"/>
      <c r="J47" s="258"/>
      <c r="K47" s="75"/>
      <c r="L47" s="76">
        <f t="shared" si="7"/>
        <v>0</v>
      </c>
      <c r="M47" s="75">
        <f t="shared" si="8"/>
        <v>0</v>
      </c>
      <c r="N47" s="75">
        <f t="shared" si="9"/>
        <v>0</v>
      </c>
      <c r="O47" s="75">
        <f t="shared" si="10"/>
        <v>0</v>
      </c>
      <c r="P47" s="77">
        <f t="shared" si="11"/>
        <v>0</v>
      </c>
    </row>
    <row r="48" spans="1:16" s="61" customFormat="1" ht="15" x14ac:dyDescent="0.2">
      <c r="A48" s="218">
        <v>0</v>
      </c>
      <c r="B48" s="250"/>
      <c r="C48" s="215" t="s">
        <v>587</v>
      </c>
      <c r="D48" s="233" t="s">
        <v>62</v>
      </c>
      <c r="E48" s="205">
        <v>1</v>
      </c>
      <c r="F48" s="213"/>
      <c r="G48" s="213"/>
      <c r="H48" s="214"/>
      <c r="I48" s="214"/>
      <c r="J48" s="258"/>
      <c r="K48" s="75">
        <f t="shared" si="6"/>
        <v>0</v>
      </c>
      <c r="L48" s="76">
        <f t="shared" si="7"/>
        <v>0</v>
      </c>
      <c r="M48" s="75">
        <f t="shared" si="8"/>
        <v>0</v>
      </c>
      <c r="N48" s="75">
        <f t="shared" si="9"/>
        <v>0</v>
      </c>
      <c r="O48" s="75">
        <f t="shared" si="10"/>
        <v>0</v>
      </c>
      <c r="P48" s="77">
        <f t="shared" si="11"/>
        <v>0</v>
      </c>
    </row>
    <row r="49" spans="1:16" s="61" customFormat="1" ht="15" x14ac:dyDescent="0.2">
      <c r="A49" s="218">
        <v>0</v>
      </c>
      <c r="B49" s="250"/>
      <c r="C49" s="215" t="s">
        <v>588</v>
      </c>
      <c r="D49" s="233" t="s">
        <v>62</v>
      </c>
      <c r="E49" s="205">
        <v>1</v>
      </c>
      <c r="F49" s="213"/>
      <c r="G49" s="213"/>
      <c r="H49" s="214"/>
      <c r="I49" s="214"/>
      <c r="J49" s="258"/>
      <c r="K49" s="75">
        <f t="shared" si="6"/>
        <v>0</v>
      </c>
      <c r="L49" s="76">
        <f t="shared" si="7"/>
        <v>0</v>
      </c>
      <c r="M49" s="75">
        <f t="shared" si="8"/>
        <v>0</v>
      </c>
      <c r="N49" s="75">
        <f t="shared" si="9"/>
        <v>0</v>
      </c>
      <c r="O49" s="75">
        <f t="shared" si="10"/>
        <v>0</v>
      </c>
      <c r="P49" s="77">
        <f t="shared" si="11"/>
        <v>0</v>
      </c>
    </row>
    <row r="50" spans="1:16" s="61" customFormat="1" ht="15" x14ac:dyDescent="0.2">
      <c r="A50" s="218">
        <v>0</v>
      </c>
      <c r="B50" s="250"/>
      <c r="C50" s="215" t="s">
        <v>589</v>
      </c>
      <c r="D50" s="233" t="s">
        <v>62</v>
      </c>
      <c r="E50" s="205">
        <v>1</v>
      </c>
      <c r="F50" s="213"/>
      <c r="G50" s="213"/>
      <c r="H50" s="214"/>
      <c r="I50" s="214"/>
      <c r="J50" s="258"/>
      <c r="K50" s="75">
        <f t="shared" si="6"/>
        <v>0</v>
      </c>
      <c r="L50" s="76">
        <f t="shared" si="7"/>
        <v>0</v>
      </c>
      <c r="M50" s="75">
        <f t="shared" si="8"/>
        <v>0</v>
      </c>
      <c r="N50" s="75">
        <f t="shared" si="9"/>
        <v>0</v>
      </c>
      <c r="O50" s="75">
        <f t="shared" si="10"/>
        <v>0</v>
      </c>
      <c r="P50" s="77">
        <f t="shared" si="11"/>
        <v>0</v>
      </c>
    </row>
    <row r="51" spans="1:16" s="61" customFormat="1" ht="15" x14ac:dyDescent="0.2">
      <c r="A51" s="218">
        <v>0</v>
      </c>
      <c r="B51" s="250"/>
      <c r="C51" s="215" t="s">
        <v>590</v>
      </c>
      <c r="D51" s="233" t="s">
        <v>62</v>
      </c>
      <c r="E51" s="205">
        <v>1</v>
      </c>
      <c r="F51" s="213"/>
      <c r="G51" s="213"/>
      <c r="H51" s="214"/>
      <c r="I51" s="214"/>
      <c r="J51" s="258"/>
      <c r="K51" s="75">
        <f t="shared" si="6"/>
        <v>0</v>
      </c>
      <c r="L51" s="76">
        <f t="shared" si="7"/>
        <v>0</v>
      </c>
      <c r="M51" s="75">
        <f t="shared" si="8"/>
        <v>0</v>
      </c>
      <c r="N51" s="75">
        <f t="shared" si="9"/>
        <v>0</v>
      </c>
      <c r="O51" s="75">
        <f t="shared" si="10"/>
        <v>0</v>
      </c>
      <c r="P51" s="77">
        <f t="shared" si="11"/>
        <v>0</v>
      </c>
    </row>
    <row r="52" spans="1:16" s="61" customFormat="1" ht="15" x14ac:dyDescent="0.2">
      <c r="A52" s="218">
        <v>0</v>
      </c>
      <c r="B52" s="250">
        <v>0</v>
      </c>
      <c r="C52" s="241" t="s">
        <v>591</v>
      </c>
      <c r="D52" s="233" t="s">
        <v>207</v>
      </c>
      <c r="E52" s="205">
        <f>E43</f>
        <v>37.1</v>
      </c>
      <c r="F52" s="213"/>
      <c r="G52" s="213"/>
      <c r="H52" s="214"/>
      <c r="I52" s="214"/>
      <c r="J52" s="258"/>
      <c r="K52" s="75">
        <f t="shared" si="6"/>
        <v>0</v>
      </c>
      <c r="L52" s="76">
        <f t="shared" si="7"/>
        <v>0</v>
      </c>
      <c r="M52" s="75">
        <f t="shared" si="8"/>
        <v>0</v>
      </c>
      <c r="N52" s="75">
        <f t="shared" si="9"/>
        <v>0</v>
      </c>
      <c r="O52" s="75">
        <f t="shared" si="10"/>
        <v>0</v>
      </c>
      <c r="P52" s="77">
        <f t="shared" si="11"/>
        <v>0</v>
      </c>
    </row>
    <row r="53" spans="1:16" s="61" customFormat="1" ht="37.5" customHeight="1" x14ac:dyDescent="0.2">
      <c r="A53" s="218">
        <v>6</v>
      </c>
      <c r="B53" s="250" t="s">
        <v>205</v>
      </c>
      <c r="C53" s="423" t="s">
        <v>797</v>
      </c>
      <c r="D53" s="233" t="s">
        <v>207</v>
      </c>
      <c r="E53" s="425">
        <v>205.27</v>
      </c>
      <c r="F53" s="213"/>
      <c r="G53" s="213"/>
      <c r="H53" s="214"/>
      <c r="I53" s="214"/>
      <c r="J53" s="258"/>
      <c r="K53" s="75">
        <f t="shared" si="6"/>
        <v>0</v>
      </c>
      <c r="L53" s="76">
        <f t="shared" si="7"/>
        <v>0</v>
      </c>
      <c r="M53" s="75">
        <f t="shared" si="8"/>
        <v>0</v>
      </c>
      <c r="N53" s="75">
        <f t="shared" si="9"/>
        <v>0</v>
      </c>
      <c r="O53" s="75">
        <f t="shared" si="10"/>
        <v>0</v>
      </c>
      <c r="P53" s="77">
        <f t="shared" si="11"/>
        <v>0</v>
      </c>
    </row>
    <row r="54" spans="1:16" s="61" customFormat="1" ht="15" x14ac:dyDescent="0.2">
      <c r="A54" s="218">
        <v>0</v>
      </c>
      <c r="B54" s="250">
        <v>0</v>
      </c>
      <c r="C54" s="215" t="s">
        <v>592</v>
      </c>
      <c r="D54" s="233" t="s">
        <v>62</v>
      </c>
      <c r="E54" s="205">
        <v>1</v>
      </c>
      <c r="F54" s="213"/>
      <c r="G54" s="213"/>
      <c r="H54" s="214"/>
      <c r="I54" s="214"/>
      <c r="J54" s="258"/>
      <c r="K54" s="75">
        <f t="shared" si="6"/>
        <v>0</v>
      </c>
      <c r="L54" s="76">
        <f t="shared" si="7"/>
        <v>0</v>
      </c>
      <c r="M54" s="75">
        <f t="shared" si="8"/>
        <v>0</v>
      </c>
      <c r="N54" s="75">
        <f t="shared" si="9"/>
        <v>0</v>
      </c>
      <c r="O54" s="75">
        <f t="shared" si="10"/>
        <v>0</v>
      </c>
      <c r="P54" s="77">
        <f t="shared" si="11"/>
        <v>0</v>
      </c>
    </row>
    <row r="55" spans="1:16" s="61" customFormat="1" ht="15" x14ac:dyDescent="0.2">
      <c r="A55" s="218">
        <v>0</v>
      </c>
      <c r="B55" s="250"/>
      <c r="C55" s="215" t="s">
        <v>593</v>
      </c>
      <c r="D55" s="233" t="s">
        <v>62</v>
      </c>
      <c r="E55" s="205">
        <v>1</v>
      </c>
      <c r="F55" s="213"/>
      <c r="G55" s="213"/>
      <c r="H55" s="214"/>
      <c r="I55" s="214"/>
      <c r="J55" s="258"/>
      <c r="K55" s="75">
        <f t="shared" si="6"/>
        <v>0</v>
      </c>
      <c r="L55" s="76">
        <f t="shared" si="7"/>
        <v>0</v>
      </c>
      <c r="M55" s="75">
        <f t="shared" si="8"/>
        <v>0</v>
      </c>
      <c r="N55" s="75">
        <f t="shared" si="9"/>
        <v>0</v>
      </c>
      <c r="O55" s="75">
        <f t="shared" si="10"/>
        <v>0</v>
      </c>
      <c r="P55" s="77">
        <f t="shared" si="11"/>
        <v>0</v>
      </c>
    </row>
    <row r="56" spans="1:16" s="61" customFormat="1" ht="15" x14ac:dyDescent="0.2">
      <c r="A56" s="218">
        <v>0</v>
      </c>
      <c r="B56" s="250"/>
      <c r="C56" s="215" t="s">
        <v>594</v>
      </c>
      <c r="D56" s="233" t="s">
        <v>62</v>
      </c>
      <c r="E56" s="205">
        <v>1</v>
      </c>
      <c r="F56" s="213"/>
      <c r="G56" s="213"/>
      <c r="H56" s="214"/>
      <c r="I56" s="214"/>
      <c r="J56" s="258"/>
      <c r="K56" s="75">
        <f t="shared" si="6"/>
        <v>0</v>
      </c>
      <c r="L56" s="76">
        <f t="shared" si="7"/>
        <v>0</v>
      </c>
      <c r="M56" s="75">
        <f t="shared" si="8"/>
        <v>0</v>
      </c>
      <c r="N56" s="75">
        <f t="shared" si="9"/>
        <v>0</v>
      </c>
      <c r="O56" s="75">
        <f t="shared" si="10"/>
        <v>0</v>
      </c>
      <c r="P56" s="77">
        <f t="shared" si="11"/>
        <v>0</v>
      </c>
    </row>
    <row r="57" spans="1:16" s="61" customFormat="1" ht="15" x14ac:dyDescent="0.2">
      <c r="A57" s="218">
        <v>0</v>
      </c>
      <c r="B57" s="250"/>
      <c r="C57" s="215" t="s">
        <v>595</v>
      </c>
      <c r="D57" s="233" t="s">
        <v>62</v>
      </c>
      <c r="E57" s="205">
        <v>2</v>
      </c>
      <c r="F57" s="213"/>
      <c r="G57" s="213"/>
      <c r="H57" s="214"/>
      <c r="I57" s="214"/>
      <c r="J57" s="258"/>
      <c r="K57" s="75">
        <f t="shared" si="6"/>
        <v>0</v>
      </c>
      <c r="L57" s="76">
        <f t="shared" si="7"/>
        <v>0</v>
      </c>
      <c r="M57" s="75">
        <f t="shared" si="8"/>
        <v>0</v>
      </c>
      <c r="N57" s="75">
        <f t="shared" si="9"/>
        <v>0</v>
      </c>
      <c r="O57" s="75">
        <f t="shared" si="10"/>
        <v>0</v>
      </c>
      <c r="P57" s="77">
        <f t="shared" si="11"/>
        <v>0</v>
      </c>
    </row>
    <row r="58" spans="1:16" s="61" customFormat="1" ht="15" x14ac:dyDescent="0.2">
      <c r="A58" s="218">
        <v>0</v>
      </c>
      <c r="B58" s="250"/>
      <c r="C58" s="215" t="s">
        <v>596</v>
      </c>
      <c r="D58" s="233" t="s">
        <v>62</v>
      </c>
      <c r="E58" s="205">
        <v>6</v>
      </c>
      <c r="F58" s="213"/>
      <c r="G58" s="213"/>
      <c r="H58" s="214"/>
      <c r="I58" s="214"/>
      <c r="J58" s="258"/>
      <c r="K58" s="75">
        <f t="shared" si="6"/>
        <v>0</v>
      </c>
      <c r="L58" s="76">
        <f t="shared" si="7"/>
        <v>0</v>
      </c>
      <c r="M58" s="75">
        <f t="shared" si="8"/>
        <v>0</v>
      </c>
      <c r="N58" s="75">
        <f t="shared" si="9"/>
        <v>0</v>
      </c>
      <c r="O58" s="75">
        <f t="shared" si="10"/>
        <v>0</v>
      </c>
      <c r="P58" s="77">
        <f t="shared" si="11"/>
        <v>0</v>
      </c>
    </row>
    <row r="59" spans="1:16" s="61" customFormat="1" ht="15" x14ac:dyDescent="0.2">
      <c r="A59" s="218">
        <v>0</v>
      </c>
      <c r="B59" s="250"/>
      <c r="C59" s="215" t="s">
        <v>597</v>
      </c>
      <c r="D59" s="233" t="s">
        <v>62</v>
      </c>
      <c r="E59" s="205">
        <v>4</v>
      </c>
      <c r="F59" s="213"/>
      <c r="G59" s="213"/>
      <c r="H59" s="214"/>
      <c r="I59" s="214"/>
      <c r="J59" s="258"/>
      <c r="K59" s="75">
        <f t="shared" si="6"/>
        <v>0</v>
      </c>
      <c r="L59" s="76">
        <f t="shared" si="7"/>
        <v>0</v>
      </c>
      <c r="M59" s="75">
        <f t="shared" si="8"/>
        <v>0</v>
      </c>
      <c r="N59" s="75">
        <f t="shared" si="9"/>
        <v>0</v>
      </c>
      <c r="O59" s="75">
        <f t="shared" si="10"/>
        <v>0</v>
      </c>
      <c r="P59" s="77">
        <f t="shared" si="11"/>
        <v>0</v>
      </c>
    </row>
    <row r="60" spans="1:16" s="61" customFormat="1" ht="15" x14ac:dyDescent="0.2">
      <c r="A60" s="218">
        <v>0</v>
      </c>
      <c r="B60" s="250"/>
      <c r="C60" s="215" t="s">
        <v>598</v>
      </c>
      <c r="D60" s="233" t="s">
        <v>62</v>
      </c>
      <c r="E60" s="205">
        <v>8</v>
      </c>
      <c r="F60" s="213"/>
      <c r="G60" s="213"/>
      <c r="H60" s="214"/>
      <c r="I60" s="214"/>
      <c r="J60" s="258"/>
      <c r="K60" s="75">
        <f t="shared" si="6"/>
        <v>0</v>
      </c>
      <c r="L60" s="76">
        <f t="shared" si="7"/>
        <v>0</v>
      </c>
      <c r="M60" s="75">
        <f t="shared" si="8"/>
        <v>0</v>
      </c>
      <c r="N60" s="75">
        <f t="shared" si="9"/>
        <v>0</v>
      </c>
      <c r="O60" s="75">
        <f t="shared" si="10"/>
        <v>0</v>
      </c>
      <c r="P60" s="77">
        <f t="shared" si="11"/>
        <v>0</v>
      </c>
    </row>
    <row r="61" spans="1:16" s="61" customFormat="1" ht="15" x14ac:dyDescent="0.2">
      <c r="A61" s="218">
        <v>0</v>
      </c>
      <c r="B61" s="250"/>
      <c r="C61" s="215" t="s">
        <v>599</v>
      </c>
      <c r="D61" s="233" t="s">
        <v>62</v>
      </c>
      <c r="E61" s="205">
        <v>9</v>
      </c>
      <c r="F61" s="213"/>
      <c r="G61" s="213"/>
      <c r="H61" s="214"/>
      <c r="I61" s="214"/>
      <c r="J61" s="258"/>
      <c r="K61" s="75">
        <f t="shared" si="6"/>
        <v>0</v>
      </c>
      <c r="L61" s="76">
        <f t="shared" si="7"/>
        <v>0</v>
      </c>
      <c r="M61" s="75">
        <f t="shared" si="8"/>
        <v>0</v>
      </c>
      <c r="N61" s="75">
        <f t="shared" si="9"/>
        <v>0</v>
      </c>
      <c r="O61" s="75">
        <f t="shared" si="10"/>
        <v>0</v>
      </c>
      <c r="P61" s="77">
        <f t="shared" si="11"/>
        <v>0</v>
      </c>
    </row>
    <row r="62" spans="1:16" s="61" customFormat="1" ht="15" x14ac:dyDescent="0.2">
      <c r="A62" s="218">
        <v>0</v>
      </c>
      <c r="B62" s="250"/>
      <c r="C62" s="215" t="s">
        <v>600</v>
      </c>
      <c r="D62" s="233" t="s">
        <v>62</v>
      </c>
      <c r="E62" s="205">
        <v>10</v>
      </c>
      <c r="F62" s="213"/>
      <c r="G62" s="213"/>
      <c r="H62" s="214"/>
      <c r="I62" s="214"/>
      <c r="J62" s="258"/>
      <c r="K62" s="75">
        <f t="shared" si="6"/>
        <v>0</v>
      </c>
      <c r="L62" s="76">
        <f t="shared" si="7"/>
        <v>0</v>
      </c>
      <c r="M62" s="75">
        <f t="shared" si="8"/>
        <v>0</v>
      </c>
      <c r="N62" s="75">
        <f t="shared" si="9"/>
        <v>0</v>
      </c>
      <c r="O62" s="75">
        <f t="shared" si="10"/>
        <v>0</v>
      </c>
      <c r="P62" s="77">
        <f t="shared" si="11"/>
        <v>0</v>
      </c>
    </row>
    <row r="63" spans="1:16" s="61" customFormat="1" ht="15" x14ac:dyDescent="0.2">
      <c r="A63" s="218">
        <v>0</v>
      </c>
      <c r="B63" s="250"/>
      <c r="C63" s="215" t="s">
        <v>601</v>
      </c>
      <c r="D63" s="233" t="s">
        <v>62</v>
      </c>
      <c r="E63" s="425">
        <v>15</v>
      </c>
      <c r="F63" s="213"/>
      <c r="G63" s="213"/>
      <c r="H63" s="214"/>
      <c r="I63" s="214"/>
      <c r="J63" s="258"/>
      <c r="K63" s="75">
        <f t="shared" si="6"/>
        <v>0</v>
      </c>
      <c r="L63" s="76">
        <f t="shared" si="7"/>
        <v>0</v>
      </c>
      <c r="M63" s="75">
        <f t="shared" si="8"/>
        <v>0</v>
      </c>
      <c r="N63" s="75">
        <f t="shared" si="9"/>
        <v>0</v>
      </c>
      <c r="O63" s="75">
        <f t="shared" si="10"/>
        <v>0</v>
      </c>
      <c r="P63" s="77">
        <f t="shared" si="11"/>
        <v>0</v>
      </c>
    </row>
    <row r="64" spans="1:16" s="61" customFormat="1" ht="15" x14ac:dyDescent="0.2">
      <c r="A64" s="218">
        <v>0</v>
      </c>
      <c r="B64" s="250"/>
      <c r="C64" s="215" t="s">
        <v>602</v>
      </c>
      <c r="D64" s="233" t="s">
        <v>62</v>
      </c>
      <c r="E64" s="205">
        <v>2</v>
      </c>
      <c r="F64" s="213"/>
      <c r="G64" s="213"/>
      <c r="H64" s="214"/>
      <c r="I64" s="214"/>
      <c r="J64" s="258"/>
      <c r="K64" s="75">
        <f t="shared" si="6"/>
        <v>0</v>
      </c>
      <c r="L64" s="76">
        <f t="shared" si="7"/>
        <v>0</v>
      </c>
      <c r="M64" s="75">
        <f t="shared" si="8"/>
        <v>0</v>
      </c>
      <c r="N64" s="75">
        <f t="shared" si="9"/>
        <v>0</v>
      </c>
      <c r="O64" s="75">
        <f t="shared" si="10"/>
        <v>0</v>
      </c>
      <c r="P64" s="77">
        <f t="shared" si="11"/>
        <v>0</v>
      </c>
    </row>
    <row r="65" spans="1:16" s="61" customFormat="1" ht="15" x14ac:dyDescent="0.2">
      <c r="A65" s="218">
        <v>0</v>
      </c>
      <c r="B65" s="250"/>
      <c r="C65" s="215" t="s">
        <v>603</v>
      </c>
      <c r="D65" s="233" t="s">
        <v>62</v>
      </c>
      <c r="E65" s="205">
        <v>1</v>
      </c>
      <c r="F65" s="213"/>
      <c r="G65" s="213"/>
      <c r="H65" s="214"/>
      <c r="I65" s="214"/>
      <c r="J65" s="258"/>
      <c r="K65" s="75">
        <f t="shared" si="6"/>
        <v>0</v>
      </c>
      <c r="L65" s="76">
        <f t="shared" si="7"/>
        <v>0</v>
      </c>
      <c r="M65" s="75">
        <f t="shared" si="8"/>
        <v>0</v>
      </c>
      <c r="N65" s="75">
        <f t="shared" si="9"/>
        <v>0</v>
      </c>
      <c r="O65" s="75">
        <f t="shared" si="10"/>
        <v>0</v>
      </c>
      <c r="P65" s="77">
        <f t="shared" si="11"/>
        <v>0</v>
      </c>
    </row>
    <row r="66" spans="1:16" s="61" customFormat="1" ht="15" x14ac:dyDescent="0.2">
      <c r="A66" s="218">
        <v>0</v>
      </c>
      <c r="B66" s="250"/>
      <c r="C66" s="215" t="s">
        <v>604</v>
      </c>
      <c r="D66" s="233" t="s">
        <v>62</v>
      </c>
      <c r="E66" s="205">
        <v>2</v>
      </c>
      <c r="F66" s="213"/>
      <c r="G66" s="213"/>
      <c r="H66" s="214"/>
      <c r="I66" s="214"/>
      <c r="J66" s="258"/>
      <c r="K66" s="75">
        <f t="shared" si="6"/>
        <v>0</v>
      </c>
      <c r="L66" s="76">
        <f t="shared" si="7"/>
        <v>0</v>
      </c>
      <c r="M66" s="75">
        <f t="shared" si="8"/>
        <v>0</v>
      </c>
      <c r="N66" s="75">
        <f t="shared" si="9"/>
        <v>0</v>
      </c>
      <c r="O66" s="75">
        <f t="shared" si="10"/>
        <v>0</v>
      </c>
      <c r="P66" s="77">
        <f t="shared" si="11"/>
        <v>0</v>
      </c>
    </row>
    <row r="67" spans="1:16" s="61" customFormat="1" ht="15" x14ac:dyDescent="0.2">
      <c r="A67" s="218">
        <v>0</v>
      </c>
      <c r="B67" s="250"/>
      <c r="C67" s="215" t="s">
        <v>605</v>
      </c>
      <c r="D67" s="233" t="s">
        <v>62</v>
      </c>
      <c r="E67" s="205">
        <v>2</v>
      </c>
      <c r="F67" s="213"/>
      <c r="G67" s="213"/>
      <c r="H67" s="214"/>
      <c r="I67" s="214"/>
      <c r="J67" s="258"/>
      <c r="K67" s="75">
        <f t="shared" si="6"/>
        <v>0</v>
      </c>
      <c r="L67" s="76">
        <f t="shared" si="7"/>
        <v>0</v>
      </c>
      <c r="M67" s="75">
        <f t="shared" si="8"/>
        <v>0</v>
      </c>
      <c r="N67" s="75">
        <f t="shared" si="9"/>
        <v>0</v>
      </c>
      <c r="O67" s="75">
        <f t="shared" si="10"/>
        <v>0</v>
      </c>
      <c r="P67" s="77">
        <f t="shared" si="11"/>
        <v>0</v>
      </c>
    </row>
    <row r="68" spans="1:16" s="61" customFormat="1" ht="15" x14ac:dyDescent="0.2">
      <c r="A68" s="218">
        <v>0</v>
      </c>
      <c r="B68" s="250"/>
      <c r="C68" s="215" t="s">
        <v>606</v>
      </c>
      <c r="D68" s="233" t="s">
        <v>62</v>
      </c>
      <c r="E68" s="205">
        <v>1</v>
      </c>
      <c r="F68" s="213"/>
      <c r="G68" s="213"/>
      <c r="H68" s="214"/>
      <c r="I68" s="214"/>
      <c r="J68" s="258"/>
      <c r="K68" s="75">
        <f t="shared" si="6"/>
        <v>0</v>
      </c>
      <c r="L68" s="76">
        <f t="shared" si="7"/>
        <v>0</v>
      </c>
      <c r="M68" s="75">
        <f t="shared" si="8"/>
        <v>0</v>
      </c>
      <c r="N68" s="75">
        <f t="shared" si="9"/>
        <v>0</v>
      </c>
      <c r="O68" s="75">
        <f t="shared" si="10"/>
        <v>0</v>
      </c>
      <c r="P68" s="77">
        <f t="shared" si="11"/>
        <v>0</v>
      </c>
    </row>
    <row r="69" spans="1:16" s="61" customFormat="1" ht="15" x14ac:dyDescent="0.2">
      <c r="A69" s="218">
        <v>0</v>
      </c>
      <c r="B69" s="250"/>
      <c r="C69" s="215" t="s">
        <v>607</v>
      </c>
      <c r="D69" s="233" t="s">
        <v>62</v>
      </c>
      <c r="E69" s="205">
        <v>1</v>
      </c>
      <c r="F69" s="213"/>
      <c r="G69" s="213"/>
      <c r="H69" s="214"/>
      <c r="I69" s="214"/>
      <c r="J69" s="258"/>
      <c r="K69" s="75">
        <f t="shared" si="6"/>
        <v>0</v>
      </c>
      <c r="L69" s="76">
        <f t="shared" si="7"/>
        <v>0</v>
      </c>
      <c r="M69" s="75">
        <f t="shared" si="8"/>
        <v>0</v>
      </c>
      <c r="N69" s="75">
        <f t="shared" si="9"/>
        <v>0</v>
      </c>
      <c r="O69" s="75">
        <f t="shared" si="10"/>
        <v>0</v>
      </c>
      <c r="P69" s="77">
        <f t="shared" si="11"/>
        <v>0</v>
      </c>
    </row>
    <row r="70" spans="1:16" s="61" customFormat="1" ht="15" x14ac:dyDescent="0.2">
      <c r="A70" s="218">
        <v>0</v>
      </c>
      <c r="B70" s="250"/>
      <c r="C70" s="215" t="s">
        <v>608</v>
      </c>
      <c r="D70" s="233" t="s">
        <v>62</v>
      </c>
      <c r="E70" s="205">
        <v>4</v>
      </c>
      <c r="F70" s="213"/>
      <c r="G70" s="213"/>
      <c r="H70" s="214"/>
      <c r="I70" s="214"/>
      <c r="J70" s="258"/>
      <c r="K70" s="75">
        <f t="shared" si="6"/>
        <v>0</v>
      </c>
      <c r="L70" s="76">
        <f t="shared" si="7"/>
        <v>0</v>
      </c>
      <c r="M70" s="75">
        <f t="shared" si="8"/>
        <v>0</v>
      </c>
      <c r="N70" s="75">
        <f t="shared" si="9"/>
        <v>0</v>
      </c>
      <c r="O70" s="75">
        <f t="shared" si="10"/>
        <v>0</v>
      </c>
      <c r="P70" s="77">
        <f t="shared" si="11"/>
        <v>0</v>
      </c>
    </row>
    <row r="71" spans="1:16" s="61" customFormat="1" ht="15" x14ac:dyDescent="0.2">
      <c r="A71" s="218">
        <v>0</v>
      </c>
      <c r="B71" s="250"/>
      <c r="C71" s="215" t="s">
        <v>609</v>
      </c>
      <c r="D71" s="233" t="s">
        <v>62</v>
      </c>
      <c r="E71" s="205">
        <v>2</v>
      </c>
      <c r="F71" s="213"/>
      <c r="G71" s="213"/>
      <c r="H71" s="214"/>
      <c r="I71" s="214"/>
      <c r="J71" s="258"/>
      <c r="K71" s="75">
        <f t="shared" si="6"/>
        <v>0</v>
      </c>
      <c r="L71" s="76">
        <f t="shared" si="7"/>
        <v>0</v>
      </c>
      <c r="M71" s="75">
        <f t="shared" si="8"/>
        <v>0</v>
      </c>
      <c r="N71" s="75">
        <f t="shared" si="9"/>
        <v>0</v>
      </c>
      <c r="O71" s="75">
        <f t="shared" si="10"/>
        <v>0</v>
      </c>
      <c r="P71" s="77">
        <f t="shared" si="11"/>
        <v>0</v>
      </c>
    </row>
    <row r="72" spans="1:16" s="61" customFormat="1" ht="15" x14ac:dyDescent="0.2">
      <c r="A72" s="218">
        <v>0</v>
      </c>
      <c r="B72" s="250"/>
      <c r="C72" s="215" t="s">
        <v>610</v>
      </c>
      <c r="D72" s="233" t="s">
        <v>62</v>
      </c>
      <c r="E72" s="205">
        <v>1</v>
      </c>
      <c r="F72" s="213"/>
      <c r="G72" s="213"/>
      <c r="H72" s="214"/>
      <c r="I72" s="214"/>
      <c r="J72" s="258"/>
      <c r="K72" s="75">
        <f t="shared" si="6"/>
        <v>0</v>
      </c>
      <c r="L72" s="76">
        <f t="shared" si="7"/>
        <v>0</v>
      </c>
      <c r="M72" s="75">
        <f t="shared" si="8"/>
        <v>0</v>
      </c>
      <c r="N72" s="75">
        <f t="shared" si="9"/>
        <v>0</v>
      </c>
      <c r="O72" s="75">
        <f t="shared" si="10"/>
        <v>0</v>
      </c>
      <c r="P72" s="77">
        <f t="shared" si="11"/>
        <v>0</v>
      </c>
    </row>
    <row r="73" spans="1:16" s="61" customFormat="1" ht="15" x14ac:dyDescent="0.2">
      <c r="A73" s="218">
        <v>0</v>
      </c>
      <c r="B73" s="250"/>
      <c r="C73" s="215" t="s">
        <v>611</v>
      </c>
      <c r="D73" s="233" t="s">
        <v>62</v>
      </c>
      <c r="E73" s="205">
        <v>1</v>
      </c>
      <c r="F73" s="213"/>
      <c r="G73" s="213"/>
      <c r="H73" s="214"/>
      <c r="I73" s="214"/>
      <c r="J73" s="258"/>
      <c r="K73" s="75">
        <f t="shared" si="6"/>
        <v>0</v>
      </c>
      <c r="L73" s="76">
        <f t="shared" si="7"/>
        <v>0</v>
      </c>
      <c r="M73" s="75">
        <f t="shared" si="8"/>
        <v>0</v>
      </c>
      <c r="N73" s="75">
        <f t="shared" si="9"/>
        <v>0</v>
      </c>
      <c r="O73" s="75">
        <f t="shared" si="10"/>
        <v>0</v>
      </c>
      <c r="P73" s="77">
        <f t="shared" si="11"/>
        <v>0</v>
      </c>
    </row>
    <row r="74" spans="1:16" s="61" customFormat="1" ht="15" x14ac:dyDescent="0.2">
      <c r="A74" s="218">
        <v>0</v>
      </c>
      <c r="B74" s="250"/>
      <c r="C74" s="215" t="s">
        <v>612</v>
      </c>
      <c r="D74" s="233" t="s">
        <v>62</v>
      </c>
      <c r="E74" s="425">
        <v>1</v>
      </c>
      <c r="F74" s="213"/>
      <c r="G74" s="213"/>
      <c r="H74" s="214"/>
      <c r="I74" s="214"/>
      <c r="J74" s="258"/>
      <c r="K74" s="75">
        <f t="shared" si="6"/>
        <v>0</v>
      </c>
      <c r="L74" s="76">
        <f t="shared" si="7"/>
        <v>0</v>
      </c>
      <c r="M74" s="75">
        <f t="shared" si="8"/>
        <v>0</v>
      </c>
      <c r="N74" s="75">
        <f t="shared" si="9"/>
        <v>0</v>
      </c>
      <c r="O74" s="75">
        <f t="shared" si="10"/>
        <v>0</v>
      </c>
      <c r="P74" s="77">
        <f t="shared" si="11"/>
        <v>0</v>
      </c>
    </row>
    <row r="75" spans="1:16" s="61" customFormat="1" ht="15" x14ac:dyDescent="0.2">
      <c r="A75" s="218">
        <v>0</v>
      </c>
      <c r="B75" s="250"/>
      <c r="C75" s="215" t="s">
        <v>613</v>
      </c>
      <c r="D75" s="233" t="s">
        <v>62</v>
      </c>
      <c r="E75" s="205">
        <v>6</v>
      </c>
      <c r="F75" s="213"/>
      <c r="G75" s="213"/>
      <c r="H75" s="214"/>
      <c r="I75" s="214"/>
      <c r="J75" s="258"/>
      <c r="K75" s="75">
        <f t="shared" si="6"/>
        <v>0</v>
      </c>
      <c r="L75" s="76">
        <f t="shared" si="7"/>
        <v>0</v>
      </c>
      <c r="M75" s="75">
        <f t="shared" si="8"/>
        <v>0</v>
      </c>
      <c r="N75" s="75">
        <f t="shared" si="9"/>
        <v>0</v>
      </c>
      <c r="O75" s="75">
        <f t="shared" si="10"/>
        <v>0</v>
      </c>
      <c r="P75" s="77">
        <f t="shared" si="11"/>
        <v>0</v>
      </c>
    </row>
    <row r="76" spans="1:16" s="61" customFormat="1" ht="15" x14ac:dyDescent="0.2">
      <c r="A76" s="218">
        <v>0</v>
      </c>
      <c r="B76" s="250"/>
      <c r="C76" s="215" t="s">
        <v>614</v>
      </c>
      <c r="D76" s="233" t="s">
        <v>62</v>
      </c>
      <c r="E76" s="205">
        <v>1</v>
      </c>
      <c r="F76" s="213"/>
      <c r="G76" s="213"/>
      <c r="H76" s="214"/>
      <c r="I76" s="214"/>
      <c r="J76" s="258"/>
      <c r="K76" s="75">
        <f t="shared" si="6"/>
        <v>0</v>
      </c>
      <c r="L76" s="76">
        <f t="shared" si="7"/>
        <v>0</v>
      </c>
      <c r="M76" s="75">
        <f t="shared" si="8"/>
        <v>0</v>
      </c>
      <c r="N76" s="75">
        <f t="shared" si="9"/>
        <v>0</v>
      </c>
      <c r="O76" s="75">
        <f t="shared" si="10"/>
        <v>0</v>
      </c>
      <c r="P76" s="77">
        <f t="shared" si="11"/>
        <v>0</v>
      </c>
    </row>
    <row r="77" spans="1:16" s="61" customFormat="1" ht="15" x14ac:dyDescent="0.2">
      <c r="A77" s="218">
        <v>0</v>
      </c>
      <c r="B77" s="250"/>
      <c r="C77" s="215" t="s">
        <v>615</v>
      </c>
      <c r="D77" s="233" t="s">
        <v>62</v>
      </c>
      <c r="E77" s="425">
        <v>1</v>
      </c>
      <c r="F77" s="213"/>
      <c r="G77" s="213"/>
      <c r="H77" s="214"/>
      <c r="I77" s="214"/>
      <c r="J77" s="258"/>
      <c r="K77" s="75">
        <f t="shared" si="6"/>
        <v>0</v>
      </c>
      <c r="L77" s="76">
        <f t="shared" si="7"/>
        <v>0</v>
      </c>
      <c r="M77" s="75">
        <f t="shared" si="8"/>
        <v>0</v>
      </c>
      <c r="N77" s="75">
        <f t="shared" si="9"/>
        <v>0</v>
      </c>
      <c r="O77" s="75">
        <f t="shared" si="10"/>
        <v>0</v>
      </c>
      <c r="P77" s="77">
        <f t="shared" si="11"/>
        <v>0</v>
      </c>
    </row>
    <row r="78" spans="1:16" s="61" customFormat="1" ht="15" x14ac:dyDescent="0.2">
      <c r="A78" s="218"/>
      <c r="B78" s="250"/>
      <c r="C78" s="215" t="s">
        <v>798</v>
      </c>
      <c r="D78" s="233" t="s">
        <v>62</v>
      </c>
      <c r="E78" s="425">
        <v>1</v>
      </c>
      <c r="F78" s="213"/>
      <c r="G78" s="213"/>
      <c r="H78" s="214"/>
      <c r="I78" s="214"/>
      <c r="J78" s="258"/>
      <c r="K78" s="75"/>
      <c r="L78" s="76">
        <f t="shared" si="7"/>
        <v>0</v>
      </c>
      <c r="M78" s="75">
        <f t="shared" si="8"/>
        <v>0</v>
      </c>
      <c r="N78" s="75">
        <f t="shared" si="9"/>
        <v>0</v>
      </c>
      <c r="O78" s="75">
        <f t="shared" si="10"/>
        <v>0</v>
      </c>
      <c r="P78" s="77">
        <f t="shared" si="11"/>
        <v>0</v>
      </c>
    </row>
    <row r="79" spans="1:16" s="61" customFormat="1" ht="15" x14ac:dyDescent="0.2">
      <c r="A79" s="218">
        <v>0</v>
      </c>
      <c r="B79" s="250"/>
      <c r="C79" s="215" t="s">
        <v>616</v>
      </c>
      <c r="D79" s="233" t="s">
        <v>62</v>
      </c>
      <c r="E79" s="205">
        <v>1</v>
      </c>
      <c r="F79" s="213"/>
      <c r="G79" s="213"/>
      <c r="H79" s="214"/>
      <c r="I79" s="214"/>
      <c r="J79" s="258"/>
      <c r="K79" s="75">
        <f t="shared" si="6"/>
        <v>0</v>
      </c>
      <c r="L79" s="76">
        <f t="shared" si="7"/>
        <v>0</v>
      </c>
      <c r="M79" s="75">
        <f t="shared" si="8"/>
        <v>0</v>
      </c>
      <c r="N79" s="75">
        <f t="shared" si="9"/>
        <v>0</v>
      </c>
      <c r="O79" s="75">
        <f t="shared" si="10"/>
        <v>0</v>
      </c>
      <c r="P79" s="77">
        <f t="shared" si="11"/>
        <v>0</v>
      </c>
    </row>
    <row r="80" spans="1:16" s="61" customFormat="1" ht="15" x14ac:dyDescent="0.2">
      <c r="A80" s="218"/>
      <c r="B80" s="250"/>
      <c r="C80" s="432" t="s">
        <v>799</v>
      </c>
      <c r="D80" s="424" t="s">
        <v>62</v>
      </c>
      <c r="E80" s="425">
        <v>1</v>
      </c>
      <c r="F80" s="213"/>
      <c r="G80" s="213"/>
      <c r="H80" s="214"/>
      <c r="I80" s="214"/>
      <c r="J80" s="258"/>
      <c r="K80" s="75"/>
      <c r="L80" s="76">
        <f t="shared" si="7"/>
        <v>0</v>
      </c>
      <c r="M80" s="75">
        <f t="shared" si="8"/>
        <v>0</v>
      </c>
      <c r="N80" s="75">
        <f t="shared" si="9"/>
        <v>0</v>
      </c>
      <c r="O80" s="75">
        <f t="shared" si="10"/>
        <v>0</v>
      </c>
      <c r="P80" s="77">
        <f t="shared" si="11"/>
        <v>0</v>
      </c>
    </row>
    <row r="81" spans="1:16" s="61" customFormat="1" ht="15" x14ac:dyDescent="0.2">
      <c r="A81" s="218">
        <v>0</v>
      </c>
      <c r="B81" s="250">
        <v>0</v>
      </c>
      <c r="C81" s="241" t="s">
        <v>591</v>
      </c>
      <c r="D81" s="233" t="s">
        <v>207</v>
      </c>
      <c r="E81" s="205">
        <f>E53</f>
        <v>205.27</v>
      </c>
      <c r="F81" s="213"/>
      <c r="G81" s="213"/>
      <c r="H81" s="214"/>
      <c r="I81" s="214"/>
      <c r="J81" s="258"/>
      <c r="K81" s="75">
        <f t="shared" si="6"/>
        <v>0</v>
      </c>
      <c r="L81" s="76">
        <f t="shared" si="7"/>
        <v>0</v>
      </c>
      <c r="M81" s="75">
        <f t="shared" si="8"/>
        <v>0</v>
      </c>
      <c r="N81" s="75">
        <f t="shared" si="9"/>
        <v>0</v>
      </c>
      <c r="O81" s="75">
        <f t="shared" si="10"/>
        <v>0</v>
      </c>
      <c r="P81" s="77">
        <f t="shared" si="11"/>
        <v>0</v>
      </c>
    </row>
    <row r="82" spans="1:16" s="61" customFormat="1" ht="15" x14ac:dyDescent="0.2">
      <c r="A82" s="218">
        <v>7</v>
      </c>
      <c r="B82" s="250" t="s">
        <v>205</v>
      </c>
      <c r="C82" s="236" t="s">
        <v>617</v>
      </c>
      <c r="D82" s="233" t="s">
        <v>62</v>
      </c>
      <c r="E82" s="205">
        <v>1</v>
      </c>
      <c r="F82" s="213"/>
      <c r="G82" s="213"/>
      <c r="H82" s="214"/>
      <c r="I82" s="214"/>
      <c r="J82" s="214"/>
      <c r="K82" s="75">
        <f t="shared" ref="K82:K84" si="12">SUM(H82:J82)</f>
        <v>0</v>
      </c>
      <c r="L82" s="76">
        <f t="shared" ref="L82:L84" si="13">ROUND(F82*E82,2)</f>
        <v>0</v>
      </c>
      <c r="M82" s="75">
        <f t="shared" ref="M82:M84" si="14">ROUND(H82*E82,2)</f>
        <v>0</v>
      </c>
      <c r="N82" s="75">
        <f t="shared" ref="N82:N84" si="15">ROUND(I82*E82,2)</f>
        <v>0</v>
      </c>
      <c r="O82" s="75">
        <f t="shared" ref="O82:O84" si="16">ROUND(J82*E82,2)</f>
        <v>0</v>
      </c>
      <c r="P82" s="77">
        <f t="shared" ref="P82:P84" si="17">SUM(M82:O82)</f>
        <v>0</v>
      </c>
    </row>
    <row r="83" spans="1:16" s="61" customFormat="1" ht="30" x14ac:dyDescent="0.2">
      <c r="A83" s="292">
        <v>8</v>
      </c>
      <c r="B83" s="256" t="s">
        <v>618</v>
      </c>
      <c r="C83" s="323" t="s">
        <v>619</v>
      </c>
      <c r="D83" s="294" t="s">
        <v>57</v>
      </c>
      <c r="E83" s="205">
        <v>638</v>
      </c>
      <c r="F83" s="213"/>
      <c r="G83" s="213"/>
      <c r="H83" s="214"/>
      <c r="I83" s="214"/>
      <c r="J83" s="214"/>
      <c r="K83" s="324">
        <f t="shared" si="12"/>
        <v>0</v>
      </c>
      <c r="L83" s="74">
        <f t="shared" si="13"/>
        <v>0</v>
      </c>
      <c r="M83" s="324">
        <f t="shared" si="14"/>
        <v>0</v>
      </c>
      <c r="N83" s="324">
        <f t="shared" si="15"/>
        <v>0</v>
      </c>
      <c r="O83" s="324">
        <f t="shared" si="16"/>
        <v>0</v>
      </c>
      <c r="P83" s="325">
        <f t="shared" si="17"/>
        <v>0</v>
      </c>
    </row>
    <row r="84" spans="1:16" s="61" customFormat="1" ht="25.5" x14ac:dyDescent="0.2">
      <c r="A84" s="292">
        <v>9</v>
      </c>
      <c r="B84" s="256" t="s">
        <v>618</v>
      </c>
      <c r="C84" s="293" t="s">
        <v>620</v>
      </c>
      <c r="D84" s="294" t="s">
        <v>57</v>
      </c>
      <c r="E84" s="205">
        <v>638</v>
      </c>
      <c r="F84" s="213"/>
      <c r="G84" s="213"/>
      <c r="H84" s="214"/>
      <c r="I84" s="214"/>
      <c r="J84" s="258"/>
      <c r="K84" s="75">
        <f t="shared" si="12"/>
        <v>0</v>
      </c>
      <c r="L84" s="76">
        <f t="shared" si="13"/>
        <v>0</v>
      </c>
      <c r="M84" s="75">
        <f t="shared" si="14"/>
        <v>0</v>
      </c>
      <c r="N84" s="75">
        <f t="shared" si="15"/>
        <v>0</v>
      </c>
      <c r="O84" s="75">
        <f t="shared" si="16"/>
        <v>0</v>
      </c>
      <c r="P84" s="77">
        <f t="shared" si="17"/>
        <v>0</v>
      </c>
    </row>
    <row r="85" spans="1:16" x14ac:dyDescent="0.2">
      <c r="A85" s="78"/>
      <c r="B85" s="131"/>
      <c r="C85" s="80"/>
      <c r="D85" s="81"/>
      <c r="E85" s="82"/>
      <c r="F85" s="82">
        <v>0</v>
      </c>
      <c r="G85" s="82">
        <v>0</v>
      </c>
      <c r="H85" s="83"/>
      <c r="I85" s="82"/>
      <c r="J85" s="82"/>
      <c r="K85" s="82"/>
      <c r="L85" s="82"/>
      <c r="M85" s="82"/>
      <c r="N85" s="82"/>
      <c r="O85" s="82"/>
      <c r="P85" s="84"/>
    </row>
    <row r="86" spans="1:16" ht="15" customHeight="1" x14ac:dyDescent="0.2">
      <c r="A86" s="85"/>
      <c r="B86" s="85"/>
      <c r="C86" s="509" t="s">
        <v>74</v>
      </c>
      <c r="D86" s="510"/>
      <c r="E86" s="510"/>
      <c r="F86" s="510"/>
      <c r="G86" s="510"/>
      <c r="H86" s="510"/>
      <c r="I86" s="510"/>
      <c r="J86" s="510"/>
      <c r="K86" s="510"/>
      <c r="L86" s="87">
        <f>SUM(L13:L85)</f>
        <v>0</v>
      </c>
      <c r="M86" s="87">
        <f>SUM(M13:M85)</f>
        <v>0</v>
      </c>
      <c r="N86" s="87">
        <f>SUM(N13:N85)</f>
        <v>0</v>
      </c>
      <c r="O86" s="87">
        <f>SUM(O13:O85)</f>
        <v>0</v>
      </c>
      <c r="P86" s="87">
        <f>SUM(P13:P85)</f>
        <v>0</v>
      </c>
    </row>
    <row r="87" spans="1:16" s="88" customFormat="1" collapsed="1" x14ac:dyDescent="0.2">
      <c r="I87" s="89"/>
    </row>
    <row r="88" spans="1:16" s="2" customFormat="1" ht="12.75" customHeight="1" x14ac:dyDescent="0.2">
      <c r="B88" s="90" t="s">
        <v>75</v>
      </c>
    </row>
    <row r="89" spans="1:16" s="2" customFormat="1" ht="45" customHeight="1" x14ac:dyDescent="0.2">
      <c r="A89"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89" s="511"/>
      <c r="C89" s="511"/>
      <c r="D89" s="511"/>
      <c r="E89" s="511"/>
      <c r="F89" s="511"/>
      <c r="G89" s="511"/>
      <c r="H89" s="511"/>
      <c r="I89" s="511"/>
      <c r="J89" s="511"/>
      <c r="K89" s="511"/>
      <c r="L89" s="511"/>
      <c r="M89" s="511"/>
      <c r="N89" s="511"/>
      <c r="O89" s="511"/>
      <c r="P89" s="511"/>
    </row>
    <row r="90" spans="1:16" s="2" customFormat="1" ht="79.5" customHeight="1" x14ac:dyDescent="0.2">
      <c r="A90" s="512"/>
      <c r="B90" s="512"/>
      <c r="C90" s="512"/>
      <c r="D90" s="512"/>
      <c r="E90" s="512"/>
      <c r="F90" s="512"/>
      <c r="G90" s="512"/>
      <c r="H90" s="512"/>
      <c r="I90" s="512"/>
      <c r="J90" s="512"/>
      <c r="K90" s="512"/>
      <c r="L90" s="512"/>
      <c r="M90" s="512"/>
      <c r="N90" s="512"/>
      <c r="O90" s="512"/>
      <c r="P90" s="512"/>
    </row>
    <row r="91" spans="1:16" s="2" customFormat="1" ht="12.75" customHeight="1" x14ac:dyDescent="0.2">
      <c r="B91" s="91"/>
    </row>
    <row r="92" spans="1:16" s="2" customFormat="1" ht="12.75" customHeight="1" x14ac:dyDescent="0.2">
      <c r="B92" s="91"/>
    </row>
    <row r="93" spans="1:16" s="88" customFormat="1" x14ac:dyDescent="0.2">
      <c r="B93" s="88" t="s">
        <v>36</v>
      </c>
      <c r="L93" s="92" t="s">
        <v>98</v>
      </c>
      <c r="M93" s="92"/>
      <c r="N93" s="92"/>
      <c r="O93" s="92"/>
      <c r="P93" s="92"/>
    </row>
    <row r="94" spans="1:16" s="88" customFormat="1" ht="14.25" customHeight="1" x14ac:dyDescent="0.2">
      <c r="C94" s="36"/>
      <c r="L94" s="36"/>
      <c r="M94" s="513"/>
      <c r="N94" s="513"/>
      <c r="O94" s="92"/>
      <c r="P94" s="92"/>
    </row>
    <row r="95" spans="1:16" s="88" customFormat="1" x14ac:dyDescent="0.2">
      <c r="C95" s="39"/>
      <c r="L95" s="39"/>
      <c r="M95" s="507"/>
      <c r="N95" s="507"/>
      <c r="O95" s="92"/>
      <c r="P95" s="92"/>
    </row>
    <row r="96" spans="1:16" s="88" customFormat="1" collapsed="1" x14ac:dyDescent="0.2">
      <c r="B96" s="89"/>
      <c r="F96" s="89"/>
      <c r="G96" s="89"/>
    </row>
  </sheetData>
  <mergeCells count="17">
    <mergeCell ref="M95:N95"/>
    <mergeCell ref="F11:K11"/>
    <mergeCell ref="L11:P11"/>
    <mergeCell ref="C86:K86"/>
    <mergeCell ref="A89:P89"/>
    <mergeCell ref="A90:P90"/>
    <mergeCell ref="M94:N94"/>
    <mergeCell ref="A11:A12"/>
    <mergeCell ref="B11:B12"/>
    <mergeCell ref="C11:C12"/>
    <mergeCell ref="D11:D12"/>
    <mergeCell ref="E11:E12"/>
    <mergeCell ref="A2:P2"/>
    <mergeCell ref="D3:P3"/>
    <mergeCell ref="D4:P4"/>
    <mergeCell ref="D5:P5"/>
    <mergeCell ref="L9:O9"/>
  </mergeCells>
  <conditionalFormatting sqref="I54:I80">
    <cfRule type="expression" dxfId="254" priority="41" stopIfTrue="1">
      <formula>I54=#REF!=FALSE</formula>
    </cfRule>
  </conditionalFormatting>
  <conditionalFormatting sqref="I14:I28 I35:I42 I54:I80">
    <cfRule type="expression" dxfId="253" priority="36">
      <formula>#REF!&gt;0</formula>
    </cfRule>
    <cfRule type="expression" dxfId="252" priority="37">
      <formula>#REF!=3</formula>
    </cfRule>
    <cfRule type="expression" dxfId="251" priority="38">
      <formula>#REF!=2</formula>
    </cfRule>
    <cfRule type="expression" dxfId="250" priority="39">
      <formula>#REF!=1</formula>
    </cfRule>
  </conditionalFormatting>
  <conditionalFormatting sqref="I14:I28 I35:I42">
    <cfRule type="expression" dxfId="249" priority="40" stopIfTrue="1">
      <formula>I14=#REF!=FALSE</formula>
    </cfRule>
  </conditionalFormatting>
  <conditionalFormatting sqref="I53 I81">
    <cfRule type="expression" dxfId="248" priority="31">
      <formula>#REF!&gt;0</formula>
    </cfRule>
    <cfRule type="expression" dxfId="247" priority="32">
      <formula>#REF!=3</formula>
    </cfRule>
    <cfRule type="expression" dxfId="246" priority="33">
      <formula>#REF!=2</formula>
    </cfRule>
    <cfRule type="expression" dxfId="245" priority="34">
      <formula>#REF!=1</formula>
    </cfRule>
  </conditionalFormatting>
  <conditionalFormatting sqref="I53 I81">
    <cfRule type="expression" dxfId="244" priority="35" stopIfTrue="1">
      <formula>I53=#REF!=FALSE</formula>
    </cfRule>
  </conditionalFormatting>
  <conditionalFormatting sqref="I29:I34">
    <cfRule type="expression" dxfId="243" priority="26">
      <formula>#REF!&gt;0</formula>
    </cfRule>
    <cfRule type="expression" dxfId="242" priority="27">
      <formula>#REF!=3</formula>
    </cfRule>
    <cfRule type="expression" dxfId="241" priority="28">
      <formula>#REF!=2</formula>
    </cfRule>
    <cfRule type="expression" dxfId="240" priority="29">
      <formula>#REF!=1</formula>
    </cfRule>
  </conditionalFormatting>
  <conditionalFormatting sqref="I29:I34">
    <cfRule type="expression" dxfId="239" priority="30" stopIfTrue="1">
      <formula>I29=#REF!=FALSE</formula>
    </cfRule>
  </conditionalFormatting>
  <conditionalFormatting sqref="I84">
    <cfRule type="expression" dxfId="238" priority="25" stopIfTrue="1">
      <formula>I84=#REF!=FALSE</formula>
    </cfRule>
  </conditionalFormatting>
  <conditionalFormatting sqref="I84">
    <cfRule type="expression" dxfId="237" priority="21">
      <formula>#REF!&gt;0</formula>
    </cfRule>
    <cfRule type="expression" dxfId="236" priority="22">
      <formula>#REF!=3</formula>
    </cfRule>
    <cfRule type="expression" dxfId="235" priority="23">
      <formula>#REF!=2</formula>
    </cfRule>
    <cfRule type="expression" dxfId="234" priority="24">
      <formula>#REF!=1</formula>
    </cfRule>
  </conditionalFormatting>
  <conditionalFormatting sqref="I43 I52">
    <cfRule type="expression" dxfId="233" priority="16">
      <formula>#REF!&gt;0</formula>
    </cfRule>
    <cfRule type="expression" dxfId="232" priority="17">
      <formula>#REF!=3</formula>
    </cfRule>
    <cfRule type="expression" dxfId="231" priority="18">
      <formula>#REF!=2</formula>
    </cfRule>
    <cfRule type="expression" dxfId="230" priority="19">
      <formula>#REF!=1</formula>
    </cfRule>
  </conditionalFormatting>
  <conditionalFormatting sqref="I43 I52">
    <cfRule type="expression" dxfId="229" priority="20" stopIfTrue="1">
      <formula>I43=#REF!=FALSE</formula>
    </cfRule>
  </conditionalFormatting>
  <conditionalFormatting sqref="I44:I51">
    <cfRule type="expression" dxfId="228" priority="11">
      <formula>#REF!&gt;0</formula>
    </cfRule>
    <cfRule type="expression" dxfId="227" priority="12">
      <formula>#REF!=3</formula>
    </cfRule>
    <cfRule type="expression" dxfId="226" priority="13">
      <formula>#REF!=2</formula>
    </cfRule>
    <cfRule type="expression" dxfId="225" priority="14">
      <formula>#REF!=1</formula>
    </cfRule>
  </conditionalFormatting>
  <conditionalFormatting sqref="I44:I51">
    <cfRule type="expression" dxfId="224" priority="15" stopIfTrue="1">
      <formula>I44=#REF!=FALSE</formula>
    </cfRule>
  </conditionalFormatting>
  <conditionalFormatting sqref="I82">
    <cfRule type="expression" dxfId="223" priority="6">
      <formula>#REF!&gt;0</formula>
    </cfRule>
    <cfRule type="expression" dxfId="222" priority="7">
      <formula>#REF!=3</formula>
    </cfRule>
    <cfRule type="expression" dxfId="221" priority="8">
      <formula>#REF!=2</formula>
    </cfRule>
    <cfRule type="expression" dxfId="220" priority="9">
      <formula>#REF!=1</formula>
    </cfRule>
  </conditionalFormatting>
  <conditionalFormatting sqref="I82">
    <cfRule type="expression" dxfId="219" priority="10" stopIfTrue="1">
      <formula>I82=#REF!=FALSE</formula>
    </cfRule>
  </conditionalFormatting>
  <conditionalFormatting sqref="I83">
    <cfRule type="expression" dxfId="218" priority="5" stopIfTrue="1">
      <formula>I83=#REF!=FALSE</formula>
    </cfRule>
  </conditionalFormatting>
  <conditionalFormatting sqref="I83">
    <cfRule type="expression" dxfId="217" priority="1">
      <formula>#REF!&gt;0</formula>
    </cfRule>
    <cfRule type="expression" dxfId="216" priority="2">
      <formula>#REF!=3</formula>
    </cfRule>
    <cfRule type="expression" dxfId="215" priority="3">
      <formula>#REF!=2</formula>
    </cfRule>
    <cfRule type="expression" dxfId="214" priority="4">
      <formula>#REF!=1</formula>
    </cfRule>
  </conditionalFormatting>
  <printOptions horizontalCentered="1"/>
  <pageMargins left="0.27559055118110237" right="0.27559055118110237" top="0.74803149606299213" bottom="0.74803149606299213" header="0.31496062992125984" footer="0.31496062992125984"/>
  <pageSetup paperSize="9" scale="71"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5"/>
  <sheetViews>
    <sheetView showZeros="0" view="pageBreakPreview" topLeftCell="A79" zoomScale="80" zoomScaleNormal="100" zoomScaleSheetLayoutView="80" workbookViewId="0">
      <selection activeCell="I91" sqref="I91"/>
    </sheetView>
  </sheetViews>
  <sheetFormatPr defaultRowHeight="14.25" x14ac:dyDescent="0.2"/>
  <cols>
    <col min="1" max="1" width="9" style="49" customWidth="1"/>
    <col min="2" max="2" width="9.42578125" style="49" customWidth="1"/>
    <col min="3" max="3" width="43.85546875" style="130" customWidth="1"/>
    <col min="4" max="4" width="8.140625" style="49" customWidth="1"/>
    <col min="5" max="5" width="13.140625" style="49" customWidth="1"/>
    <col min="6" max="11" width="9.140625" style="49"/>
    <col min="12" max="12" width="13" style="49" customWidth="1"/>
    <col min="13" max="13" width="13.5703125" style="49" customWidth="1"/>
    <col min="14" max="14" width="13.85546875" style="49" customWidth="1"/>
    <col min="15" max="15" width="12.85546875" style="49" customWidth="1"/>
    <col min="16" max="16" width="15.42578125" style="49" customWidth="1"/>
    <col min="17" max="16384" width="9.140625" style="49"/>
  </cols>
  <sheetData>
    <row r="1" spans="1:16" s="41" customFormat="1" ht="15" x14ac:dyDescent="0.25">
      <c r="C1" s="127"/>
      <c r="E1" s="43"/>
      <c r="F1" s="43"/>
      <c r="G1" s="95" t="s">
        <v>37</v>
      </c>
      <c r="H1" s="122" t="str">
        <f>kops1!B31</f>
        <v>1,11</v>
      </c>
    </row>
    <row r="2" spans="1:16" s="41" customFormat="1" ht="15" x14ac:dyDescent="0.25">
      <c r="A2" s="504" t="str">
        <f>C13</f>
        <v>Iekšējie apdares darbi</v>
      </c>
      <c r="B2" s="504"/>
      <c r="C2" s="504"/>
      <c r="D2" s="504"/>
      <c r="E2" s="504"/>
      <c r="F2" s="504"/>
      <c r="G2" s="504"/>
      <c r="H2" s="504"/>
      <c r="I2" s="504"/>
      <c r="J2" s="504"/>
      <c r="K2" s="504"/>
      <c r="L2" s="504"/>
      <c r="M2" s="504"/>
      <c r="N2" s="504"/>
      <c r="O2" s="504"/>
      <c r="P2" s="504"/>
    </row>
    <row r="3" spans="1:16" ht="15" x14ac:dyDescent="0.2">
      <c r="A3" s="47"/>
      <c r="B3" s="47"/>
      <c r="C3" s="129" t="s">
        <v>38</v>
      </c>
      <c r="D3" s="505" t="s">
        <v>94</v>
      </c>
      <c r="E3" s="505"/>
      <c r="F3" s="505"/>
      <c r="G3" s="505"/>
      <c r="H3" s="505"/>
      <c r="I3" s="505"/>
      <c r="J3" s="505"/>
      <c r="K3" s="505"/>
      <c r="L3" s="505"/>
      <c r="M3" s="505"/>
      <c r="N3" s="505"/>
      <c r="O3" s="505"/>
      <c r="P3" s="505"/>
    </row>
    <row r="4" spans="1:16" ht="15" x14ac:dyDescent="0.2">
      <c r="A4" s="47"/>
      <c r="B4" s="47"/>
      <c r="C4" s="129" t="s">
        <v>39</v>
      </c>
      <c r="D4" s="505" t="s">
        <v>95</v>
      </c>
      <c r="E4" s="505"/>
      <c r="F4" s="505"/>
      <c r="G4" s="505"/>
      <c r="H4" s="505"/>
      <c r="I4" s="505"/>
      <c r="J4" s="505"/>
      <c r="K4" s="505"/>
      <c r="L4" s="505"/>
      <c r="M4" s="505"/>
      <c r="N4" s="505"/>
      <c r="O4" s="505"/>
      <c r="P4" s="505"/>
    </row>
    <row r="5" spans="1:16" ht="15" x14ac:dyDescent="0.2">
      <c r="A5" s="47"/>
      <c r="B5" s="47"/>
      <c r="C5" s="129" t="s">
        <v>40</v>
      </c>
      <c r="D5" s="505" t="s">
        <v>96</v>
      </c>
      <c r="E5" s="505"/>
      <c r="F5" s="505"/>
      <c r="G5" s="505"/>
      <c r="H5" s="505"/>
      <c r="I5" s="505"/>
      <c r="J5" s="505"/>
      <c r="K5" s="505"/>
      <c r="L5" s="505"/>
      <c r="M5" s="505"/>
      <c r="N5" s="505"/>
      <c r="O5" s="505"/>
      <c r="P5" s="505"/>
    </row>
    <row r="6" spans="1:16" x14ac:dyDescent="0.2">
      <c r="A6" s="47"/>
      <c r="B6" s="47"/>
      <c r="C6" s="129" t="s">
        <v>100</v>
      </c>
      <c r="D6" s="50" t="s">
        <v>97</v>
      </c>
      <c r="E6" s="51"/>
      <c r="F6" s="51"/>
      <c r="G6" s="51"/>
      <c r="H6" s="51"/>
      <c r="I6" s="51"/>
      <c r="J6" s="51"/>
      <c r="K6" s="51"/>
      <c r="L6" s="51"/>
      <c r="M6" s="51"/>
      <c r="N6" s="51"/>
      <c r="O6" s="51"/>
      <c r="P6" s="53"/>
    </row>
    <row r="7" spans="1:16" x14ac:dyDescent="0.2">
      <c r="A7" s="8" t="s">
        <v>745</v>
      </c>
      <c r="B7" s="96"/>
      <c r="D7" s="50"/>
      <c r="E7" s="50"/>
      <c r="F7" s="50"/>
      <c r="G7" s="50"/>
      <c r="H7" s="50"/>
      <c r="I7" s="50"/>
      <c r="J7" s="50"/>
      <c r="K7" s="51"/>
      <c r="L7" s="51"/>
      <c r="M7" s="51"/>
      <c r="N7" s="51"/>
      <c r="O7" s="47" t="s">
        <v>41</v>
      </c>
      <c r="P7" s="56">
        <f>P95</f>
        <v>0</v>
      </c>
    </row>
    <row r="8" spans="1:16" x14ac:dyDescent="0.2">
      <c r="A8" s="57"/>
      <c r="B8" s="57"/>
      <c r="D8" s="58"/>
      <c r="E8" s="51"/>
      <c r="F8" s="51"/>
      <c r="G8" s="51"/>
      <c r="H8" s="51"/>
      <c r="I8" s="51"/>
      <c r="J8" s="51"/>
      <c r="K8" s="51"/>
      <c r="N8" s="51"/>
      <c r="O8" s="51"/>
      <c r="P8" s="53"/>
    </row>
    <row r="9" spans="1:16" ht="15" customHeight="1" x14ac:dyDescent="0.2">
      <c r="A9" s="59"/>
      <c r="B9" s="59"/>
      <c r="J9" s="62"/>
      <c r="K9" s="62"/>
      <c r="L9" s="506" t="s">
        <v>736</v>
      </c>
      <c r="M9" s="506"/>
      <c r="N9" s="506"/>
      <c r="O9" s="506"/>
      <c r="P9" s="62"/>
    </row>
    <row r="10" spans="1:16" ht="15" x14ac:dyDescent="0.2">
      <c r="A10" s="59"/>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v>0</v>
      </c>
      <c r="C13" s="65" t="str">
        <f>kops1!C31</f>
        <v>Iekšējie apdares darbi</v>
      </c>
      <c r="D13" s="66"/>
      <c r="E13" s="67"/>
      <c r="F13" s="76">
        <v>0</v>
      </c>
      <c r="G13" s="76">
        <v>0</v>
      </c>
      <c r="H13" s="69"/>
      <c r="I13" s="70"/>
      <c r="J13" s="70"/>
      <c r="K13" s="75">
        <f t="shared" ref="K13" si="0">SUM(H13:J13)</f>
        <v>0</v>
      </c>
      <c r="L13" s="76">
        <f t="shared" ref="L13" si="1">ROUND(F13*E13,2)</f>
        <v>0</v>
      </c>
      <c r="M13" s="75">
        <f t="shared" ref="M13" si="2">ROUND(H13*E13,2)</f>
        <v>0</v>
      </c>
      <c r="N13" s="75">
        <f t="shared" ref="N13" si="3">ROUND(I13*E13,2)</f>
        <v>0</v>
      </c>
      <c r="O13" s="75">
        <f t="shared" ref="O13" si="4">ROUND(J13*E13,2)</f>
        <v>0</v>
      </c>
      <c r="P13" s="77">
        <f t="shared" ref="P13" si="5">SUM(M13:O13)</f>
        <v>0</v>
      </c>
    </row>
    <row r="14" spans="1:16" s="61" customFormat="1" x14ac:dyDescent="0.2">
      <c r="A14" s="218">
        <v>0</v>
      </c>
      <c r="B14" s="237"/>
      <c r="C14" s="295" t="s">
        <v>621</v>
      </c>
      <c r="D14" s="67"/>
      <c r="E14" s="205"/>
      <c r="F14" s="212"/>
      <c r="G14" s="296">
        <v>0</v>
      </c>
      <c r="H14" s="258">
        <f t="shared" ref="H14" si="6">ROUND(F14*G14,2)</f>
        <v>0</v>
      </c>
      <c r="I14" s="258">
        <v>0</v>
      </c>
      <c r="J14" s="258">
        <v>0</v>
      </c>
      <c r="K14" s="75">
        <f>SUM(H14:J14)</f>
        <v>0</v>
      </c>
      <c r="L14" s="76">
        <f>ROUND(F14*E14,2)</f>
        <v>0</v>
      </c>
      <c r="M14" s="75">
        <f>ROUND(H14*E14,2)</f>
        <v>0</v>
      </c>
      <c r="N14" s="75">
        <f>ROUND(I14*E14,2)</f>
        <v>0</v>
      </c>
      <c r="O14" s="75">
        <f>ROUND(J14*E14,2)</f>
        <v>0</v>
      </c>
      <c r="P14" s="77">
        <f>SUM(M14:O14)</f>
        <v>0</v>
      </c>
    </row>
    <row r="15" spans="1:16" s="61" customFormat="1" ht="30" x14ac:dyDescent="0.2">
      <c r="A15" s="269">
        <v>1</v>
      </c>
      <c r="B15" s="270" t="s">
        <v>211</v>
      </c>
      <c r="C15" s="230" t="s">
        <v>622</v>
      </c>
      <c r="D15" s="297" t="s">
        <v>207</v>
      </c>
      <c r="E15" s="334">
        <v>130</v>
      </c>
      <c r="F15" s="212"/>
      <c r="G15" s="212"/>
      <c r="H15" s="258"/>
      <c r="I15" s="258"/>
      <c r="J15" s="258"/>
      <c r="K15" s="75">
        <f t="shared" ref="K15:K77" si="7">SUM(H15:J15)</f>
        <v>0</v>
      </c>
      <c r="L15" s="76">
        <f t="shared" ref="L15:L77" si="8">ROUND(F15*E15,2)</f>
        <v>0</v>
      </c>
      <c r="M15" s="75">
        <f t="shared" ref="M15:M77" si="9">ROUND(H15*E15,2)</f>
        <v>0</v>
      </c>
      <c r="N15" s="75">
        <f t="shared" ref="N15:N77" si="10">ROUND(I15*E15,2)</f>
        <v>0</v>
      </c>
      <c r="O15" s="75">
        <f t="shared" ref="O15:O77" si="11">ROUND(J15*E15,2)</f>
        <v>0</v>
      </c>
      <c r="P15" s="77">
        <f t="shared" ref="P15:P77" si="12">SUM(M15:O15)</f>
        <v>0</v>
      </c>
    </row>
    <row r="16" spans="1:16" s="61" customFormat="1" ht="30" x14ac:dyDescent="0.2">
      <c r="A16" s="218">
        <v>2</v>
      </c>
      <c r="B16" s="229" t="s">
        <v>205</v>
      </c>
      <c r="C16" s="230" t="s">
        <v>623</v>
      </c>
      <c r="D16" s="233" t="s">
        <v>207</v>
      </c>
      <c r="E16" s="205">
        <v>422.8</v>
      </c>
      <c r="F16" s="213"/>
      <c r="G16" s="212"/>
      <c r="H16" s="214"/>
      <c r="I16" s="214"/>
      <c r="J16" s="214"/>
      <c r="K16" s="75">
        <f t="shared" si="7"/>
        <v>0</v>
      </c>
      <c r="L16" s="76">
        <f t="shared" si="8"/>
        <v>0</v>
      </c>
      <c r="M16" s="75">
        <f t="shared" si="9"/>
        <v>0</v>
      </c>
      <c r="N16" s="75">
        <f t="shared" si="10"/>
        <v>0</v>
      </c>
      <c r="O16" s="75">
        <f t="shared" si="11"/>
        <v>0</v>
      </c>
      <c r="P16" s="77">
        <f t="shared" si="12"/>
        <v>0</v>
      </c>
    </row>
    <row r="17" spans="1:16" s="61" customFormat="1" ht="30" x14ac:dyDescent="0.2">
      <c r="A17" s="218">
        <v>3</v>
      </c>
      <c r="B17" s="229" t="s">
        <v>205</v>
      </c>
      <c r="C17" s="239" t="s">
        <v>624</v>
      </c>
      <c r="D17" s="233" t="s">
        <v>207</v>
      </c>
      <c r="E17" s="205">
        <v>179.8</v>
      </c>
      <c r="F17" s="213"/>
      <c r="G17" s="212"/>
      <c r="H17" s="214"/>
      <c r="I17" s="214"/>
      <c r="J17" s="214"/>
      <c r="K17" s="75">
        <f t="shared" si="7"/>
        <v>0</v>
      </c>
      <c r="L17" s="76">
        <f t="shared" si="8"/>
        <v>0</v>
      </c>
      <c r="M17" s="75">
        <f t="shared" si="9"/>
        <v>0</v>
      </c>
      <c r="N17" s="75">
        <f t="shared" si="10"/>
        <v>0</v>
      </c>
      <c r="O17" s="75">
        <f t="shared" si="11"/>
        <v>0</v>
      </c>
      <c r="P17" s="77">
        <f t="shared" si="12"/>
        <v>0</v>
      </c>
    </row>
    <row r="18" spans="1:16" s="61" customFormat="1" ht="30" x14ac:dyDescent="0.2">
      <c r="A18" s="218">
        <v>4</v>
      </c>
      <c r="B18" s="229" t="s">
        <v>205</v>
      </c>
      <c r="C18" s="239" t="s">
        <v>625</v>
      </c>
      <c r="D18" s="233" t="s">
        <v>207</v>
      </c>
      <c r="E18" s="205">
        <v>135</v>
      </c>
      <c r="F18" s="213"/>
      <c r="G18" s="212"/>
      <c r="H18" s="214"/>
      <c r="I18" s="214"/>
      <c r="J18" s="214"/>
      <c r="K18" s="75">
        <f t="shared" si="7"/>
        <v>0</v>
      </c>
      <c r="L18" s="76">
        <f t="shared" si="8"/>
        <v>0</v>
      </c>
      <c r="M18" s="75">
        <f t="shared" si="9"/>
        <v>0</v>
      </c>
      <c r="N18" s="75">
        <f t="shared" si="10"/>
        <v>0</v>
      </c>
      <c r="O18" s="75">
        <f t="shared" si="11"/>
        <v>0</v>
      </c>
      <c r="P18" s="77">
        <f t="shared" si="12"/>
        <v>0</v>
      </c>
    </row>
    <row r="19" spans="1:16" s="61" customFormat="1" ht="30" x14ac:dyDescent="0.2">
      <c r="A19" s="218">
        <v>5</v>
      </c>
      <c r="B19" s="229" t="s">
        <v>205</v>
      </c>
      <c r="C19" s="230" t="s">
        <v>626</v>
      </c>
      <c r="D19" s="233" t="s">
        <v>207</v>
      </c>
      <c r="E19" s="205">
        <v>436.2</v>
      </c>
      <c r="F19" s="213"/>
      <c r="G19" s="212"/>
      <c r="H19" s="214"/>
      <c r="I19" s="214"/>
      <c r="J19" s="214"/>
      <c r="K19" s="75">
        <f t="shared" si="7"/>
        <v>0</v>
      </c>
      <c r="L19" s="76">
        <f t="shared" si="8"/>
        <v>0</v>
      </c>
      <c r="M19" s="75">
        <f t="shared" si="9"/>
        <v>0</v>
      </c>
      <c r="N19" s="75">
        <f t="shared" si="10"/>
        <v>0</v>
      </c>
      <c r="O19" s="75">
        <f t="shared" si="11"/>
        <v>0</v>
      </c>
      <c r="P19" s="77">
        <f t="shared" si="12"/>
        <v>0</v>
      </c>
    </row>
    <row r="20" spans="1:16" s="61" customFormat="1" ht="30" x14ac:dyDescent="0.2">
      <c r="A20" s="218">
        <v>6</v>
      </c>
      <c r="B20" s="229" t="s">
        <v>205</v>
      </c>
      <c r="C20" s="230" t="s">
        <v>627</v>
      </c>
      <c r="D20" s="233" t="s">
        <v>207</v>
      </c>
      <c r="E20" s="205">
        <v>90</v>
      </c>
      <c r="F20" s="213"/>
      <c r="G20" s="212"/>
      <c r="H20" s="214"/>
      <c r="I20" s="214"/>
      <c r="J20" s="214"/>
      <c r="K20" s="75">
        <f t="shared" si="7"/>
        <v>0</v>
      </c>
      <c r="L20" s="76">
        <f t="shared" si="8"/>
        <v>0</v>
      </c>
      <c r="M20" s="75">
        <f t="shared" si="9"/>
        <v>0</v>
      </c>
      <c r="N20" s="75">
        <f t="shared" si="10"/>
        <v>0</v>
      </c>
      <c r="O20" s="75">
        <f t="shared" si="11"/>
        <v>0</v>
      </c>
      <c r="P20" s="77">
        <f t="shared" si="12"/>
        <v>0</v>
      </c>
    </row>
    <row r="21" spans="1:16" s="61" customFormat="1" ht="45" x14ac:dyDescent="0.2">
      <c r="A21" s="218">
        <v>7</v>
      </c>
      <c r="B21" s="229" t="s">
        <v>205</v>
      </c>
      <c r="C21" s="230" t="s">
        <v>628</v>
      </c>
      <c r="D21" s="233" t="s">
        <v>207</v>
      </c>
      <c r="E21" s="205">
        <v>112</v>
      </c>
      <c r="F21" s="213"/>
      <c r="G21" s="212"/>
      <c r="H21" s="214"/>
      <c r="I21" s="214"/>
      <c r="J21" s="214"/>
      <c r="K21" s="75">
        <f t="shared" si="7"/>
        <v>0</v>
      </c>
      <c r="L21" s="76">
        <f t="shared" si="8"/>
        <v>0</v>
      </c>
      <c r="M21" s="75">
        <f t="shared" si="9"/>
        <v>0</v>
      </c>
      <c r="N21" s="75">
        <f t="shared" si="10"/>
        <v>0</v>
      </c>
      <c r="O21" s="75">
        <f t="shared" si="11"/>
        <v>0</v>
      </c>
      <c r="P21" s="77">
        <f t="shared" si="12"/>
        <v>0</v>
      </c>
    </row>
    <row r="22" spans="1:16" s="61" customFormat="1" ht="30" x14ac:dyDescent="0.2">
      <c r="A22" s="218">
        <v>8</v>
      </c>
      <c r="B22" s="229" t="s">
        <v>205</v>
      </c>
      <c r="C22" s="230" t="s">
        <v>629</v>
      </c>
      <c r="D22" s="233" t="s">
        <v>62</v>
      </c>
      <c r="E22" s="205">
        <v>54</v>
      </c>
      <c r="F22" s="213"/>
      <c r="G22" s="212"/>
      <c r="H22" s="214"/>
      <c r="I22" s="214"/>
      <c r="J22" s="214"/>
      <c r="K22" s="75">
        <f t="shared" si="7"/>
        <v>0</v>
      </c>
      <c r="L22" s="76">
        <f t="shared" si="8"/>
        <v>0</v>
      </c>
      <c r="M22" s="75">
        <f t="shared" si="9"/>
        <v>0</v>
      </c>
      <c r="N22" s="75">
        <f t="shared" si="10"/>
        <v>0</v>
      </c>
      <c r="O22" s="75">
        <f t="shared" si="11"/>
        <v>0</v>
      </c>
      <c r="P22" s="77">
        <f t="shared" si="12"/>
        <v>0</v>
      </c>
    </row>
    <row r="23" spans="1:16" s="61" customFormat="1" ht="30" x14ac:dyDescent="0.2">
      <c r="A23" s="218">
        <v>9</v>
      </c>
      <c r="B23" s="229" t="s">
        <v>205</v>
      </c>
      <c r="C23" s="230" t="s">
        <v>630</v>
      </c>
      <c r="D23" s="233" t="s">
        <v>207</v>
      </c>
      <c r="E23" s="205">
        <v>24.24</v>
      </c>
      <c r="F23" s="213"/>
      <c r="G23" s="212"/>
      <c r="H23" s="214"/>
      <c r="I23" s="214"/>
      <c r="J23" s="214"/>
      <c r="K23" s="75">
        <f t="shared" si="7"/>
        <v>0</v>
      </c>
      <c r="L23" s="76">
        <f t="shared" si="8"/>
        <v>0</v>
      </c>
      <c r="M23" s="75">
        <f t="shared" si="9"/>
        <v>0</v>
      </c>
      <c r="N23" s="75">
        <f t="shared" si="10"/>
        <v>0</v>
      </c>
      <c r="O23" s="75">
        <f t="shared" si="11"/>
        <v>0</v>
      </c>
      <c r="P23" s="77">
        <f t="shared" si="12"/>
        <v>0</v>
      </c>
    </row>
    <row r="24" spans="1:16" s="61" customFormat="1" ht="15" x14ac:dyDescent="0.2">
      <c r="A24" s="218">
        <v>10</v>
      </c>
      <c r="B24" s="298" t="s">
        <v>205</v>
      </c>
      <c r="C24" s="239" t="s">
        <v>631</v>
      </c>
      <c r="D24" s="233" t="s">
        <v>207</v>
      </c>
      <c r="E24" s="205">
        <v>179.9</v>
      </c>
      <c r="F24" s="213"/>
      <c r="G24" s="212"/>
      <c r="H24" s="214"/>
      <c r="I24" s="214"/>
      <c r="J24" s="214"/>
      <c r="K24" s="75">
        <f t="shared" si="7"/>
        <v>0</v>
      </c>
      <c r="L24" s="76">
        <f t="shared" si="8"/>
        <v>0</v>
      </c>
      <c r="M24" s="75">
        <f t="shared" si="9"/>
        <v>0</v>
      </c>
      <c r="N24" s="75">
        <f t="shared" si="10"/>
        <v>0</v>
      </c>
      <c r="O24" s="75">
        <f t="shared" si="11"/>
        <v>0</v>
      </c>
      <c r="P24" s="77">
        <f t="shared" si="12"/>
        <v>0</v>
      </c>
    </row>
    <row r="25" spans="1:16" s="61" customFormat="1" ht="30" x14ac:dyDescent="0.2">
      <c r="A25" s="252">
        <v>11</v>
      </c>
      <c r="B25" s="238" t="s">
        <v>229</v>
      </c>
      <c r="C25" s="239" t="s">
        <v>632</v>
      </c>
      <c r="D25" s="67" t="s">
        <v>207</v>
      </c>
      <c r="E25" s="205">
        <v>1323.96</v>
      </c>
      <c r="F25" s="226"/>
      <c r="G25" s="212"/>
      <c r="H25" s="299"/>
      <c r="I25" s="299"/>
      <c r="J25" s="299"/>
      <c r="K25" s="75">
        <f t="shared" si="7"/>
        <v>0</v>
      </c>
      <c r="L25" s="76">
        <f t="shared" si="8"/>
        <v>0</v>
      </c>
      <c r="M25" s="75">
        <f t="shared" si="9"/>
        <v>0</v>
      </c>
      <c r="N25" s="75">
        <f t="shared" si="10"/>
        <v>0</v>
      </c>
      <c r="O25" s="75">
        <f t="shared" si="11"/>
        <v>0</v>
      </c>
      <c r="P25" s="77">
        <f t="shared" si="12"/>
        <v>0</v>
      </c>
    </row>
    <row r="26" spans="1:16" s="61" customFormat="1" x14ac:dyDescent="0.2">
      <c r="A26" s="252">
        <v>0</v>
      </c>
      <c r="B26" s="238">
        <v>0</v>
      </c>
      <c r="C26" s="216" t="s">
        <v>259</v>
      </c>
      <c r="D26" s="211" t="s">
        <v>199</v>
      </c>
      <c r="E26" s="205">
        <f>0.4*1.1*E25</f>
        <v>582.54240000000004</v>
      </c>
      <c r="F26" s="226"/>
      <c r="G26" s="226"/>
      <c r="H26" s="299"/>
      <c r="I26" s="299"/>
      <c r="J26" s="299"/>
      <c r="K26" s="75">
        <f t="shared" si="7"/>
        <v>0</v>
      </c>
      <c r="L26" s="76">
        <f t="shared" si="8"/>
        <v>0</v>
      </c>
      <c r="M26" s="75">
        <f t="shared" si="9"/>
        <v>0</v>
      </c>
      <c r="N26" s="75">
        <f t="shared" si="10"/>
        <v>0</v>
      </c>
      <c r="O26" s="75">
        <f t="shared" si="11"/>
        <v>0</v>
      </c>
      <c r="P26" s="77">
        <f t="shared" si="12"/>
        <v>0</v>
      </c>
    </row>
    <row r="27" spans="1:16" s="61" customFormat="1" x14ac:dyDescent="0.2">
      <c r="A27" s="252">
        <v>0</v>
      </c>
      <c r="B27" s="238">
        <v>0</v>
      </c>
      <c r="C27" s="216" t="s">
        <v>243</v>
      </c>
      <c r="D27" s="67" t="s">
        <v>210</v>
      </c>
      <c r="E27" s="205">
        <f>0.07*1.1*E25</f>
        <v>101.94492000000002</v>
      </c>
      <c r="F27" s="226"/>
      <c r="G27" s="226"/>
      <c r="H27" s="299"/>
      <c r="I27" s="299"/>
      <c r="J27" s="299"/>
      <c r="K27" s="75">
        <f t="shared" si="7"/>
        <v>0</v>
      </c>
      <c r="L27" s="76">
        <f t="shared" si="8"/>
        <v>0</v>
      </c>
      <c r="M27" s="75">
        <f t="shared" si="9"/>
        <v>0</v>
      </c>
      <c r="N27" s="75">
        <f t="shared" si="10"/>
        <v>0</v>
      </c>
      <c r="O27" s="75">
        <f t="shared" si="11"/>
        <v>0</v>
      </c>
      <c r="P27" s="77">
        <f t="shared" si="12"/>
        <v>0</v>
      </c>
    </row>
    <row r="28" spans="1:16" s="61" customFormat="1" x14ac:dyDescent="0.2">
      <c r="A28" s="252">
        <v>0</v>
      </c>
      <c r="B28" s="238">
        <v>0</v>
      </c>
      <c r="C28" s="216" t="s">
        <v>633</v>
      </c>
      <c r="D28" s="211" t="s">
        <v>62</v>
      </c>
      <c r="E28" s="205">
        <f>0.7*1.1*E25</f>
        <v>1019.4492</v>
      </c>
      <c r="F28" s="226"/>
      <c r="G28" s="226"/>
      <c r="H28" s="299"/>
      <c r="I28" s="299"/>
      <c r="J28" s="299"/>
      <c r="K28" s="75">
        <f t="shared" si="7"/>
        <v>0</v>
      </c>
      <c r="L28" s="76">
        <f t="shared" si="8"/>
        <v>0</v>
      </c>
      <c r="M28" s="75">
        <f t="shared" si="9"/>
        <v>0</v>
      </c>
      <c r="N28" s="75">
        <f t="shared" si="10"/>
        <v>0</v>
      </c>
      <c r="O28" s="75">
        <f t="shared" si="11"/>
        <v>0</v>
      </c>
      <c r="P28" s="77">
        <f t="shared" si="12"/>
        <v>0</v>
      </c>
    </row>
    <row r="29" spans="1:16" s="61" customFormat="1" x14ac:dyDescent="0.2">
      <c r="A29" s="252">
        <v>0</v>
      </c>
      <c r="B29" s="238">
        <v>0</v>
      </c>
      <c r="C29" s="216" t="s">
        <v>634</v>
      </c>
      <c r="D29" s="211" t="s">
        <v>62</v>
      </c>
      <c r="E29" s="205">
        <f>0.7*E25*1.1</f>
        <v>1019.4492</v>
      </c>
      <c r="F29" s="226"/>
      <c r="G29" s="226"/>
      <c r="H29" s="299"/>
      <c r="I29" s="299"/>
      <c r="J29" s="299"/>
      <c r="K29" s="75">
        <f t="shared" si="7"/>
        <v>0</v>
      </c>
      <c r="L29" s="76">
        <f t="shared" si="8"/>
        <v>0</v>
      </c>
      <c r="M29" s="75">
        <f t="shared" si="9"/>
        <v>0</v>
      </c>
      <c r="N29" s="75">
        <f t="shared" si="10"/>
        <v>0</v>
      </c>
      <c r="O29" s="75">
        <f t="shared" si="11"/>
        <v>0</v>
      </c>
      <c r="P29" s="77">
        <f t="shared" si="12"/>
        <v>0</v>
      </c>
    </row>
    <row r="30" spans="1:16" s="61" customFormat="1" x14ac:dyDescent="0.2">
      <c r="A30" s="252">
        <v>0</v>
      </c>
      <c r="B30" s="238">
        <v>0</v>
      </c>
      <c r="C30" s="216" t="s">
        <v>635</v>
      </c>
      <c r="D30" s="211" t="s">
        <v>62</v>
      </c>
      <c r="E30" s="205">
        <f>0.7*E25*1.1</f>
        <v>1019.4492</v>
      </c>
      <c r="F30" s="226"/>
      <c r="G30" s="226"/>
      <c r="H30" s="299"/>
      <c r="I30" s="299"/>
      <c r="J30" s="299"/>
      <c r="K30" s="75">
        <f t="shared" si="7"/>
        <v>0</v>
      </c>
      <c r="L30" s="76">
        <f t="shared" si="8"/>
        <v>0</v>
      </c>
      <c r="M30" s="75">
        <f t="shared" si="9"/>
        <v>0</v>
      </c>
      <c r="N30" s="75">
        <f t="shared" si="10"/>
        <v>0</v>
      </c>
      <c r="O30" s="75">
        <f t="shared" si="11"/>
        <v>0</v>
      </c>
      <c r="P30" s="77">
        <f t="shared" si="12"/>
        <v>0</v>
      </c>
    </row>
    <row r="31" spans="1:16" s="61" customFormat="1" x14ac:dyDescent="0.2">
      <c r="A31" s="252">
        <v>0</v>
      </c>
      <c r="B31" s="238">
        <v>0</v>
      </c>
      <c r="C31" s="216" t="s">
        <v>261</v>
      </c>
      <c r="D31" s="211" t="s">
        <v>199</v>
      </c>
      <c r="E31" s="205">
        <f>3*E25</f>
        <v>3971.88</v>
      </c>
      <c r="F31" s="226"/>
      <c r="G31" s="226"/>
      <c r="H31" s="299"/>
      <c r="I31" s="299"/>
      <c r="J31" s="299"/>
      <c r="K31" s="75">
        <f t="shared" si="7"/>
        <v>0</v>
      </c>
      <c r="L31" s="76">
        <f t="shared" si="8"/>
        <v>0</v>
      </c>
      <c r="M31" s="75">
        <f t="shared" si="9"/>
        <v>0</v>
      </c>
      <c r="N31" s="75">
        <f t="shared" si="10"/>
        <v>0</v>
      </c>
      <c r="O31" s="75">
        <f t="shared" si="11"/>
        <v>0</v>
      </c>
      <c r="P31" s="77">
        <f t="shared" si="12"/>
        <v>0</v>
      </c>
    </row>
    <row r="32" spans="1:16" s="61" customFormat="1" x14ac:dyDescent="0.2">
      <c r="A32" s="252">
        <v>0</v>
      </c>
      <c r="B32" s="238">
        <v>0</v>
      </c>
      <c r="C32" s="216" t="s">
        <v>636</v>
      </c>
      <c r="D32" s="211" t="s">
        <v>62</v>
      </c>
      <c r="E32" s="205">
        <f>1.7*E25</f>
        <v>2250.732</v>
      </c>
      <c r="F32" s="226"/>
      <c r="G32" s="226"/>
      <c r="H32" s="299"/>
      <c r="I32" s="299"/>
      <c r="J32" s="299"/>
      <c r="K32" s="75">
        <f t="shared" si="7"/>
        <v>0</v>
      </c>
      <c r="L32" s="76">
        <f t="shared" si="8"/>
        <v>0</v>
      </c>
      <c r="M32" s="75">
        <f t="shared" si="9"/>
        <v>0</v>
      </c>
      <c r="N32" s="75">
        <f t="shared" si="10"/>
        <v>0</v>
      </c>
      <c r="O32" s="75">
        <f t="shared" si="11"/>
        <v>0</v>
      </c>
      <c r="P32" s="77">
        <f t="shared" si="12"/>
        <v>0</v>
      </c>
    </row>
    <row r="33" spans="1:16" s="61" customFormat="1" x14ac:dyDescent="0.2">
      <c r="A33" s="252">
        <v>0</v>
      </c>
      <c r="B33" s="238">
        <v>0</v>
      </c>
      <c r="C33" s="216" t="s">
        <v>637</v>
      </c>
      <c r="D33" s="211" t="s">
        <v>62</v>
      </c>
      <c r="E33" s="205">
        <f>0.2*E25*1.1</f>
        <v>291.27120000000008</v>
      </c>
      <c r="F33" s="226"/>
      <c r="G33" s="226"/>
      <c r="H33" s="299"/>
      <c r="I33" s="299"/>
      <c r="J33" s="299"/>
      <c r="K33" s="75">
        <f t="shared" si="7"/>
        <v>0</v>
      </c>
      <c r="L33" s="76">
        <f t="shared" si="8"/>
        <v>0</v>
      </c>
      <c r="M33" s="75">
        <f t="shared" si="9"/>
        <v>0</v>
      </c>
      <c r="N33" s="75">
        <f t="shared" si="10"/>
        <v>0</v>
      </c>
      <c r="O33" s="75">
        <f t="shared" si="11"/>
        <v>0</v>
      </c>
      <c r="P33" s="77">
        <f t="shared" si="12"/>
        <v>0</v>
      </c>
    </row>
    <row r="34" spans="1:16" s="61" customFormat="1" ht="15" x14ac:dyDescent="0.2">
      <c r="A34" s="252">
        <v>12</v>
      </c>
      <c r="B34" s="238" t="s">
        <v>229</v>
      </c>
      <c r="C34" s="239" t="s">
        <v>266</v>
      </c>
      <c r="D34" s="67" t="s">
        <v>207</v>
      </c>
      <c r="E34" s="205">
        <v>1220.96</v>
      </c>
      <c r="F34" s="226"/>
      <c r="G34" s="226"/>
      <c r="H34" s="299"/>
      <c r="I34" s="299"/>
      <c r="J34" s="299"/>
      <c r="K34" s="75">
        <f t="shared" si="7"/>
        <v>0</v>
      </c>
      <c r="L34" s="76">
        <f t="shared" si="8"/>
        <v>0</v>
      </c>
      <c r="M34" s="75">
        <f t="shared" si="9"/>
        <v>0</v>
      </c>
      <c r="N34" s="75">
        <f t="shared" si="10"/>
        <v>0</v>
      </c>
      <c r="O34" s="75">
        <f t="shared" si="11"/>
        <v>0</v>
      </c>
      <c r="P34" s="77">
        <f t="shared" si="12"/>
        <v>0</v>
      </c>
    </row>
    <row r="35" spans="1:16" s="61" customFormat="1" x14ac:dyDescent="0.2">
      <c r="A35" s="252">
        <v>0</v>
      </c>
      <c r="B35" s="238">
        <v>0</v>
      </c>
      <c r="C35" s="216" t="s">
        <v>638</v>
      </c>
      <c r="D35" s="67" t="s">
        <v>207</v>
      </c>
      <c r="E35" s="205">
        <f>1.05*E34</f>
        <v>1282.008</v>
      </c>
      <c r="F35" s="226"/>
      <c r="G35" s="226"/>
      <c r="H35" s="299"/>
      <c r="I35" s="299"/>
      <c r="J35" s="299"/>
      <c r="K35" s="75">
        <f t="shared" si="7"/>
        <v>0</v>
      </c>
      <c r="L35" s="76">
        <f t="shared" si="8"/>
        <v>0</v>
      </c>
      <c r="M35" s="75">
        <f t="shared" si="9"/>
        <v>0</v>
      </c>
      <c r="N35" s="75">
        <f t="shared" si="10"/>
        <v>0</v>
      </c>
      <c r="O35" s="75">
        <f t="shared" si="11"/>
        <v>0</v>
      </c>
      <c r="P35" s="77">
        <f t="shared" si="12"/>
        <v>0</v>
      </c>
    </row>
    <row r="36" spans="1:16" s="61" customFormat="1" x14ac:dyDescent="0.2">
      <c r="A36" s="252">
        <v>0</v>
      </c>
      <c r="B36" s="238">
        <v>0</v>
      </c>
      <c r="C36" s="216" t="s">
        <v>250</v>
      </c>
      <c r="D36" s="67" t="s">
        <v>210</v>
      </c>
      <c r="E36" s="205">
        <f>0.3*E34</f>
        <v>366.28800000000001</v>
      </c>
      <c r="F36" s="226"/>
      <c r="G36" s="226"/>
      <c r="H36" s="299"/>
      <c r="I36" s="299"/>
      <c r="J36" s="299"/>
      <c r="K36" s="75">
        <f t="shared" si="7"/>
        <v>0</v>
      </c>
      <c r="L36" s="76">
        <f t="shared" si="8"/>
        <v>0</v>
      </c>
      <c r="M36" s="75">
        <f t="shared" si="9"/>
        <v>0</v>
      </c>
      <c r="N36" s="75">
        <f t="shared" si="10"/>
        <v>0</v>
      </c>
      <c r="O36" s="75">
        <f t="shared" si="11"/>
        <v>0</v>
      </c>
      <c r="P36" s="77">
        <f t="shared" si="12"/>
        <v>0</v>
      </c>
    </row>
    <row r="37" spans="1:16" s="61" customFormat="1" ht="30" x14ac:dyDescent="0.2">
      <c r="A37" s="252">
        <v>13</v>
      </c>
      <c r="B37" s="238" t="s">
        <v>229</v>
      </c>
      <c r="C37" s="239" t="s">
        <v>639</v>
      </c>
      <c r="D37" s="67" t="s">
        <v>207</v>
      </c>
      <c r="E37" s="205">
        <v>103</v>
      </c>
      <c r="F37" s="226"/>
      <c r="G37" s="226"/>
      <c r="H37" s="299"/>
      <c r="I37" s="299"/>
      <c r="J37" s="299"/>
      <c r="K37" s="75">
        <f t="shared" si="7"/>
        <v>0</v>
      </c>
      <c r="L37" s="76">
        <f t="shared" si="8"/>
        <v>0</v>
      </c>
      <c r="M37" s="75">
        <f t="shared" si="9"/>
        <v>0</v>
      </c>
      <c r="N37" s="75">
        <f t="shared" si="10"/>
        <v>0</v>
      </c>
      <c r="O37" s="75">
        <f t="shared" si="11"/>
        <v>0</v>
      </c>
      <c r="P37" s="77">
        <f t="shared" si="12"/>
        <v>0</v>
      </c>
    </row>
    <row r="38" spans="1:16" s="61" customFormat="1" x14ac:dyDescent="0.2">
      <c r="A38" s="252">
        <v>0</v>
      </c>
      <c r="B38" s="238">
        <v>0</v>
      </c>
      <c r="C38" s="216" t="s">
        <v>640</v>
      </c>
      <c r="D38" s="67" t="s">
        <v>207</v>
      </c>
      <c r="E38" s="205">
        <f>1.05*E37</f>
        <v>108.15</v>
      </c>
      <c r="F38" s="226"/>
      <c r="G38" s="226"/>
      <c r="H38" s="299"/>
      <c r="I38" s="299"/>
      <c r="J38" s="299"/>
      <c r="K38" s="75">
        <f t="shared" si="7"/>
        <v>0</v>
      </c>
      <c r="L38" s="76">
        <f t="shared" si="8"/>
        <v>0</v>
      </c>
      <c r="M38" s="75">
        <f t="shared" si="9"/>
        <v>0</v>
      </c>
      <c r="N38" s="75">
        <f t="shared" si="10"/>
        <v>0</v>
      </c>
      <c r="O38" s="75">
        <f t="shared" si="11"/>
        <v>0</v>
      </c>
      <c r="P38" s="77">
        <f t="shared" si="12"/>
        <v>0</v>
      </c>
    </row>
    <row r="39" spans="1:16" s="61" customFormat="1" x14ac:dyDescent="0.2">
      <c r="A39" s="252">
        <v>0</v>
      </c>
      <c r="B39" s="238">
        <v>0</v>
      </c>
      <c r="C39" s="216" t="s">
        <v>250</v>
      </c>
      <c r="D39" s="67" t="s">
        <v>210</v>
      </c>
      <c r="E39" s="205">
        <f>0.3*E37</f>
        <v>30.9</v>
      </c>
      <c r="F39" s="226"/>
      <c r="G39" s="226"/>
      <c r="H39" s="299"/>
      <c r="I39" s="299"/>
      <c r="J39" s="299"/>
      <c r="K39" s="75">
        <f t="shared" si="7"/>
        <v>0</v>
      </c>
      <c r="L39" s="76">
        <f t="shared" si="8"/>
        <v>0</v>
      </c>
      <c r="M39" s="75">
        <f t="shared" si="9"/>
        <v>0</v>
      </c>
      <c r="N39" s="75">
        <f t="shared" si="10"/>
        <v>0</v>
      </c>
      <c r="O39" s="75">
        <f t="shared" si="11"/>
        <v>0</v>
      </c>
      <c r="P39" s="77">
        <f t="shared" si="12"/>
        <v>0</v>
      </c>
    </row>
    <row r="40" spans="1:16" s="61" customFormat="1" x14ac:dyDescent="0.2">
      <c r="A40" s="218">
        <v>14</v>
      </c>
      <c r="B40" s="238" t="s">
        <v>229</v>
      </c>
      <c r="C40" s="263" t="s">
        <v>641</v>
      </c>
      <c r="D40" s="67" t="s">
        <v>207</v>
      </c>
      <c r="E40" s="205">
        <v>535.5</v>
      </c>
      <c r="F40" s="226"/>
      <c r="G40" s="226"/>
      <c r="H40" s="299"/>
      <c r="I40" s="299"/>
      <c r="J40" s="299"/>
      <c r="K40" s="75">
        <f t="shared" si="7"/>
        <v>0</v>
      </c>
      <c r="L40" s="76">
        <f t="shared" si="8"/>
        <v>0</v>
      </c>
      <c r="M40" s="75">
        <f t="shared" si="9"/>
        <v>0</v>
      </c>
      <c r="N40" s="75">
        <f t="shared" si="10"/>
        <v>0</v>
      </c>
      <c r="O40" s="75">
        <f t="shared" si="11"/>
        <v>0</v>
      </c>
      <c r="P40" s="77">
        <f t="shared" si="12"/>
        <v>0</v>
      </c>
    </row>
    <row r="41" spans="1:16" s="61" customFormat="1" x14ac:dyDescent="0.2">
      <c r="A41" s="218">
        <v>0</v>
      </c>
      <c r="B41" s="240">
        <v>0</v>
      </c>
      <c r="C41" s="241" t="s">
        <v>231</v>
      </c>
      <c r="D41" s="67" t="s">
        <v>131</v>
      </c>
      <c r="E41" s="205">
        <f>15*E40</f>
        <v>8032.5</v>
      </c>
      <c r="F41" s="226"/>
      <c r="G41" s="226"/>
      <c r="H41" s="299"/>
      <c r="I41" s="299"/>
      <c r="J41" s="299"/>
      <c r="K41" s="75">
        <f t="shared" si="7"/>
        <v>0</v>
      </c>
      <c r="L41" s="76">
        <f t="shared" si="8"/>
        <v>0</v>
      </c>
      <c r="M41" s="75">
        <f t="shared" si="9"/>
        <v>0</v>
      </c>
      <c r="N41" s="75">
        <f t="shared" si="10"/>
        <v>0</v>
      </c>
      <c r="O41" s="75">
        <f t="shared" si="11"/>
        <v>0</v>
      </c>
      <c r="P41" s="77">
        <f t="shared" si="12"/>
        <v>0</v>
      </c>
    </row>
    <row r="42" spans="1:16" s="61" customFormat="1" ht="25.5" x14ac:dyDescent="0.2">
      <c r="A42" s="252">
        <v>15</v>
      </c>
      <c r="B42" s="238" t="s">
        <v>229</v>
      </c>
      <c r="C42" s="263" t="s">
        <v>642</v>
      </c>
      <c r="D42" s="67" t="s">
        <v>207</v>
      </c>
      <c r="E42" s="205">
        <v>1323.96</v>
      </c>
      <c r="F42" s="226"/>
      <c r="G42" s="226"/>
      <c r="H42" s="299"/>
      <c r="I42" s="299"/>
      <c r="J42" s="299"/>
      <c r="K42" s="75">
        <f t="shared" si="7"/>
        <v>0</v>
      </c>
      <c r="L42" s="76">
        <f t="shared" si="8"/>
        <v>0</v>
      </c>
      <c r="M42" s="75">
        <f t="shared" si="9"/>
        <v>0</v>
      </c>
      <c r="N42" s="75">
        <f t="shared" si="10"/>
        <v>0</v>
      </c>
      <c r="O42" s="75">
        <f t="shared" si="11"/>
        <v>0</v>
      </c>
      <c r="P42" s="77">
        <f t="shared" si="12"/>
        <v>0</v>
      </c>
    </row>
    <row r="43" spans="1:16" s="61" customFormat="1" x14ac:dyDescent="0.2">
      <c r="A43" s="252">
        <v>0</v>
      </c>
      <c r="B43" s="238">
        <v>0</v>
      </c>
      <c r="C43" s="216" t="s">
        <v>643</v>
      </c>
      <c r="D43" s="211" t="s">
        <v>199</v>
      </c>
      <c r="E43" s="205">
        <f>0.75*E42</f>
        <v>992.97</v>
      </c>
      <c r="F43" s="226"/>
      <c r="G43" s="226"/>
      <c r="H43" s="299"/>
      <c r="I43" s="299"/>
      <c r="J43" s="299"/>
      <c r="K43" s="75">
        <f t="shared" si="7"/>
        <v>0</v>
      </c>
      <c r="L43" s="76">
        <f t="shared" si="8"/>
        <v>0</v>
      </c>
      <c r="M43" s="75">
        <f t="shared" si="9"/>
        <v>0</v>
      </c>
      <c r="N43" s="75">
        <f t="shared" si="10"/>
        <v>0</v>
      </c>
      <c r="O43" s="75">
        <f t="shared" si="11"/>
        <v>0</v>
      </c>
      <c r="P43" s="77">
        <f t="shared" si="12"/>
        <v>0</v>
      </c>
    </row>
    <row r="44" spans="1:16" s="61" customFormat="1" x14ac:dyDescent="0.2">
      <c r="A44" s="252">
        <v>0</v>
      </c>
      <c r="B44" s="238">
        <v>0</v>
      </c>
      <c r="C44" s="216" t="s">
        <v>644</v>
      </c>
      <c r="D44" s="211" t="s">
        <v>131</v>
      </c>
      <c r="E44" s="205">
        <f>0.3*E42</f>
        <v>397.18799999999999</v>
      </c>
      <c r="F44" s="226"/>
      <c r="G44" s="226"/>
      <c r="H44" s="299"/>
      <c r="I44" s="299"/>
      <c r="J44" s="299"/>
      <c r="K44" s="75">
        <f t="shared" si="7"/>
        <v>0</v>
      </c>
      <c r="L44" s="76">
        <f t="shared" si="8"/>
        <v>0</v>
      </c>
      <c r="M44" s="75">
        <f t="shared" si="9"/>
        <v>0</v>
      </c>
      <c r="N44" s="75">
        <f t="shared" si="10"/>
        <v>0</v>
      </c>
      <c r="O44" s="75">
        <f t="shared" si="11"/>
        <v>0</v>
      </c>
      <c r="P44" s="77">
        <f t="shared" si="12"/>
        <v>0</v>
      </c>
    </row>
    <row r="45" spans="1:16" s="61" customFormat="1" x14ac:dyDescent="0.2">
      <c r="A45" s="252">
        <v>0</v>
      </c>
      <c r="B45" s="238">
        <v>0</v>
      </c>
      <c r="C45" s="216" t="s">
        <v>645</v>
      </c>
      <c r="D45" s="211" t="s">
        <v>131</v>
      </c>
      <c r="E45" s="205">
        <f>2.4*E42</f>
        <v>3177.5039999999999</v>
      </c>
      <c r="F45" s="226"/>
      <c r="G45" s="226"/>
      <c r="H45" s="299"/>
      <c r="I45" s="299"/>
      <c r="J45" s="299"/>
      <c r="K45" s="75">
        <f t="shared" si="7"/>
        <v>0</v>
      </c>
      <c r="L45" s="76">
        <f t="shared" si="8"/>
        <v>0</v>
      </c>
      <c r="M45" s="75">
        <f t="shared" si="9"/>
        <v>0</v>
      </c>
      <c r="N45" s="75">
        <f t="shared" si="10"/>
        <v>0</v>
      </c>
      <c r="O45" s="75">
        <f t="shared" si="11"/>
        <v>0</v>
      </c>
      <c r="P45" s="77">
        <f t="shared" si="12"/>
        <v>0</v>
      </c>
    </row>
    <row r="46" spans="1:16" s="61" customFormat="1" x14ac:dyDescent="0.2">
      <c r="A46" s="252">
        <v>0</v>
      </c>
      <c r="B46" s="238">
        <v>0</v>
      </c>
      <c r="C46" s="216" t="s">
        <v>646</v>
      </c>
      <c r="D46" s="67" t="s">
        <v>207</v>
      </c>
      <c r="E46" s="205">
        <f>0.02*E42</f>
        <v>26.479200000000002</v>
      </c>
      <c r="F46" s="226"/>
      <c r="G46" s="226"/>
      <c r="H46" s="299"/>
      <c r="I46" s="299"/>
      <c r="J46" s="299"/>
      <c r="K46" s="75">
        <f t="shared" si="7"/>
        <v>0</v>
      </c>
      <c r="L46" s="76">
        <f t="shared" si="8"/>
        <v>0</v>
      </c>
      <c r="M46" s="75">
        <f t="shared" si="9"/>
        <v>0</v>
      </c>
      <c r="N46" s="75">
        <f t="shared" si="10"/>
        <v>0</v>
      </c>
      <c r="O46" s="75">
        <f t="shared" si="11"/>
        <v>0</v>
      </c>
      <c r="P46" s="77">
        <f t="shared" si="12"/>
        <v>0</v>
      </c>
    </row>
    <row r="47" spans="1:16" s="61" customFormat="1" x14ac:dyDescent="0.2">
      <c r="A47" s="252">
        <v>16</v>
      </c>
      <c r="B47" s="238" t="s">
        <v>229</v>
      </c>
      <c r="C47" s="263" t="s">
        <v>647</v>
      </c>
      <c r="D47" s="67" t="s">
        <v>207</v>
      </c>
      <c r="E47" s="205">
        <v>535.5</v>
      </c>
      <c r="F47" s="226"/>
      <c r="G47" s="226"/>
      <c r="H47" s="299"/>
      <c r="I47" s="299"/>
      <c r="J47" s="299"/>
      <c r="K47" s="75">
        <f t="shared" si="7"/>
        <v>0</v>
      </c>
      <c r="L47" s="76">
        <f t="shared" si="8"/>
        <v>0</v>
      </c>
      <c r="M47" s="75">
        <f t="shared" si="9"/>
        <v>0</v>
      </c>
      <c r="N47" s="75">
        <f t="shared" si="10"/>
        <v>0</v>
      </c>
      <c r="O47" s="75">
        <f t="shared" si="11"/>
        <v>0</v>
      </c>
      <c r="P47" s="77">
        <f t="shared" si="12"/>
        <v>0</v>
      </c>
    </row>
    <row r="48" spans="1:16" s="61" customFormat="1" x14ac:dyDescent="0.2">
      <c r="A48" s="252">
        <v>0</v>
      </c>
      <c r="B48" s="238">
        <v>0</v>
      </c>
      <c r="C48" s="216" t="s">
        <v>648</v>
      </c>
      <c r="D48" s="211" t="s">
        <v>543</v>
      </c>
      <c r="E48" s="205">
        <f>0.1*E47</f>
        <v>53.550000000000004</v>
      </c>
      <c r="F48" s="226"/>
      <c r="G48" s="226"/>
      <c r="H48" s="299"/>
      <c r="I48" s="299"/>
      <c r="J48" s="299"/>
      <c r="K48" s="75">
        <f t="shared" si="7"/>
        <v>0</v>
      </c>
      <c r="L48" s="76">
        <f t="shared" si="8"/>
        <v>0</v>
      </c>
      <c r="M48" s="75">
        <f t="shared" si="9"/>
        <v>0</v>
      </c>
      <c r="N48" s="75">
        <f t="shared" si="10"/>
        <v>0</v>
      </c>
      <c r="O48" s="75">
        <f t="shared" si="11"/>
        <v>0</v>
      </c>
      <c r="P48" s="77">
        <f t="shared" si="12"/>
        <v>0</v>
      </c>
    </row>
    <row r="49" spans="1:16" s="61" customFormat="1" x14ac:dyDescent="0.2">
      <c r="A49" s="252">
        <v>0</v>
      </c>
      <c r="B49" s="238">
        <v>0</v>
      </c>
      <c r="C49" s="216" t="s">
        <v>645</v>
      </c>
      <c r="D49" s="211" t="s">
        <v>131</v>
      </c>
      <c r="E49" s="205">
        <f>2.4*E47</f>
        <v>1285.2</v>
      </c>
      <c r="F49" s="226"/>
      <c r="G49" s="226"/>
      <c r="H49" s="299"/>
      <c r="I49" s="299"/>
      <c r="J49" s="299"/>
      <c r="K49" s="75">
        <f t="shared" si="7"/>
        <v>0</v>
      </c>
      <c r="L49" s="76">
        <f t="shared" si="8"/>
        <v>0</v>
      </c>
      <c r="M49" s="75">
        <f t="shared" si="9"/>
        <v>0</v>
      </c>
      <c r="N49" s="75">
        <f t="shared" si="10"/>
        <v>0</v>
      </c>
      <c r="O49" s="75">
        <f t="shared" si="11"/>
        <v>0</v>
      </c>
      <c r="P49" s="77">
        <f t="shared" si="12"/>
        <v>0</v>
      </c>
    </row>
    <row r="50" spans="1:16" s="61" customFormat="1" x14ac:dyDescent="0.2">
      <c r="A50" s="252">
        <v>0</v>
      </c>
      <c r="B50" s="238">
        <v>0</v>
      </c>
      <c r="C50" s="216" t="s">
        <v>646</v>
      </c>
      <c r="D50" s="67" t="s">
        <v>207</v>
      </c>
      <c r="E50" s="205">
        <f>0.02*E47</f>
        <v>10.71</v>
      </c>
      <c r="F50" s="226"/>
      <c r="G50" s="226"/>
      <c r="H50" s="299"/>
      <c r="I50" s="299"/>
      <c r="J50" s="299"/>
      <c r="K50" s="75">
        <f t="shared" si="7"/>
        <v>0</v>
      </c>
      <c r="L50" s="76">
        <f t="shared" si="8"/>
        <v>0</v>
      </c>
      <c r="M50" s="75">
        <f t="shared" si="9"/>
        <v>0</v>
      </c>
      <c r="N50" s="75">
        <f t="shared" si="10"/>
        <v>0</v>
      </c>
      <c r="O50" s="75">
        <f t="shared" si="11"/>
        <v>0</v>
      </c>
      <c r="P50" s="77">
        <f t="shared" si="12"/>
        <v>0</v>
      </c>
    </row>
    <row r="51" spans="1:16" s="61" customFormat="1" x14ac:dyDescent="0.2">
      <c r="A51" s="218">
        <v>17</v>
      </c>
      <c r="B51" s="240" t="str">
        <f t="shared" ref="B51:B56" si="13">IF(A51&gt;0,"L.c.",0)</f>
        <v>L.c.</v>
      </c>
      <c r="C51" s="263" t="s">
        <v>649</v>
      </c>
      <c r="D51" s="211" t="s">
        <v>207</v>
      </c>
      <c r="E51" s="205">
        <v>1859.5</v>
      </c>
      <c r="F51" s="226"/>
      <c r="G51" s="226"/>
      <c r="H51" s="299"/>
      <c r="I51" s="299"/>
      <c r="J51" s="299"/>
      <c r="K51" s="75">
        <f t="shared" si="7"/>
        <v>0</v>
      </c>
      <c r="L51" s="76">
        <f t="shared" si="8"/>
        <v>0</v>
      </c>
      <c r="M51" s="75">
        <f t="shared" si="9"/>
        <v>0</v>
      </c>
      <c r="N51" s="75">
        <f t="shared" si="10"/>
        <v>0</v>
      </c>
      <c r="O51" s="75">
        <f t="shared" si="11"/>
        <v>0</v>
      </c>
      <c r="P51" s="77">
        <f t="shared" si="12"/>
        <v>0</v>
      </c>
    </row>
    <row r="52" spans="1:16" s="61" customFormat="1" ht="15" x14ac:dyDescent="0.2">
      <c r="A52" s="218">
        <v>0</v>
      </c>
      <c r="B52" s="240">
        <f t="shared" si="13"/>
        <v>0</v>
      </c>
      <c r="C52" s="264" t="s">
        <v>650</v>
      </c>
      <c r="D52" s="211" t="s">
        <v>543</v>
      </c>
      <c r="E52" s="205">
        <f>0.15*E51</f>
        <v>278.92500000000001</v>
      </c>
      <c r="F52" s="226"/>
      <c r="G52" s="226"/>
      <c r="H52" s="299"/>
      <c r="I52" s="299"/>
      <c r="J52" s="299"/>
      <c r="K52" s="75">
        <f t="shared" si="7"/>
        <v>0</v>
      </c>
      <c r="L52" s="76">
        <f t="shared" si="8"/>
        <v>0</v>
      </c>
      <c r="M52" s="75">
        <f t="shared" si="9"/>
        <v>0</v>
      </c>
      <c r="N52" s="75">
        <f t="shared" si="10"/>
        <v>0</v>
      </c>
      <c r="O52" s="75">
        <f t="shared" si="11"/>
        <v>0</v>
      </c>
      <c r="P52" s="77">
        <f t="shared" si="12"/>
        <v>0</v>
      </c>
    </row>
    <row r="53" spans="1:16" s="61" customFormat="1" x14ac:dyDescent="0.2">
      <c r="A53" s="218">
        <v>18</v>
      </c>
      <c r="B53" s="240" t="str">
        <f t="shared" si="13"/>
        <v>L.c.</v>
      </c>
      <c r="C53" s="263" t="s">
        <v>651</v>
      </c>
      <c r="D53" s="211" t="s">
        <v>207</v>
      </c>
      <c r="E53" s="205">
        <v>1756.5</v>
      </c>
      <c r="F53" s="226"/>
      <c r="G53" s="226"/>
      <c r="H53" s="299"/>
      <c r="I53" s="299"/>
      <c r="J53" s="299"/>
      <c r="K53" s="75">
        <f t="shared" si="7"/>
        <v>0</v>
      </c>
      <c r="L53" s="76">
        <f t="shared" si="8"/>
        <v>0</v>
      </c>
      <c r="M53" s="75">
        <f t="shared" si="9"/>
        <v>0</v>
      </c>
      <c r="N53" s="75">
        <f t="shared" si="10"/>
        <v>0</v>
      </c>
      <c r="O53" s="75">
        <f t="shared" si="11"/>
        <v>0</v>
      </c>
      <c r="P53" s="77">
        <f t="shared" si="12"/>
        <v>0</v>
      </c>
    </row>
    <row r="54" spans="1:16" s="61" customFormat="1" ht="15" x14ac:dyDescent="0.2">
      <c r="A54" s="218">
        <v>0</v>
      </c>
      <c r="B54" s="223">
        <f t="shared" si="13"/>
        <v>0</v>
      </c>
      <c r="C54" s="264" t="s">
        <v>652</v>
      </c>
      <c r="D54" s="211" t="s">
        <v>543</v>
      </c>
      <c r="E54" s="205">
        <f>0.33*E53</f>
        <v>579.64499999999998</v>
      </c>
      <c r="F54" s="226"/>
      <c r="G54" s="226"/>
      <c r="H54" s="299"/>
      <c r="I54" s="299"/>
      <c r="J54" s="299"/>
      <c r="K54" s="75">
        <f t="shared" si="7"/>
        <v>0</v>
      </c>
      <c r="L54" s="76">
        <f t="shared" si="8"/>
        <v>0</v>
      </c>
      <c r="M54" s="75">
        <f t="shared" si="9"/>
        <v>0</v>
      </c>
      <c r="N54" s="75">
        <f t="shared" si="10"/>
        <v>0</v>
      </c>
      <c r="O54" s="75">
        <f t="shared" si="11"/>
        <v>0</v>
      </c>
      <c r="P54" s="77">
        <f t="shared" si="12"/>
        <v>0</v>
      </c>
    </row>
    <row r="55" spans="1:16" s="61" customFormat="1" x14ac:dyDescent="0.2">
      <c r="A55" s="218">
        <v>19</v>
      </c>
      <c r="B55" s="240" t="str">
        <f t="shared" si="13"/>
        <v>L.c.</v>
      </c>
      <c r="C55" s="263" t="s">
        <v>651</v>
      </c>
      <c r="D55" s="211" t="s">
        <v>207</v>
      </c>
      <c r="E55" s="205">
        <v>103</v>
      </c>
      <c r="F55" s="226"/>
      <c r="G55" s="226"/>
      <c r="H55" s="299"/>
      <c r="I55" s="299"/>
      <c r="J55" s="299"/>
      <c r="K55" s="75">
        <f t="shared" si="7"/>
        <v>0</v>
      </c>
      <c r="L55" s="76">
        <f t="shared" si="8"/>
        <v>0</v>
      </c>
      <c r="M55" s="75">
        <f t="shared" si="9"/>
        <v>0</v>
      </c>
      <c r="N55" s="75">
        <f t="shared" si="10"/>
        <v>0</v>
      </c>
      <c r="O55" s="75">
        <f t="shared" si="11"/>
        <v>0</v>
      </c>
      <c r="P55" s="77">
        <f t="shared" si="12"/>
        <v>0</v>
      </c>
    </row>
    <row r="56" spans="1:16" s="61" customFormat="1" ht="15" x14ac:dyDescent="0.2">
      <c r="A56" s="218">
        <v>0</v>
      </c>
      <c r="B56" s="223">
        <f t="shared" si="13"/>
        <v>0</v>
      </c>
      <c r="C56" s="264" t="s">
        <v>653</v>
      </c>
      <c r="D56" s="211" t="s">
        <v>543</v>
      </c>
      <c r="E56" s="205">
        <f>0.33*E55</f>
        <v>33.99</v>
      </c>
      <c r="F56" s="226"/>
      <c r="G56" s="226"/>
      <c r="H56" s="299"/>
      <c r="I56" s="299"/>
      <c r="J56" s="299"/>
      <c r="K56" s="75">
        <f t="shared" si="7"/>
        <v>0</v>
      </c>
      <c r="L56" s="76">
        <f t="shared" si="8"/>
        <v>0</v>
      </c>
      <c r="M56" s="75">
        <f t="shared" si="9"/>
        <v>0</v>
      </c>
      <c r="N56" s="75">
        <f t="shared" si="10"/>
        <v>0</v>
      </c>
      <c r="O56" s="75">
        <f t="shared" si="11"/>
        <v>0</v>
      </c>
      <c r="P56" s="77">
        <f t="shared" si="12"/>
        <v>0</v>
      </c>
    </row>
    <row r="57" spans="1:16" s="61" customFormat="1" x14ac:dyDescent="0.2">
      <c r="A57" s="218">
        <v>0</v>
      </c>
      <c r="B57" s="237"/>
      <c r="C57" s="295" t="s">
        <v>654</v>
      </c>
      <c r="D57" s="67"/>
      <c r="E57" s="205"/>
      <c r="F57" s="212"/>
      <c r="G57" s="296"/>
      <c r="H57" s="258"/>
      <c r="I57" s="258"/>
      <c r="J57" s="258"/>
      <c r="K57" s="75">
        <f t="shared" si="7"/>
        <v>0</v>
      </c>
      <c r="L57" s="76">
        <f t="shared" si="8"/>
        <v>0</v>
      </c>
      <c r="M57" s="75">
        <f t="shared" si="9"/>
        <v>0</v>
      </c>
      <c r="N57" s="75">
        <f t="shared" si="10"/>
        <v>0</v>
      </c>
      <c r="O57" s="75">
        <f t="shared" si="11"/>
        <v>0</v>
      </c>
      <c r="P57" s="77">
        <f t="shared" si="12"/>
        <v>0</v>
      </c>
    </row>
    <row r="58" spans="1:16" s="61" customFormat="1" ht="25.5" x14ac:dyDescent="0.2">
      <c r="A58" s="218">
        <v>20</v>
      </c>
      <c r="B58" s="238" t="s">
        <v>229</v>
      </c>
      <c r="C58" s="263" t="s">
        <v>655</v>
      </c>
      <c r="D58" s="67" t="s">
        <v>207</v>
      </c>
      <c r="E58" s="205">
        <v>7610</v>
      </c>
      <c r="F58" s="226"/>
      <c r="G58" s="226"/>
      <c r="H58" s="299"/>
      <c r="I58" s="299"/>
      <c r="J58" s="299"/>
      <c r="K58" s="75">
        <f t="shared" si="7"/>
        <v>0</v>
      </c>
      <c r="L58" s="76">
        <f t="shared" si="8"/>
        <v>0</v>
      </c>
      <c r="M58" s="75">
        <f t="shared" si="9"/>
        <v>0</v>
      </c>
      <c r="N58" s="75">
        <f t="shared" si="10"/>
        <v>0</v>
      </c>
      <c r="O58" s="75">
        <f t="shared" si="11"/>
        <v>0</v>
      </c>
      <c r="P58" s="77">
        <f t="shared" si="12"/>
        <v>0</v>
      </c>
    </row>
    <row r="59" spans="1:16" s="61" customFormat="1" x14ac:dyDescent="0.2">
      <c r="A59" s="218">
        <v>0</v>
      </c>
      <c r="B59" s="240">
        <v>0</v>
      </c>
      <c r="C59" s="241" t="s">
        <v>231</v>
      </c>
      <c r="D59" s="67" t="s">
        <v>131</v>
      </c>
      <c r="E59" s="205">
        <f>15*E58</f>
        <v>114150</v>
      </c>
      <c r="F59" s="226"/>
      <c r="G59" s="226"/>
      <c r="H59" s="299"/>
      <c r="I59" s="299"/>
      <c r="J59" s="299"/>
      <c r="K59" s="75">
        <f t="shared" si="7"/>
        <v>0</v>
      </c>
      <c r="L59" s="76">
        <f t="shared" si="8"/>
        <v>0</v>
      </c>
      <c r="M59" s="75">
        <f t="shared" si="9"/>
        <v>0</v>
      </c>
      <c r="N59" s="75">
        <f t="shared" si="10"/>
        <v>0</v>
      </c>
      <c r="O59" s="75">
        <f t="shared" si="11"/>
        <v>0</v>
      </c>
      <c r="P59" s="77">
        <f t="shared" si="12"/>
        <v>0</v>
      </c>
    </row>
    <row r="60" spans="1:16" s="61" customFormat="1" ht="25.5" x14ac:dyDescent="0.2">
      <c r="A60" s="218">
        <v>21</v>
      </c>
      <c r="B60" s="223" t="str">
        <f>IF(A60&gt;0,"L.c.",0)</f>
        <v>L.c.</v>
      </c>
      <c r="C60" s="300" t="s">
        <v>656</v>
      </c>
      <c r="D60" s="67" t="s">
        <v>207</v>
      </c>
      <c r="E60" s="205">
        <f>(E69-E64)*1.15</f>
        <v>7000.8549999999996</v>
      </c>
      <c r="F60" s="226"/>
      <c r="G60" s="226"/>
      <c r="H60" s="299"/>
      <c r="I60" s="299"/>
      <c r="J60" s="299"/>
      <c r="K60" s="75">
        <f t="shared" si="7"/>
        <v>0</v>
      </c>
      <c r="L60" s="76">
        <f t="shared" si="8"/>
        <v>0</v>
      </c>
      <c r="M60" s="75">
        <f t="shared" si="9"/>
        <v>0</v>
      </c>
      <c r="N60" s="75">
        <f t="shared" si="10"/>
        <v>0</v>
      </c>
      <c r="O60" s="75">
        <f t="shared" si="11"/>
        <v>0</v>
      </c>
      <c r="P60" s="77">
        <f t="shared" si="12"/>
        <v>0</v>
      </c>
    </row>
    <row r="61" spans="1:16" s="61" customFormat="1" x14ac:dyDescent="0.2">
      <c r="A61" s="218">
        <v>0</v>
      </c>
      <c r="B61" s="223">
        <f>IF(A61&gt;0,"L.c.",0)</f>
        <v>0</v>
      </c>
      <c r="C61" s="241" t="s">
        <v>648</v>
      </c>
      <c r="D61" s="211" t="s">
        <v>543</v>
      </c>
      <c r="E61" s="205">
        <f>0.1*E60</f>
        <v>700.08550000000002</v>
      </c>
      <c r="F61" s="226"/>
      <c r="G61" s="226"/>
      <c r="H61" s="299"/>
      <c r="I61" s="299"/>
      <c r="J61" s="299"/>
      <c r="K61" s="75">
        <f t="shared" si="7"/>
        <v>0</v>
      </c>
      <c r="L61" s="76">
        <f t="shared" si="8"/>
        <v>0</v>
      </c>
      <c r="M61" s="75">
        <f t="shared" si="9"/>
        <v>0</v>
      </c>
      <c r="N61" s="75">
        <f t="shared" si="10"/>
        <v>0</v>
      </c>
      <c r="O61" s="75">
        <f t="shared" si="11"/>
        <v>0</v>
      </c>
      <c r="P61" s="77">
        <f t="shared" si="12"/>
        <v>0</v>
      </c>
    </row>
    <row r="62" spans="1:16" s="61" customFormat="1" x14ac:dyDescent="0.2">
      <c r="A62" s="218">
        <v>0</v>
      </c>
      <c r="B62" s="223">
        <f>IF(A62&gt;0,"L.c.",0)</f>
        <v>0</v>
      </c>
      <c r="C62" s="241" t="s">
        <v>645</v>
      </c>
      <c r="D62" s="211" t="s">
        <v>131</v>
      </c>
      <c r="E62" s="205">
        <f>2.4*E60</f>
        <v>16802.052</v>
      </c>
      <c r="F62" s="226"/>
      <c r="G62" s="226"/>
      <c r="H62" s="299"/>
      <c r="I62" s="299"/>
      <c r="J62" s="299"/>
      <c r="K62" s="75">
        <f t="shared" si="7"/>
        <v>0</v>
      </c>
      <c r="L62" s="76">
        <f t="shared" si="8"/>
        <v>0</v>
      </c>
      <c r="M62" s="75">
        <f t="shared" si="9"/>
        <v>0</v>
      </c>
      <c r="N62" s="75">
        <f t="shared" si="10"/>
        <v>0</v>
      </c>
      <c r="O62" s="75">
        <f t="shared" si="11"/>
        <v>0</v>
      </c>
      <c r="P62" s="77">
        <f t="shared" si="12"/>
        <v>0</v>
      </c>
    </row>
    <row r="63" spans="1:16" s="61" customFormat="1" x14ac:dyDescent="0.2">
      <c r="A63" s="218">
        <v>0</v>
      </c>
      <c r="B63" s="223">
        <f>IF(A63&gt;0,"L.c.",0)</f>
        <v>0</v>
      </c>
      <c r="C63" s="241" t="s">
        <v>646</v>
      </c>
      <c r="D63" s="67" t="s">
        <v>207</v>
      </c>
      <c r="E63" s="205">
        <f>0.02*E60</f>
        <v>140.0171</v>
      </c>
      <c r="F63" s="226"/>
      <c r="G63" s="226"/>
      <c r="H63" s="299"/>
      <c r="I63" s="299"/>
      <c r="J63" s="299"/>
      <c r="K63" s="75">
        <f t="shared" si="7"/>
        <v>0</v>
      </c>
      <c r="L63" s="76">
        <f t="shared" si="8"/>
        <v>0</v>
      </c>
      <c r="M63" s="75">
        <f t="shared" si="9"/>
        <v>0</v>
      </c>
      <c r="N63" s="75">
        <f t="shared" si="10"/>
        <v>0</v>
      </c>
      <c r="O63" s="75">
        <f t="shared" si="11"/>
        <v>0</v>
      </c>
      <c r="P63" s="77">
        <f t="shared" si="12"/>
        <v>0</v>
      </c>
    </row>
    <row r="64" spans="1:16" s="61" customFormat="1" ht="25.5" x14ac:dyDescent="0.2">
      <c r="A64" s="218">
        <v>22</v>
      </c>
      <c r="B64" s="223" t="str">
        <f t="shared" ref="B64:B79" si="14">IF(A64&gt;0,"L.c.",0)</f>
        <v>L.c.</v>
      </c>
      <c r="C64" s="263" t="s">
        <v>642</v>
      </c>
      <c r="D64" s="67" t="s">
        <v>207</v>
      </c>
      <c r="E64" s="205">
        <v>1385</v>
      </c>
      <c r="F64" s="226"/>
      <c r="G64" s="226"/>
      <c r="H64" s="299"/>
      <c r="I64" s="299"/>
      <c r="J64" s="299"/>
      <c r="K64" s="75">
        <f t="shared" si="7"/>
        <v>0</v>
      </c>
      <c r="L64" s="76">
        <f t="shared" si="8"/>
        <v>0</v>
      </c>
      <c r="M64" s="75">
        <f t="shared" si="9"/>
        <v>0</v>
      </c>
      <c r="N64" s="75">
        <f t="shared" si="10"/>
        <v>0</v>
      </c>
      <c r="O64" s="75">
        <f t="shared" si="11"/>
        <v>0</v>
      </c>
      <c r="P64" s="77">
        <f t="shared" si="12"/>
        <v>0</v>
      </c>
    </row>
    <row r="65" spans="1:16" s="61" customFormat="1" x14ac:dyDescent="0.2">
      <c r="A65" s="218">
        <v>0</v>
      </c>
      <c r="B65" s="223">
        <f t="shared" si="14"/>
        <v>0</v>
      </c>
      <c r="C65" s="241" t="s">
        <v>643</v>
      </c>
      <c r="D65" s="211" t="s">
        <v>199</v>
      </c>
      <c r="E65" s="205">
        <f>0.75*E64</f>
        <v>1038.75</v>
      </c>
      <c r="F65" s="226"/>
      <c r="G65" s="226"/>
      <c r="H65" s="299"/>
      <c r="I65" s="299"/>
      <c r="J65" s="299"/>
      <c r="K65" s="75">
        <f t="shared" si="7"/>
        <v>0</v>
      </c>
      <c r="L65" s="76">
        <f t="shared" si="8"/>
        <v>0</v>
      </c>
      <c r="M65" s="75">
        <f t="shared" si="9"/>
        <v>0</v>
      </c>
      <c r="N65" s="75">
        <f t="shared" si="10"/>
        <v>0</v>
      </c>
      <c r="O65" s="75">
        <f t="shared" si="11"/>
        <v>0</v>
      </c>
      <c r="P65" s="77">
        <f t="shared" si="12"/>
        <v>0</v>
      </c>
    </row>
    <row r="66" spans="1:16" s="61" customFormat="1" x14ac:dyDescent="0.2">
      <c r="A66" s="218">
        <v>0</v>
      </c>
      <c r="B66" s="223">
        <f t="shared" si="14"/>
        <v>0</v>
      </c>
      <c r="C66" s="241" t="s">
        <v>644</v>
      </c>
      <c r="D66" s="211" t="s">
        <v>131</v>
      </c>
      <c r="E66" s="205">
        <f>0.3*E64</f>
        <v>415.5</v>
      </c>
      <c r="F66" s="226"/>
      <c r="G66" s="226"/>
      <c r="H66" s="299"/>
      <c r="I66" s="299"/>
      <c r="J66" s="299"/>
      <c r="K66" s="75">
        <f t="shared" si="7"/>
        <v>0</v>
      </c>
      <c r="L66" s="76">
        <f t="shared" si="8"/>
        <v>0</v>
      </c>
      <c r="M66" s="75">
        <f t="shared" si="9"/>
        <v>0</v>
      </c>
      <c r="N66" s="75">
        <f t="shared" si="10"/>
        <v>0</v>
      </c>
      <c r="O66" s="75">
        <f t="shared" si="11"/>
        <v>0</v>
      </c>
      <c r="P66" s="77">
        <f t="shared" si="12"/>
        <v>0</v>
      </c>
    </row>
    <row r="67" spans="1:16" s="61" customFormat="1" x14ac:dyDescent="0.2">
      <c r="A67" s="218">
        <v>0</v>
      </c>
      <c r="B67" s="223">
        <f t="shared" si="14"/>
        <v>0</v>
      </c>
      <c r="C67" s="241" t="s">
        <v>645</v>
      </c>
      <c r="D67" s="211" t="s">
        <v>131</v>
      </c>
      <c r="E67" s="205">
        <f>2.4*E64</f>
        <v>3324</v>
      </c>
      <c r="F67" s="226"/>
      <c r="G67" s="226"/>
      <c r="H67" s="299"/>
      <c r="I67" s="299"/>
      <c r="J67" s="299"/>
      <c r="K67" s="75">
        <f t="shared" si="7"/>
        <v>0</v>
      </c>
      <c r="L67" s="76">
        <f t="shared" si="8"/>
        <v>0</v>
      </c>
      <c r="M67" s="75">
        <f t="shared" si="9"/>
        <v>0</v>
      </c>
      <c r="N67" s="75">
        <f t="shared" si="10"/>
        <v>0</v>
      </c>
      <c r="O67" s="75">
        <f t="shared" si="11"/>
        <v>0</v>
      </c>
      <c r="P67" s="77">
        <f t="shared" si="12"/>
        <v>0</v>
      </c>
    </row>
    <row r="68" spans="1:16" s="61" customFormat="1" x14ac:dyDescent="0.2">
      <c r="A68" s="218">
        <v>0</v>
      </c>
      <c r="B68" s="223">
        <f t="shared" si="14"/>
        <v>0</v>
      </c>
      <c r="C68" s="241" t="s">
        <v>646</v>
      </c>
      <c r="D68" s="67" t="s">
        <v>207</v>
      </c>
      <c r="E68" s="205">
        <f>0.02*E64</f>
        <v>27.7</v>
      </c>
      <c r="F68" s="226"/>
      <c r="G68" s="226"/>
      <c r="H68" s="299"/>
      <c r="I68" s="299"/>
      <c r="J68" s="299"/>
      <c r="K68" s="75">
        <f t="shared" si="7"/>
        <v>0</v>
      </c>
      <c r="L68" s="76">
        <f t="shared" si="8"/>
        <v>0</v>
      </c>
      <c r="M68" s="75">
        <f t="shared" si="9"/>
        <v>0</v>
      </c>
      <c r="N68" s="75">
        <f t="shared" si="10"/>
        <v>0</v>
      </c>
      <c r="O68" s="75">
        <f t="shared" si="11"/>
        <v>0</v>
      </c>
      <c r="P68" s="77">
        <f t="shared" si="12"/>
        <v>0</v>
      </c>
    </row>
    <row r="69" spans="1:16" s="61" customFormat="1" x14ac:dyDescent="0.2">
      <c r="A69" s="218">
        <v>23</v>
      </c>
      <c r="B69" s="223" t="str">
        <f t="shared" si="14"/>
        <v>L.c.</v>
      </c>
      <c r="C69" s="236" t="s">
        <v>657</v>
      </c>
      <c r="D69" s="211" t="s">
        <v>207</v>
      </c>
      <c r="E69" s="205">
        <f>E71+E73</f>
        <v>7472.7</v>
      </c>
      <c r="F69" s="226"/>
      <c r="G69" s="226"/>
      <c r="H69" s="299"/>
      <c r="I69" s="299"/>
      <c r="J69" s="299"/>
      <c r="K69" s="75">
        <f t="shared" si="7"/>
        <v>0</v>
      </c>
      <c r="L69" s="76">
        <f t="shared" si="8"/>
        <v>0</v>
      </c>
      <c r="M69" s="75">
        <f t="shared" si="9"/>
        <v>0</v>
      </c>
      <c r="N69" s="75">
        <f t="shared" si="10"/>
        <v>0</v>
      </c>
      <c r="O69" s="75">
        <f t="shared" si="11"/>
        <v>0</v>
      </c>
      <c r="P69" s="77">
        <f t="shared" si="12"/>
        <v>0</v>
      </c>
    </row>
    <row r="70" spans="1:16" s="61" customFormat="1" ht="15" x14ac:dyDescent="0.2">
      <c r="A70" s="218">
        <v>0</v>
      </c>
      <c r="B70" s="223">
        <f t="shared" si="14"/>
        <v>0</v>
      </c>
      <c r="C70" s="264" t="s">
        <v>650</v>
      </c>
      <c r="D70" s="211" t="s">
        <v>543</v>
      </c>
      <c r="E70" s="205">
        <f>0.15*E69</f>
        <v>1120.905</v>
      </c>
      <c r="F70" s="226"/>
      <c r="G70" s="226"/>
      <c r="H70" s="299"/>
      <c r="I70" s="299"/>
      <c r="J70" s="299"/>
      <c r="K70" s="75">
        <f t="shared" si="7"/>
        <v>0</v>
      </c>
      <c r="L70" s="76">
        <f t="shared" si="8"/>
        <v>0</v>
      </c>
      <c r="M70" s="75">
        <f t="shared" si="9"/>
        <v>0</v>
      </c>
      <c r="N70" s="75">
        <f t="shared" si="10"/>
        <v>0</v>
      </c>
      <c r="O70" s="75">
        <f t="shared" si="11"/>
        <v>0</v>
      </c>
      <c r="P70" s="77">
        <f t="shared" si="12"/>
        <v>0</v>
      </c>
    </row>
    <row r="71" spans="1:16" s="61" customFormat="1" x14ac:dyDescent="0.2">
      <c r="A71" s="218">
        <v>24</v>
      </c>
      <c r="B71" s="223" t="str">
        <f t="shared" si="14"/>
        <v>L.c.</v>
      </c>
      <c r="C71" s="236" t="s">
        <v>658</v>
      </c>
      <c r="D71" s="211" t="s">
        <v>207</v>
      </c>
      <c r="E71" s="205">
        <v>364.8</v>
      </c>
      <c r="F71" s="226"/>
      <c r="G71" s="226"/>
      <c r="H71" s="299"/>
      <c r="I71" s="299"/>
      <c r="J71" s="299"/>
      <c r="K71" s="75">
        <f t="shared" si="7"/>
        <v>0</v>
      </c>
      <c r="L71" s="76">
        <f t="shared" si="8"/>
        <v>0</v>
      </c>
      <c r="M71" s="75">
        <f t="shared" si="9"/>
        <v>0</v>
      </c>
      <c r="N71" s="75">
        <f t="shared" si="10"/>
        <v>0</v>
      </c>
      <c r="O71" s="75">
        <f t="shared" si="11"/>
        <v>0</v>
      </c>
      <c r="P71" s="77">
        <f t="shared" si="12"/>
        <v>0</v>
      </c>
    </row>
    <row r="72" spans="1:16" s="61" customFormat="1" ht="15" x14ac:dyDescent="0.2">
      <c r="A72" s="218">
        <v>0</v>
      </c>
      <c r="B72" s="223">
        <f t="shared" si="14"/>
        <v>0</v>
      </c>
      <c r="C72" s="264" t="s">
        <v>652</v>
      </c>
      <c r="D72" s="211" t="s">
        <v>543</v>
      </c>
      <c r="E72" s="205">
        <f>0.33*E71</f>
        <v>120.38400000000001</v>
      </c>
      <c r="F72" s="226"/>
      <c r="G72" s="226"/>
      <c r="H72" s="299"/>
      <c r="I72" s="299"/>
      <c r="J72" s="299"/>
      <c r="K72" s="75">
        <f t="shared" si="7"/>
        <v>0</v>
      </c>
      <c r="L72" s="76">
        <f t="shared" si="8"/>
        <v>0</v>
      </c>
      <c r="M72" s="75">
        <f t="shared" si="9"/>
        <v>0</v>
      </c>
      <c r="N72" s="75">
        <f t="shared" si="10"/>
        <v>0</v>
      </c>
      <c r="O72" s="75">
        <f t="shared" si="11"/>
        <v>0</v>
      </c>
      <c r="P72" s="77">
        <f t="shared" si="12"/>
        <v>0</v>
      </c>
    </row>
    <row r="73" spans="1:16" s="61" customFormat="1" x14ac:dyDescent="0.2">
      <c r="A73" s="218">
        <v>25</v>
      </c>
      <c r="B73" s="223" t="str">
        <f t="shared" si="14"/>
        <v>L.c.</v>
      </c>
      <c r="C73" s="236" t="s">
        <v>658</v>
      </c>
      <c r="D73" s="211" t="s">
        <v>207</v>
      </c>
      <c r="E73" s="205">
        <v>7107.9</v>
      </c>
      <c r="F73" s="226"/>
      <c r="G73" s="226"/>
      <c r="H73" s="299"/>
      <c r="I73" s="299"/>
      <c r="J73" s="299"/>
      <c r="K73" s="75">
        <f t="shared" si="7"/>
        <v>0</v>
      </c>
      <c r="L73" s="76">
        <f t="shared" si="8"/>
        <v>0</v>
      </c>
      <c r="M73" s="75">
        <f t="shared" si="9"/>
        <v>0</v>
      </c>
      <c r="N73" s="75">
        <f t="shared" si="10"/>
        <v>0</v>
      </c>
      <c r="O73" s="75">
        <f t="shared" si="11"/>
        <v>0</v>
      </c>
      <c r="P73" s="77">
        <f t="shared" si="12"/>
        <v>0</v>
      </c>
    </row>
    <row r="74" spans="1:16" s="61" customFormat="1" ht="15" x14ac:dyDescent="0.2">
      <c r="A74" s="218">
        <v>0</v>
      </c>
      <c r="B74" s="223">
        <f t="shared" si="14"/>
        <v>0</v>
      </c>
      <c r="C74" s="264" t="s">
        <v>653</v>
      </c>
      <c r="D74" s="211" t="s">
        <v>543</v>
      </c>
      <c r="E74" s="205">
        <f>0.33*E73</f>
        <v>2345.607</v>
      </c>
      <c r="F74" s="226"/>
      <c r="G74" s="226"/>
      <c r="H74" s="299"/>
      <c r="I74" s="299"/>
      <c r="J74" s="299"/>
      <c r="K74" s="75">
        <f t="shared" si="7"/>
        <v>0</v>
      </c>
      <c r="L74" s="76">
        <f t="shared" si="8"/>
        <v>0</v>
      </c>
      <c r="M74" s="75">
        <f t="shared" si="9"/>
        <v>0</v>
      </c>
      <c r="N74" s="75">
        <f t="shared" si="10"/>
        <v>0</v>
      </c>
      <c r="O74" s="75">
        <f t="shared" si="11"/>
        <v>0</v>
      </c>
      <c r="P74" s="77">
        <f t="shared" si="12"/>
        <v>0</v>
      </c>
    </row>
    <row r="75" spans="1:16" s="61" customFormat="1" ht="25.5" x14ac:dyDescent="0.2">
      <c r="A75" s="218">
        <v>26</v>
      </c>
      <c r="B75" s="238" t="s">
        <v>229</v>
      </c>
      <c r="C75" s="263" t="s">
        <v>659</v>
      </c>
      <c r="D75" s="67" t="s">
        <v>207</v>
      </c>
      <c r="E75" s="205">
        <v>462.5</v>
      </c>
      <c r="F75" s="226"/>
      <c r="G75" s="226"/>
      <c r="H75" s="299"/>
      <c r="I75" s="299"/>
      <c r="J75" s="299"/>
      <c r="K75" s="75">
        <f t="shared" si="7"/>
        <v>0</v>
      </c>
      <c r="L75" s="76">
        <f t="shared" si="8"/>
        <v>0</v>
      </c>
      <c r="M75" s="75">
        <f t="shared" si="9"/>
        <v>0</v>
      </c>
      <c r="N75" s="75">
        <f t="shared" si="10"/>
        <v>0</v>
      </c>
      <c r="O75" s="75">
        <f t="shared" si="11"/>
        <v>0</v>
      </c>
      <c r="P75" s="77">
        <f t="shared" si="12"/>
        <v>0</v>
      </c>
    </row>
    <row r="76" spans="1:16" s="61" customFormat="1" x14ac:dyDescent="0.2">
      <c r="A76" s="218">
        <v>27</v>
      </c>
      <c r="B76" s="223" t="str">
        <f t="shared" si="14"/>
        <v>L.c.</v>
      </c>
      <c r="C76" s="301" t="s">
        <v>660</v>
      </c>
      <c r="D76" s="67" t="s">
        <v>207</v>
      </c>
      <c r="E76" s="205">
        <v>462.5</v>
      </c>
      <c r="F76" s="226"/>
      <c r="G76" s="226"/>
      <c r="H76" s="299"/>
      <c r="I76" s="299"/>
      <c r="J76" s="299"/>
      <c r="K76" s="75">
        <f t="shared" si="7"/>
        <v>0</v>
      </c>
      <c r="L76" s="76">
        <f t="shared" si="8"/>
        <v>0</v>
      </c>
      <c r="M76" s="75">
        <f t="shared" si="9"/>
        <v>0</v>
      </c>
      <c r="N76" s="75">
        <f t="shared" si="10"/>
        <v>0</v>
      </c>
      <c r="O76" s="75">
        <f t="shared" si="11"/>
        <v>0</v>
      </c>
      <c r="P76" s="77">
        <f t="shared" si="12"/>
        <v>0</v>
      </c>
    </row>
    <row r="77" spans="1:16" s="61" customFormat="1" x14ac:dyDescent="0.2">
      <c r="A77" s="218">
        <v>0</v>
      </c>
      <c r="B77" s="223">
        <f t="shared" si="14"/>
        <v>0</v>
      </c>
      <c r="C77" s="241" t="s">
        <v>661</v>
      </c>
      <c r="D77" s="67" t="s">
        <v>207</v>
      </c>
      <c r="E77" s="205">
        <f>1.08*E76</f>
        <v>499.50000000000006</v>
      </c>
      <c r="F77" s="226"/>
      <c r="G77" s="226"/>
      <c r="H77" s="299"/>
      <c r="I77" s="299"/>
      <c r="J77" s="299"/>
      <c r="K77" s="75">
        <f t="shared" si="7"/>
        <v>0</v>
      </c>
      <c r="L77" s="76">
        <f t="shared" si="8"/>
        <v>0</v>
      </c>
      <c r="M77" s="75">
        <f t="shared" si="9"/>
        <v>0</v>
      </c>
      <c r="N77" s="75">
        <f t="shared" si="10"/>
        <v>0</v>
      </c>
      <c r="O77" s="75">
        <f t="shared" si="11"/>
        <v>0</v>
      </c>
      <c r="P77" s="77">
        <f t="shared" si="12"/>
        <v>0</v>
      </c>
    </row>
    <row r="78" spans="1:16" s="61" customFormat="1" x14ac:dyDescent="0.2">
      <c r="A78" s="218">
        <v>0</v>
      </c>
      <c r="B78" s="223">
        <f t="shared" si="14"/>
        <v>0</v>
      </c>
      <c r="C78" s="241" t="s">
        <v>552</v>
      </c>
      <c r="D78" s="67" t="s">
        <v>131</v>
      </c>
      <c r="E78" s="205">
        <f>4.4*E76</f>
        <v>2035.0000000000002</v>
      </c>
      <c r="F78" s="226"/>
      <c r="G78" s="226"/>
      <c r="H78" s="299"/>
      <c r="I78" s="299"/>
      <c r="J78" s="299"/>
      <c r="K78" s="75">
        <f t="shared" ref="K78:K93" si="15">SUM(H78:J78)</f>
        <v>0</v>
      </c>
      <c r="L78" s="76">
        <f t="shared" ref="L78:L93" si="16">ROUND(F78*E78,2)</f>
        <v>0</v>
      </c>
      <c r="M78" s="75">
        <f t="shared" ref="M78:M93" si="17">ROUND(H78*E78,2)</f>
        <v>0</v>
      </c>
      <c r="N78" s="75">
        <f t="shared" ref="N78:N93" si="18">ROUND(I78*E78,2)</f>
        <v>0</v>
      </c>
      <c r="O78" s="75">
        <f t="shared" ref="O78:O93" si="19">ROUND(J78*E78,2)</f>
        <v>0</v>
      </c>
      <c r="P78" s="77">
        <f t="shared" ref="P78:P93" si="20">SUM(M78:O78)</f>
        <v>0</v>
      </c>
    </row>
    <row r="79" spans="1:16" s="61" customFormat="1" x14ac:dyDescent="0.2">
      <c r="A79" s="218">
        <v>0</v>
      </c>
      <c r="B79" s="223">
        <f t="shared" si="14"/>
        <v>0</v>
      </c>
      <c r="C79" s="241" t="s">
        <v>553</v>
      </c>
      <c r="D79" s="67" t="s">
        <v>131</v>
      </c>
      <c r="E79" s="205">
        <f>0.44*E76</f>
        <v>203.5</v>
      </c>
      <c r="F79" s="226"/>
      <c r="G79" s="226"/>
      <c r="H79" s="299"/>
      <c r="I79" s="299"/>
      <c r="J79" s="299"/>
      <c r="K79" s="75">
        <f t="shared" si="15"/>
        <v>0</v>
      </c>
      <c r="L79" s="76">
        <f t="shared" si="16"/>
        <v>0</v>
      </c>
      <c r="M79" s="75">
        <f t="shared" si="17"/>
        <v>0</v>
      </c>
      <c r="N79" s="75">
        <f t="shared" si="18"/>
        <v>0</v>
      </c>
      <c r="O79" s="75">
        <f t="shared" si="19"/>
        <v>0</v>
      </c>
      <c r="P79" s="77">
        <f t="shared" si="20"/>
        <v>0</v>
      </c>
    </row>
    <row r="80" spans="1:16" s="61" customFormat="1" ht="30" x14ac:dyDescent="0.2">
      <c r="A80" s="218">
        <v>28</v>
      </c>
      <c r="B80" s="229" t="s">
        <v>205</v>
      </c>
      <c r="C80" s="239" t="s">
        <v>727</v>
      </c>
      <c r="D80" s="233" t="s">
        <v>207</v>
      </c>
      <c r="E80" s="205">
        <v>105.6</v>
      </c>
      <c r="F80" s="213"/>
      <c r="G80" s="226"/>
      <c r="H80" s="214"/>
      <c r="I80" s="214"/>
      <c r="J80" s="214"/>
      <c r="K80" s="75">
        <f t="shared" si="15"/>
        <v>0</v>
      </c>
      <c r="L80" s="76">
        <f t="shared" si="16"/>
        <v>0</v>
      </c>
      <c r="M80" s="75">
        <f t="shared" si="17"/>
        <v>0</v>
      </c>
      <c r="N80" s="75">
        <f t="shared" si="18"/>
        <v>0</v>
      </c>
      <c r="O80" s="75">
        <f t="shared" si="19"/>
        <v>0</v>
      </c>
      <c r="P80" s="77">
        <f t="shared" si="20"/>
        <v>0</v>
      </c>
    </row>
    <row r="81" spans="1:16" s="61" customFormat="1" ht="30" x14ac:dyDescent="0.2">
      <c r="A81" s="218">
        <v>29</v>
      </c>
      <c r="B81" s="229" t="s">
        <v>205</v>
      </c>
      <c r="C81" s="239" t="s">
        <v>662</v>
      </c>
      <c r="D81" s="233" t="s">
        <v>207</v>
      </c>
      <c r="E81" s="205">
        <v>69.3</v>
      </c>
      <c r="F81" s="213"/>
      <c r="G81" s="226"/>
      <c r="H81" s="214"/>
      <c r="I81" s="214"/>
      <c r="J81" s="214"/>
      <c r="K81" s="75">
        <f t="shared" si="15"/>
        <v>0</v>
      </c>
      <c r="L81" s="76">
        <f t="shared" si="16"/>
        <v>0</v>
      </c>
      <c r="M81" s="75">
        <f t="shared" si="17"/>
        <v>0</v>
      </c>
      <c r="N81" s="75">
        <f t="shared" si="18"/>
        <v>0</v>
      </c>
      <c r="O81" s="75">
        <f t="shared" si="19"/>
        <v>0</v>
      </c>
      <c r="P81" s="77">
        <f t="shared" si="20"/>
        <v>0</v>
      </c>
    </row>
    <row r="82" spans="1:16" s="61" customFormat="1" ht="30" x14ac:dyDescent="0.2">
      <c r="A82" s="218">
        <v>30</v>
      </c>
      <c r="B82" s="229" t="s">
        <v>205</v>
      </c>
      <c r="C82" s="239" t="s">
        <v>728</v>
      </c>
      <c r="D82" s="233" t="s">
        <v>207</v>
      </c>
      <c r="E82" s="205">
        <v>135.1</v>
      </c>
      <c r="F82" s="213"/>
      <c r="G82" s="226"/>
      <c r="H82" s="214"/>
      <c r="I82" s="214"/>
      <c r="J82" s="214"/>
      <c r="K82" s="75">
        <f t="shared" si="15"/>
        <v>0</v>
      </c>
      <c r="L82" s="76">
        <f t="shared" si="16"/>
        <v>0</v>
      </c>
      <c r="M82" s="75">
        <f t="shared" si="17"/>
        <v>0</v>
      </c>
      <c r="N82" s="75">
        <f t="shared" si="18"/>
        <v>0</v>
      </c>
      <c r="O82" s="75">
        <f t="shared" si="19"/>
        <v>0</v>
      </c>
      <c r="P82" s="77">
        <f t="shared" si="20"/>
        <v>0</v>
      </c>
    </row>
    <row r="83" spans="1:16" s="61" customFormat="1" ht="30" x14ac:dyDescent="0.2">
      <c r="A83" s="218">
        <v>31</v>
      </c>
      <c r="B83" s="229" t="s">
        <v>205</v>
      </c>
      <c r="C83" s="239" t="s">
        <v>726</v>
      </c>
      <c r="D83" s="233" t="s">
        <v>207</v>
      </c>
      <c r="E83" s="205">
        <v>137.1</v>
      </c>
      <c r="F83" s="213"/>
      <c r="G83" s="226"/>
      <c r="H83" s="214"/>
      <c r="I83" s="214"/>
      <c r="J83" s="214"/>
      <c r="K83" s="75">
        <f t="shared" si="15"/>
        <v>0</v>
      </c>
      <c r="L83" s="76">
        <f t="shared" si="16"/>
        <v>0</v>
      </c>
      <c r="M83" s="75">
        <f t="shared" si="17"/>
        <v>0</v>
      </c>
      <c r="N83" s="75">
        <f t="shared" si="18"/>
        <v>0</v>
      </c>
      <c r="O83" s="75">
        <f t="shared" si="19"/>
        <v>0</v>
      </c>
      <c r="P83" s="77">
        <f t="shared" si="20"/>
        <v>0</v>
      </c>
    </row>
    <row r="84" spans="1:16" s="61" customFormat="1" ht="30" x14ac:dyDescent="0.2">
      <c r="A84" s="218">
        <v>32</v>
      </c>
      <c r="B84" s="229" t="s">
        <v>205</v>
      </c>
      <c r="C84" s="239" t="s">
        <v>729</v>
      </c>
      <c r="D84" s="233" t="s">
        <v>207</v>
      </c>
      <c r="E84" s="205">
        <v>82</v>
      </c>
      <c r="F84" s="213"/>
      <c r="G84" s="226"/>
      <c r="H84" s="214"/>
      <c r="I84" s="214"/>
      <c r="J84" s="214"/>
      <c r="K84" s="75">
        <f t="shared" si="15"/>
        <v>0</v>
      </c>
      <c r="L84" s="76">
        <f t="shared" si="16"/>
        <v>0</v>
      </c>
      <c r="M84" s="75">
        <f t="shared" si="17"/>
        <v>0</v>
      </c>
      <c r="N84" s="75">
        <f t="shared" si="18"/>
        <v>0</v>
      </c>
      <c r="O84" s="75">
        <f t="shared" si="19"/>
        <v>0</v>
      </c>
      <c r="P84" s="77">
        <f t="shared" si="20"/>
        <v>0</v>
      </c>
    </row>
    <row r="85" spans="1:16" s="61" customFormat="1" ht="30" x14ac:dyDescent="0.2">
      <c r="A85" s="218">
        <v>33</v>
      </c>
      <c r="B85" s="229" t="s">
        <v>205</v>
      </c>
      <c r="C85" s="239" t="s">
        <v>730</v>
      </c>
      <c r="D85" s="233" t="s">
        <v>207</v>
      </c>
      <c r="E85" s="205">
        <v>96</v>
      </c>
      <c r="F85" s="213"/>
      <c r="G85" s="226"/>
      <c r="H85" s="214"/>
      <c r="I85" s="214"/>
      <c r="J85" s="214"/>
      <c r="K85" s="75">
        <f t="shared" si="15"/>
        <v>0</v>
      </c>
      <c r="L85" s="76">
        <f t="shared" si="16"/>
        <v>0</v>
      </c>
      <c r="M85" s="75">
        <f t="shared" si="17"/>
        <v>0</v>
      </c>
      <c r="N85" s="75">
        <f t="shared" si="18"/>
        <v>0</v>
      </c>
      <c r="O85" s="75">
        <f t="shared" si="19"/>
        <v>0</v>
      </c>
      <c r="P85" s="77">
        <f t="shared" si="20"/>
        <v>0</v>
      </c>
    </row>
    <row r="86" spans="1:16" s="61" customFormat="1" ht="30" x14ac:dyDescent="0.2">
      <c r="A86" s="218">
        <v>34</v>
      </c>
      <c r="B86" s="229" t="s">
        <v>205</v>
      </c>
      <c r="C86" s="239" t="s">
        <v>725</v>
      </c>
      <c r="D86" s="233" t="s">
        <v>207</v>
      </c>
      <c r="E86" s="205">
        <v>27</v>
      </c>
      <c r="F86" s="213"/>
      <c r="G86" s="226"/>
      <c r="H86" s="214"/>
      <c r="I86" s="214"/>
      <c r="J86" s="214"/>
      <c r="K86" s="75">
        <f t="shared" si="15"/>
        <v>0</v>
      </c>
      <c r="L86" s="76">
        <f t="shared" si="16"/>
        <v>0</v>
      </c>
      <c r="M86" s="75">
        <f t="shared" si="17"/>
        <v>0</v>
      </c>
      <c r="N86" s="75">
        <f t="shared" si="18"/>
        <v>0</v>
      </c>
      <c r="O86" s="75">
        <f t="shared" si="19"/>
        <v>0</v>
      </c>
      <c r="P86" s="77">
        <f t="shared" si="20"/>
        <v>0</v>
      </c>
    </row>
    <row r="87" spans="1:16" s="61" customFormat="1" ht="15" x14ac:dyDescent="0.2">
      <c r="A87" s="218">
        <v>35</v>
      </c>
      <c r="B87" s="229" t="s">
        <v>205</v>
      </c>
      <c r="C87" s="230" t="s">
        <v>663</v>
      </c>
      <c r="D87" s="233" t="s">
        <v>207</v>
      </c>
      <c r="E87" s="205">
        <v>38</v>
      </c>
      <c r="F87" s="213"/>
      <c r="G87" s="226"/>
      <c r="H87" s="214"/>
      <c r="I87" s="214"/>
      <c r="J87" s="214"/>
      <c r="K87" s="75">
        <f t="shared" si="15"/>
        <v>0</v>
      </c>
      <c r="L87" s="76">
        <f t="shared" si="16"/>
        <v>0</v>
      </c>
      <c r="M87" s="75">
        <f t="shared" si="17"/>
        <v>0</v>
      </c>
      <c r="N87" s="75">
        <f t="shared" si="18"/>
        <v>0</v>
      </c>
      <c r="O87" s="75">
        <f t="shared" si="19"/>
        <v>0</v>
      </c>
      <c r="P87" s="77">
        <f t="shared" si="20"/>
        <v>0</v>
      </c>
    </row>
    <row r="88" spans="1:16" s="61" customFormat="1" ht="15" x14ac:dyDescent="0.2">
      <c r="A88" s="218">
        <v>36</v>
      </c>
      <c r="B88" s="229" t="s">
        <v>205</v>
      </c>
      <c r="C88" s="230" t="s">
        <v>664</v>
      </c>
      <c r="D88" s="233" t="s">
        <v>207</v>
      </c>
      <c r="E88" s="205">
        <v>251.9</v>
      </c>
      <c r="F88" s="213"/>
      <c r="G88" s="226"/>
      <c r="H88" s="214"/>
      <c r="I88" s="214"/>
      <c r="J88" s="214"/>
      <c r="K88" s="75">
        <f t="shared" si="15"/>
        <v>0</v>
      </c>
      <c r="L88" s="76">
        <f t="shared" si="16"/>
        <v>0</v>
      </c>
      <c r="M88" s="75">
        <f t="shared" si="17"/>
        <v>0</v>
      </c>
      <c r="N88" s="75">
        <f t="shared" si="18"/>
        <v>0</v>
      </c>
      <c r="O88" s="75">
        <f t="shared" si="19"/>
        <v>0</v>
      </c>
      <c r="P88" s="77">
        <f t="shared" si="20"/>
        <v>0</v>
      </c>
    </row>
    <row r="89" spans="1:16" s="61" customFormat="1" ht="45" x14ac:dyDescent="0.2">
      <c r="A89" s="218">
        <v>37</v>
      </c>
      <c r="B89" s="229" t="s">
        <v>205</v>
      </c>
      <c r="C89" s="230" t="s">
        <v>665</v>
      </c>
      <c r="D89" s="233" t="s">
        <v>207</v>
      </c>
      <c r="E89" s="205">
        <v>70</v>
      </c>
      <c r="F89" s="213"/>
      <c r="G89" s="226"/>
      <c r="H89" s="214"/>
      <c r="I89" s="214"/>
      <c r="J89" s="214"/>
      <c r="K89" s="75">
        <f t="shared" si="15"/>
        <v>0</v>
      </c>
      <c r="L89" s="76">
        <f t="shared" si="16"/>
        <v>0</v>
      </c>
      <c r="M89" s="75">
        <f t="shared" si="17"/>
        <v>0</v>
      </c>
      <c r="N89" s="75">
        <f t="shared" si="18"/>
        <v>0</v>
      </c>
      <c r="O89" s="75">
        <f t="shared" si="19"/>
        <v>0</v>
      </c>
      <c r="P89" s="77">
        <f t="shared" si="20"/>
        <v>0</v>
      </c>
    </row>
    <row r="90" spans="1:16" s="61" customFormat="1" ht="120" x14ac:dyDescent="0.2">
      <c r="A90" s="218">
        <v>38</v>
      </c>
      <c r="B90" s="229" t="s">
        <v>205</v>
      </c>
      <c r="C90" s="230" t="s">
        <v>666</v>
      </c>
      <c r="D90" s="233" t="s">
        <v>207</v>
      </c>
      <c r="E90" s="205">
        <v>50</v>
      </c>
      <c r="F90" s="213"/>
      <c r="G90" s="226"/>
      <c r="H90" s="214"/>
      <c r="I90" s="214"/>
      <c r="J90" s="214"/>
      <c r="K90" s="75">
        <f t="shared" si="15"/>
        <v>0</v>
      </c>
      <c r="L90" s="76">
        <f t="shared" si="16"/>
        <v>0</v>
      </c>
      <c r="M90" s="75">
        <f t="shared" si="17"/>
        <v>0</v>
      </c>
      <c r="N90" s="75">
        <f t="shared" si="18"/>
        <v>0</v>
      </c>
      <c r="O90" s="75">
        <f t="shared" si="19"/>
        <v>0</v>
      </c>
      <c r="P90" s="77">
        <f t="shared" si="20"/>
        <v>0</v>
      </c>
    </row>
    <row r="91" spans="1:16" s="61" customFormat="1" ht="105" x14ac:dyDescent="0.2">
      <c r="A91" s="218">
        <v>39</v>
      </c>
      <c r="B91" s="229" t="s">
        <v>205</v>
      </c>
      <c r="C91" s="230" t="s">
        <v>667</v>
      </c>
      <c r="D91" s="233" t="s">
        <v>207</v>
      </c>
      <c r="E91" s="205">
        <v>120.8</v>
      </c>
      <c r="F91" s="213"/>
      <c r="G91" s="226"/>
      <c r="H91" s="214"/>
      <c r="I91" s="214"/>
      <c r="J91" s="214"/>
      <c r="K91" s="75">
        <f t="shared" si="15"/>
        <v>0</v>
      </c>
      <c r="L91" s="76">
        <f t="shared" si="16"/>
        <v>0</v>
      </c>
      <c r="M91" s="75">
        <f t="shared" si="17"/>
        <v>0</v>
      </c>
      <c r="N91" s="75">
        <f t="shared" si="18"/>
        <v>0</v>
      </c>
      <c r="O91" s="75">
        <f t="shared" si="19"/>
        <v>0</v>
      </c>
      <c r="P91" s="77">
        <f t="shared" si="20"/>
        <v>0</v>
      </c>
    </row>
    <row r="92" spans="1:16" s="61" customFormat="1" ht="15" x14ac:dyDescent="0.2">
      <c r="A92" s="421"/>
      <c r="B92" s="454"/>
      <c r="C92" s="430"/>
      <c r="D92" s="424"/>
      <c r="E92" s="425"/>
      <c r="F92" s="213"/>
      <c r="G92" s="226"/>
      <c r="H92" s="214"/>
      <c r="I92" s="214"/>
      <c r="J92" s="214"/>
      <c r="K92" s="75">
        <f t="shared" si="15"/>
        <v>0</v>
      </c>
      <c r="L92" s="76">
        <f t="shared" si="16"/>
        <v>0</v>
      </c>
      <c r="M92" s="75">
        <f t="shared" si="17"/>
        <v>0</v>
      </c>
      <c r="N92" s="75">
        <f t="shared" si="18"/>
        <v>0</v>
      </c>
      <c r="O92" s="75">
        <f t="shared" si="19"/>
        <v>0</v>
      </c>
      <c r="P92" s="77">
        <f t="shared" si="20"/>
        <v>0</v>
      </c>
    </row>
    <row r="93" spans="1:16" s="61" customFormat="1" ht="45" x14ac:dyDescent="0.2">
      <c r="A93" s="218">
        <v>41</v>
      </c>
      <c r="B93" s="229" t="s">
        <v>205</v>
      </c>
      <c r="C93" s="239" t="s">
        <v>668</v>
      </c>
      <c r="D93" s="233" t="s">
        <v>62</v>
      </c>
      <c r="E93" s="205">
        <v>7</v>
      </c>
      <c r="F93" s="213"/>
      <c r="G93" s="226"/>
      <c r="H93" s="214"/>
      <c r="I93" s="214"/>
      <c r="J93" s="214"/>
      <c r="K93" s="75">
        <f t="shared" si="15"/>
        <v>0</v>
      </c>
      <c r="L93" s="76">
        <f t="shared" si="16"/>
        <v>0</v>
      </c>
      <c r="M93" s="75">
        <f t="shared" si="17"/>
        <v>0</v>
      </c>
      <c r="N93" s="75">
        <f t="shared" si="18"/>
        <v>0</v>
      </c>
      <c r="O93" s="75">
        <f t="shared" si="19"/>
        <v>0</v>
      </c>
      <c r="P93" s="77">
        <f t="shared" si="20"/>
        <v>0</v>
      </c>
    </row>
    <row r="94" spans="1:16" x14ac:dyDescent="0.2">
      <c r="A94" s="78"/>
      <c r="B94" s="131"/>
      <c r="C94" s="80"/>
      <c r="D94" s="81"/>
      <c r="E94" s="82"/>
      <c r="F94" s="82">
        <v>0</v>
      </c>
      <c r="G94" s="82">
        <v>0</v>
      </c>
      <c r="H94" s="83"/>
      <c r="I94" s="82"/>
      <c r="J94" s="82"/>
      <c r="K94" s="82"/>
      <c r="L94" s="82"/>
      <c r="M94" s="82"/>
      <c r="N94" s="82"/>
      <c r="O94" s="82"/>
      <c r="P94" s="84"/>
    </row>
    <row r="95" spans="1:16" ht="15" customHeight="1" x14ac:dyDescent="0.2">
      <c r="A95" s="85"/>
      <c r="B95" s="85"/>
      <c r="C95" s="509" t="s">
        <v>74</v>
      </c>
      <c r="D95" s="510"/>
      <c r="E95" s="510"/>
      <c r="F95" s="510"/>
      <c r="G95" s="510"/>
      <c r="H95" s="510"/>
      <c r="I95" s="510"/>
      <c r="J95" s="510"/>
      <c r="K95" s="510"/>
      <c r="L95" s="87">
        <f>SUM(L13:L94)</f>
        <v>0</v>
      </c>
      <c r="M95" s="87">
        <f>SUM(M13:M94)</f>
        <v>0</v>
      </c>
      <c r="N95" s="87">
        <f>SUM(N13:N94)</f>
        <v>0</v>
      </c>
      <c r="O95" s="87">
        <f>SUM(O13:O94)</f>
        <v>0</v>
      </c>
      <c r="P95" s="87">
        <f>SUM(P13:P94)</f>
        <v>0</v>
      </c>
    </row>
    <row r="96" spans="1:16" s="88" customFormat="1" collapsed="1" x14ac:dyDescent="0.2">
      <c r="I96" s="89"/>
    </row>
    <row r="97" spans="1:16" s="2" customFormat="1" ht="12.75" customHeight="1" x14ac:dyDescent="0.2">
      <c r="B97" s="90" t="s">
        <v>75</v>
      </c>
    </row>
    <row r="98" spans="1:16" s="2" customFormat="1" ht="45" customHeight="1" x14ac:dyDescent="0.2">
      <c r="A98"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98" s="511"/>
      <c r="C98" s="511"/>
      <c r="D98" s="511"/>
      <c r="E98" s="511"/>
      <c r="F98" s="511"/>
      <c r="G98" s="511"/>
      <c r="H98" s="511"/>
      <c r="I98" s="511"/>
      <c r="J98" s="511"/>
      <c r="K98" s="511"/>
      <c r="L98" s="511"/>
      <c r="M98" s="511"/>
      <c r="N98" s="511"/>
      <c r="O98" s="511"/>
      <c r="P98" s="511"/>
    </row>
    <row r="99" spans="1:16" s="2" customFormat="1" ht="75" customHeight="1" x14ac:dyDescent="0.2">
      <c r="A99" s="512"/>
      <c r="B99" s="512"/>
      <c r="C99" s="512"/>
      <c r="D99" s="512"/>
      <c r="E99" s="512"/>
      <c r="F99" s="512"/>
      <c r="G99" s="512"/>
      <c r="H99" s="512"/>
      <c r="I99" s="512"/>
      <c r="J99" s="512"/>
      <c r="K99" s="512"/>
      <c r="L99" s="512"/>
      <c r="M99" s="512"/>
      <c r="N99" s="512"/>
      <c r="O99" s="512"/>
      <c r="P99" s="512"/>
    </row>
    <row r="100" spans="1:16" s="2" customFormat="1" ht="12.75" customHeight="1" x14ac:dyDescent="0.2">
      <c r="B100" s="91"/>
    </row>
    <row r="101" spans="1:16" s="2" customFormat="1" ht="12.75" customHeight="1" x14ac:dyDescent="0.2">
      <c r="B101" s="91"/>
    </row>
    <row r="102" spans="1:16" s="88" customFormat="1" x14ac:dyDescent="0.2">
      <c r="B102" s="88" t="s">
        <v>36</v>
      </c>
      <c r="L102" s="92" t="s">
        <v>98</v>
      </c>
      <c r="M102" s="92"/>
      <c r="N102" s="92"/>
      <c r="O102" s="92"/>
      <c r="P102" s="92"/>
    </row>
    <row r="103" spans="1:16" s="88" customFormat="1" ht="14.25" customHeight="1" x14ac:dyDescent="0.2">
      <c r="C103" s="36"/>
      <c r="L103" s="36"/>
      <c r="M103" s="513"/>
      <c r="N103" s="513"/>
      <c r="O103" s="92"/>
      <c r="P103" s="92"/>
    </row>
    <row r="104" spans="1:16" s="88" customFormat="1" x14ac:dyDescent="0.2">
      <c r="C104" s="39"/>
      <c r="L104" s="39"/>
      <c r="M104" s="507"/>
      <c r="N104" s="507"/>
      <c r="O104" s="92"/>
      <c r="P104" s="92"/>
    </row>
    <row r="105" spans="1:16" s="88" customFormat="1" collapsed="1" x14ac:dyDescent="0.2">
      <c r="B105" s="89"/>
      <c r="F105" s="89"/>
      <c r="G105" s="89"/>
    </row>
  </sheetData>
  <mergeCells count="17">
    <mergeCell ref="M104:N104"/>
    <mergeCell ref="F11:K11"/>
    <mergeCell ref="L11:P11"/>
    <mergeCell ref="C95:K95"/>
    <mergeCell ref="A98:P98"/>
    <mergeCell ref="A99:P99"/>
    <mergeCell ref="M103:N103"/>
    <mergeCell ref="A11:A12"/>
    <mergeCell ref="B11:B12"/>
    <mergeCell ref="C11:C12"/>
    <mergeCell ref="D11:D12"/>
    <mergeCell ref="E11:E12"/>
    <mergeCell ref="A2:P2"/>
    <mergeCell ref="D3:P3"/>
    <mergeCell ref="D4:P4"/>
    <mergeCell ref="D5:P5"/>
    <mergeCell ref="L9:O9"/>
  </mergeCells>
  <conditionalFormatting sqref="I16">
    <cfRule type="expression" dxfId="213" priority="133" stopIfTrue="1">
      <formula>I16=#REF!=FALSE</formula>
    </cfRule>
  </conditionalFormatting>
  <conditionalFormatting sqref="I16">
    <cfRule type="expression" dxfId="212" priority="129">
      <formula>#REF!&gt;0</formula>
    </cfRule>
    <cfRule type="expression" dxfId="211" priority="130">
      <formula>#REF!=3</formula>
    </cfRule>
    <cfRule type="expression" dxfId="210" priority="131">
      <formula>#REF!=2</formula>
    </cfRule>
    <cfRule type="expression" dxfId="209" priority="132">
      <formula>#REF!=1</formula>
    </cfRule>
  </conditionalFormatting>
  <conditionalFormatting sqref="I14:I15">
    <cfRule type="expression" dxfId="208" priority="124">
      <formula>#REF!&gt;0</formula>
    </cfRule>
    <cfRule type="expression" dxfId="207" priority="125">
      <formula>#REF!=3</formula>
    </cfRule>
    <cfRule type="expression" dxfId="206" priority="126">
      <formula>#REF!=2</formula>
    </cfRule>
    <cfRule type="expression" dxfId="205" priority="127">
      <formula>#REF!=1</formula>
    </cfRule>
  </conditionalFormatting>
  <conditionalFormatting sqref="I14:I15">
    <cfRule type="expression" dxfId="204" priority="128" stopIfTrue="1">
      <formula>I14=#REF!=FALSE</formula>
    </cfRule>
  </conditionalFormatting>
  <conditionalFormatting sqref="I17">
    <cfRule type="expression" dxfId="203" priority="123" stopIfTrue="1">
      <formula>I17=#REF!=FALSE</formula>
    </cfRule>
  </conditionalFormatting>
  <conditionalFormatting sqref="I17">
    <cfRule type="expression" dxfId="202" priority="119">
      <formula>#REF!&gt;0</formula>
    </cfRule>
    <cfRule type="expression" dxfId="201" priority="120">
      <formula>#REF!=3</formula>
    </cfRule>
    <cfRule type="expression" dxfId="200" priority="121">
      <formula>#REF!=2</formula>
    </cfRule>
    <cfRule type="expression" dxfId="199" priority="122">
      <formula>#REF!=1</formula>
    </cfRule>
  </conditionalFormatting>
  <conditionalFormatting sqref="I18">
    <cfRule type="expression" dxfId="198" priority="118" stopIfTrue="1">
      <formula>I18=#REF!=FALSE</formula>
    </cfRule>
  </conditionalFormatting>
  <conditionalFormatting sqref="I18">
    <cfRule type="expression" dxfId="197" priority="114">
      <formula>#REF!&gt;0</formula>
    </cfRule>
    <cfRule type="expression" dxfId="196" priority="115">
      <formula>#REF!=3</formula>
    </cfRule>
    <cfRule type="expression" dxfId="195" priority="116">
      <formula>#REF!=2</formula>
    </cfRule>
    <cfRule type="expression" dxfId="194" priority="117">
      <formula>#REF!=1</formula>
    </cfRule>
  </conditionalFormatting>
  <conditionalFormatting sqref="I19">
    <cfRule type="expression" dxfId="193" priority="113" stopIfTrue="1">
      <formula>I19=#REF!=FALSE</formula>
    </cfRule>
  </conditionalFormatting>
  <conditionalFormatting sqref="I19">
    <cfRule type="expression" dxfId="192" priority="109">
      <formula>#REF!&gt;0</formula>
    </cfRule>
    <cfRule type="expression" dxfId="191" priority="110">
      <formula>#REF!=3</formula>
    </cfRule>
    <cfRule type="expression" dxfId="190" priority="111">
      <formula>#REF!=2</formula>
    </cfRule>
    <cfRule type="expression" dxfId="189" priority="112">
      <formula>#REF!=1</formula>
    </cfRule>
  </conditionalFormatting>
  <conditionalFormatting sqref="I57">
    <cfRule type="expression" dxfId="188" priority="100">
      <formula>#REF!&gt;0</formula>
    </cfRule>
    <cfRule type="expression" dxfId="187" priority="101">
      <formula>#REF!=3</formula>
    </cfRule>
    <cfRule type="expression" dxfId="186" priority="102">
      <formula>#REF!=2</formula>
    </cfRule>
    <cfRule type="expression" dxfId="185" priority="103">
      <formula>#REF!=1</formula>
    </cfRule>
  </conditionalFormatting>
  <conditionalFormatting sqref="I57">
    <cfRule type="expression" dxfId="184" priority="104" stopIfTrue="1">
      <formula>I57=#REF!=FALSE</formula>
    </cfRule>
  </conditionalFormatting>
  <conditionalFormatting sqref="I20">
    <cfRule type="expression" dxfId="183" priority="95" stopIfTrue="1">
      <formula>I20=#REF!=FALSE</formula>
    </cfRule>
  </conditionalFormatting>
  <conditionalFormatting sqref="I20">
    <cfRule type="expression" dxfId="182" priority="91">
      <formula>#REF!&gt;0</formula>
    </cfRule>
    <cfRule type="expression" dxfId="181" priority="92">
      <formula>#REF!=3</formula>
    </cfRule>
    <cfRule type="expression" dxfId="180" priority="93">
      <formula>#REF!=2</formula>
    </cfRule>
    <cfRule type="expression" dxfId="179" priority="94">
      <formula>#REF!=1</formula>
    </cfRule>
  </conditionalFormatting>
  <conditionalFormatting sqref="I80">
    <cfRule type="expression" dxfId="178" priority="90" stopIfTrue="1">
      <formula>I80=#REF!=FALSE</formula>
    </cfRule>
  </conditionalFormatting>
  <conditionalFormatting sqref="I80">
    <cfRule type="expression" dxfId="177" priority="86">
      <formula>#REF!&gt;0</formula>
    </cfRule>
    <cfRule type="expression" dxfId="176" priority="87">
      <formula>#REF!=3</formula>
    </cfRule>
    <cfRule type="expression" dxfId="175" priority="88">
      <formula>#REF!=2</formula>
    </cfRule>
    <cfRule type="expression" dxfId="174" priority="89">
      <formula>#REF!=1</formula>
    </cfRule>
  </conditionalFormatting>
  <conditionalFormatting sqref="I81">
    <cfRule type="expression" dxfId="173" priority="85" stopIfTrue="1">
      <formula>I81=#REF!=FALSE</formula>
    </cfRule>
  </conditionalFormatting>
  <conditionalFormatting sqref="I81">
    <cfRule type="expression" dxfId="172" priority="81">
      <formula>#REF!&gt;0</formula>
    </cfRule>
    <cfRule type="expression" dxfId="171" priority="82">
      <formula>#REF!=3</formula>
    </cfRule>
    <cfRule type="expression" dxfId="170" priority="83">
      <formula>#REF!=2</formula>
    </cfRule>
    <cfRule type="expression" dxfId="169" priority="84">
      <formula>#REF!=1</formula>
    </cfRule>
  </conditionalFormatting>
  <conditionalFormatting sqref="I86">
    <cfRule type="expression" dxfId="168" priority="80" stopIfTrue="1">
      <formula>I86=#REF!=FALSE</formula>
    </cfRule>
  </conditionalFormatting>
  <conditionalFormatting sqref="I86">
    <cfRule type="expression" dxfId="167" priority="76">
      <formula>#REF!&gt;0</formula>
    </cfRule>
    <cfRule type="expression" dxfId="166" priority="77">
      <formula>#REF!=3</formula>
    </cfRule>
    <cfRule type="expression" dxfId="165" priority="78">
      <formula>#REF!=2</formula>
    </cfRule>
    <cfRule type="expression" dxfId="164" priority="79">
      <formula>#REF!=1</formula>
    </cfRule>
  </conditionalFormatting>
  <conditionalFormatting sqref="I85">
    <cfRule type="expression" dxfId="163" priority="75" stopIfTrue="1">
      <formula>I85=#REF!=FALSE</formula>
    </cfRule>
  </conditionalFormatting>
  <conditionalFormatting sqref="I85">
    <cfRule type="expression" dxfId="162" priority="71">
      <formula>#REF!&gt;0</formula>
    </cfRule>
    <cfRule type="expression" dxfId="161" priority="72">
      <formula>#REF!=3</formula>
    </cfRule>
    <cfRule type="expression" dxfId="160" priority="73">
      <formula>#REF!=2</formula>
    </cfRule>
    <cfRule type="expression" dxfId="159" priority="74">
      <formula>#REF!=1</formula>
    </cfRule>
  </conditionalFormatting>
  <conditionalFormatting sqref="I84">
    <cfRule type="expression" dxfId="158" priority="70" stopIfTrue="1">
      <formula>I84=#REF!=FALSE</formula>
    </cfRule>
  </conditionalFormatting>
  <conditionalFormatting sqref="I84">
    <cfRule type="expression" dxfId="157" priority="66">
      <formula>#REF!&gt;0</formula>
    </cfRule>
    <cfRule type="expression" dxfId="156" priority="67">
      <formula>#REF!=3</formula>
    </cfRule>
    <cfRule type="expression" dxfId="155" priority="68">
      <formula>#REF!=2</formula>
    </cfRule>
    <cfRule type="expression" dxfId="154" priority="69">
      <formula>#REF!=1</formula>
    </cfRule>
  </conditionalFormatting>
  <conditionalFormatting sqref="I22">
    <cfRule type="expression" dxfId="153" priority="65" stopIfTrue="1">
      <formula>I22=#REF!=FALSE</formula>
    </cfRule>
  </conditionalFormatting>
  <conditionalFormatting sqref="I22">
    <cfRule type="expression" dxfId="152" priority="61">
      <formula>#REF!&gt;0</formula>
    </cfRule>
    <cfRule type="expression" dxfId="151" priority="62">
      <formula>#REF!=3</formula>
    </cfRule>
    <cfRule type="expression" dxfId="150" priority="63">
      <formula>#REF!=2</formula>
    </cfRule>
    <cfRule type="expression" dxfId="149" priority="64">
      <formula>#REF!=1</formula>
    </cfRule>
  </conditionalFormatting>
  <conditionalFormatting sqref="I82">
    <cfRule type="expression" dxfId="148" priority="60" stopIfTrue="1">
      <formula>I82=#REF!=FALSE</formula>
    </cfRule>
  </conditionalFormatting>
  <conditionalFormatting sqref="I82">
    <cfRule type="expression" dxfId="147" priority="56">
      <formula>#REF!&gt;0</formula>
    </cfRule>
    <cfRule type="expression" dxfId="146" priority="57">
      <formula>#REF!=3</formula>
    </cfRule>
    <cfRule type="expression" dxfId="145" priority="58">
      <formula>#REF!=2</formula>
    </cfRule>
    <cfRule type="expression" dxfId="144" priority="59">
      <formula>#REF!=1</formula>
    </cfRule>
  </conditionalFormatting>
  <conditionalFormatting sqref="I83">
    <cfRule type="expression" dxfId="143" priority="55" stopIfTrue="1">
      <formula>I83=#REF!=FALSE</formula>
    </cfRule>
  </conditionalFormatting>
  <conditionalFormatting sqref="I83">
    <cfRule type="expression" dxfId="142" priority="51">
      <formula>#REF!&gt;0</formula>
    </cfRule>
    <cfRule type="expression" dxfId="141" priority="52">
      <formula>#REF!=3</formula>
    </cfRule>
    <cfRule type="expression" dxfId="140" priority="53">
      <formula>#REF!=2</formula>
    </cfRule>
    <cfRule type="expression" dxfId="139" priority="54">
      <formula>#REF!=1</formula>
    </cfRule>
  </conditionalFormatting>
  <conditionalFormatting sqref="I89">
    <cfRule type="expression" dxfId="138" priority="45" stopIfTrue="1">
      <formula>I89=#REF!=FALSE</formula>
    </cfRule>
  </conditionalFormatting>
  <conditionalFormatting sqref="I89">
    <cfRule type="expression" dxfId="137" priority="41">
      <formula>#REF!&gt;0</formula>
    </cfRule>
    <cfRule type="expression" dxfId="136" priority="42">
      <formula>#REF!=3</formula>
    </cfRule>
    <cfRule type="expression" dxfId="135" priority="43">
      <formula>#REF!=2</formula>
    </cfRule>
    <cfRule type="expression" dxfId="134" priority="44">
      <formula>#REF!=1</formula>
    </cfRule>
  </conditionalFormatting>
  <conditionalFormatting sqref="I21">
    <cfRule type="expression" dxfId="133" priority="50" stopIfTrue="1">
      <formula>I21=#REF!=FALSE</formula>
    </cfRule>
  </conditionalFormatting>
  <conditionalFormatting sqref="I21">
    <cfRule type="expression" dxfId="132" priority="46">
      <formula>#REF!&gt;0</formula>
    </cfRule>
    <cfRule type="expression" dxfId="131" priority="47">
      <formula>#REF!=3</formula>
    </cfRule>
    <cfRule type="expression" dxfId="130" priority="48">
      <formula>#REF!=2</formula>
    </cfRule>
    <cfRule type="expression" dxfId="129" priority="49">
      <formula>#REF!=1</formula>
    </cfRule>
  </conditionalFormatting>
  <conditionalFormatting sqref="I90">
    <cfRule type="expression" dxfId="128" priority="40" stopIfTrue="1">
      <formula>I90=#REF!=FALSE</formula>
    </cfRule>
  </conditionalFormatting>
  <conditionalFormatting sqref="I90">
    <cfRule type="expression" dxfId="127" priority="36">
      <formula>#REF!&gt;0</formula>
    </cfRule>
    <cfRule type="expression" dxfId="126" priority="37">
      <formula>#REF!=3</formula>
    </cfRule>
    <cfRule type="expression" dxfId="125" priority="38">
      <formula>#REF!=2</formula>
    </cfRule>
    <cfRule type="expression" dxfId="124" priority="39">
      <formula>#REF!=1</formula>
    </cfRule>
  </conditionalFormatting>
  <conditionalFormatting sqref="I91">
    <cfRule type="expression" dxfId="123" priority="35" stopIfTrue="1">
      <formula>I91=#REF!=FALSE</formula>
    </cfRule>
  </conditionalFormatting>
  <conditionalFormatting sqref="I91">
    <cfRule type="expression" dxfId="122" priority="31">
      <formula>#REF!&gt;0</formula>
    </cfRule>
    <cfRule type="expression" dxfId="121" priority="32">
      <formula>#REF!=3</formula>
    </cfRule>
    <cfRule type="expression" dxfId="120" priority="33">
      <formula>#REF!=2</formula>
    </cfRule>
    <cfRule type="expression" dxfId="119" priority="34">
      <formula>#REF!=1</formula>
    </cfRule>
  </conditionalFormatting>
  <conditionalFormatting sqref="I92">
    <cfRule type="expression" dxfId="118" priority="30" stopIfTrue="1">
      <formula>I92=#REF!=FALSE</formula>
    </cfRule>
  </conditionalFormatting>
  <conditionalFormatting sqref="I92">
    <cfRule type="expression" dxfId="117" priority="26">
      <formula>#REF!&gt;0</formula>
    </cfRule>
    <cfRule type="expression" dxfId="116" priority="27">
      <formula>#REF!=3</formula>
    </cfRule>
    <cfRule type="expression" dxfId="115" priority="28">
      <formula>#REF!=2</formula>
    </cfRule>
    <cfRule type="expression" dxfId="114" priority="29">
      <formula>#REF!=1</formula>
    </cfRule>
  </conditionalFormatting>
  <conditionalFormatting sqref="I93">
    <cfRule type="expression" dxfId="113" priority="25" stopIfTrue="1">
      <formula>I93=#REF!=FALSE</formula>
    </cfRule>
  </conditionalFormatting>
  <conditionalFormatting sqref="I93">
    <cfRule type="expression" dxfId="112" priority="21">
      <formula>#REF!&gt;0</formula>
    </cfRule>
    <cfRule type="expression" dxfId="111" priority="22">
      <formula>#REF!=3</formula>
    </cfRule>
    <cfRule type="expression" dxfId="110" priority="23">
      <formula>#REF!=2</formula>
    </cfRule>
    <cfRule type="expression" dxfId="109" priority="24">
      <formula>#REF!=1</formula>
    </cfRule>
  </conditionalFormatting>
  <conditionalFormatting sqref="I24">
    <cfRule type="expression" dxfId="108" priority="20" stopIfTrue="1">
      <formula>I24=#REF!=FALSE</formula>
    </cfRule>
  </conditionalFormatting>
  <conditionalFormatting sqref="I24">
    <cfRule type="expression" dxfId="107" priority="16">
      <formula>#REF!&gt;0</formula>
    </cfRule>
    <cfRule type="expression" dxfId="106" priority="17">
      <formula>#REF!=3</formula>
    </cfRule>
    <cfRule type="expression" dxfId="105" priority="18">
      <formula>#REF!=2</formula>
    </cfRule>
    <cfRule type="expression" dxfId="104" priority="19">
      <formula>#REF!=1</formula>
    </cfRule>
  </conditionalFormatting>
  <conditionalFormatting sqref="I23">
    <cfRule type="expression" dxfId="103" priority="15" stopIfTrue="1">
      <formula>I23=#REF!=FALSE</formula>
    </cfRule>
  </conditionalFormatting>
  <conditionalFormatting sqref="I23">
    <cfRule type="expression" dxfId="102" priority="11">
      <formula>#REF!&gt;0</formula>
    </cfRule>
    <cfRule type="expression" dxfId="101" priority="12">
      <formula>#REF!=3</formula>
    </cfRule>
    <cfRule type="expression" dxfId="100" priority="13">
      <formula>#REF!=2</formula>
    </cfRule>
    <cfRule type="expression" dxfId="99" priority="14">
      <formula>#REF!=1</formula>
    </cfRule>
  </conditionalFormatting>
  <conditionalFormatting sqref="I87">
    <cfRule type="expression" dxfId="98" priority="10" stopIfTrue="1">
      <formula>I87=#REF!=FALSE</formula>
    </cfRule>
  </conditionalFormatting>
  <conditionalFormatting sqref="I87">
    <cfRule type="expression" dxfId="97" priority="6">
      <formula>#REF!&gt;0</formula>
    </cfRule>
    <cfRule type="expression" dxfId="96" priority="7">
      <formula>#REF!=3</formula>
    </cfRule>
    <cfRule type="expression" dxfId="95" priority="8">
      <formula>#REF!=2</formula>
    </cfRule>
    <cfRule type="expression" dxfId="94" priority="9">
      <formula>#REF!=1</formula>
    </cfRule>
  </conditionalFormatting>
  <conditionalFormatting sqref="I88">
    <cfRule type="expression" dxfId="93" priority="5" stopIfTrue="1">
      <formula>I88=#REF!=FALSE</formula>
    </cfRule>
  </conditionalFormatting>
  <conditionalFormatting sqref="I88">
    <cfRule type="expression" dxfId="92" priority="1">
      <formula>#REF!&gt;0</formula>
    </cfRule>
    <cfRule type="expression" dxfId="91" priority="2">
      <formula>#REF!=3</formula>
    </cfRule>
    <cfRule type="expression" dxfId="90" priority="3">
      <formula>#REF!=2</formula>
    </cfRule>
    <cfRule type="expression" dxfId="89" priority="4">
      <formula>#REF!=1</formula>
    </cfRule>
  </conditionalFormatting>
  <printOptions horizontalCentered="1"/>
  <pageMargins left="0.27559055118110237" right="0.27559055118110237" top="0.74803149606299213" bottom="0.74803149606299213" header="0.31496062992125984" footer="0.31496062992125984"/>
  <pageSetup paperSize="9" scale="68"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08" stopIfTrue="1" id="{6C9EF64B-51FA-4A65-AA87-254C6DF5F9D9}">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I25:I56</xm:sqref>
        </x14:conditionalFormatting>
        <x14:conditionalFormatting xmlns:xm="http://schemas.microsoft.com/office/excel/2006/main">
          <x14:cfRule type="expression" priority="105" stopIfTrue="1" id="{B018DAB9-47FD-4AE9-BEF6-73AB619A1485}">
            <xm:f>'\Dropbox\1MANI DOCUMENTI\2015_12decembris\Baltex_Group\Babite(AivarsMaurins)\[Baltex_Babite soc centrs_VCD4.xlsx]BK'!#REF!&gt;0</xm:f>
            <x14:dxf>
              <fill>
                <patternFill>
                  <bgColor indexed="10"/>
                </patternFill>
              </fill>
            </x14:dxf>
          </x14:cfRule>
          <x14:cfRule type="expression" priority="106" stopIfTrue="1" id="{0805EC6C-A5E1-486A-9DA7-6DA567E920DC}">
            <xm:f>'\Dropbox\1MANI DOCUMENTI\2015_12decembris\Baltex_Group\Babite(AivarsMaurins)\[Baltex_Babite soc centrs_VCD4.xlsx]BK'!#REF!=3</xm:f>
            <x14:dxf>
              <fill>
                <patternFill>
                  <bgColor indexed="10"/>
                </patternFill>
              </fill>
            </x14:dxf>
          </x14:cfRule>
          <x14:cfRule type="expression" priority="107" stopIfTrue="1" id="{8BA093E5-EA0A-4A8B-92B5-CFDEE6BA1C57}">
            <xm:f>'\Dropbox\1MANI DOCUMENTI\2015_12decembris\Baltex_Group\Babite(AivarsMaurins)\[Baltex_Babite soc centrs_VCD4.xlsx]BK'!#REF!=2</xm:f>
            <x14:dxf>
              <fill>
                <patternFill>
                  <bgColor indexed="11"/>
                </patternFill>
              </fill>
            </x14:dxf>
          </x14:cfRule>
          <xm:sqref>I25:I56</xm:sqref>
        </x14:conditionalFormatting>
        <x14:conditionalFormatting xmlns:xm="http://schemas.microsoft.com/office/excel/2006/main">
          <x14:cfRule type="expression" priority="99" stopIfTrue="1" id="{F3B22AA8-E2B7-407B-ADB6-5037CFC9B9AB}">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I58:I79</xm:sqref>
        </x14:conditionalFormatting>
        <x14:conditionalFormatting xmlns:xm="http://schemas.microsoft.com/office/excel/2006/main">
          <x14:cfRule type="expression" priority="96" stopIfTrue="1" id="{1B43F53B-5677-42A0-BC4B-E55314B4565E}">
            <xm:f>'\Dropbox\1MANI DOCUMENTI\2015_12decembris\Baltex_Group\Babite(AivarsMaurins)\[Baltex_Babite soc centrs_VCD4.xlsx]BK'!#REF!&gt;0</xm:f>
            <x14:dxf>
              <fill>
                <patternFill>
                  <bgColor indexed="10"/>
                </patternFill>
              </fill>
            </x14:dxf>
          </x14:cfRule>
          <x14:cfRule type="expression" priority="97" stopIfTrue="1" id="{CAFE7514-F147-47CE-80CC-8C8BF0B282FD}">
            <xm:f>'\Dropbox\1MANI DOCUMENTI\2015_12decembris\Baltex_Group\Babite(AivarsMaurins)\[Baltex_Babite soc centrs_VCD4.xlsx]BK'!#REF!=3</xm:f>
            <x14:dxf>
              <fill>
                <patternFill>
                  <bgColor indexed="10"/>
                </patternFill>
              </fill>
            </x14:dxf>
          </x14:cfRule>
          <x14:cfRule type="expression" priority="98" stopIfTrue="1" id="{4F5668E4-818C-4170-97F8-B3F91CB2EADC}">
            <xm:f>'\Dropbox\1MANI DOCUMENTI\2015_12decembris\Baltex_Group\Babite(AivarsMaurins)\[Baltex_Babite soc centrs_VCD4.xlsx]BK'!#REF!=2</xm:f>
            <x14:dxf>
              <fill>
                <patternFill>
                  <bgColor indexed="11"/>
                </patternFill>
              </fill>
            </x14:dxf>
          </x14:cfRule>
          <xm:sqref>I58:I79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108"/>
  <sheetViews>
    <sheetView showZeros="0" view="pageBreakPreview" topLeftCell="A2" zoomScale="80" zoomScaleNormal="100" zoomScaleSheetLayoutView="80" workbookViewId="0">
      <selection activeCell="C106" sqref="C106:N107"/>
    </sheetView>
  </sheetViews>
  <sheetFormatPr defaultRowHeight="14.25" x14ac:dyDescent="0.2"/>
  <cols>
    <col min="1" max="1" width="9" style="49" customWidth="1"/>
    <col min="2" max="2" width="9.42578125" style="49" customWidth="1"/>
    <col min="3" max="3" width="43.85546875" style="130" customWidth="1"/>
    <col min="4" max="4" width="8.140625" style="49" customWidth="1"/>
    <col min="5" max="11" width="9.140625" style="49"/>
    <col min="12" max="12" width="14.140625" style="49" customWidth="1"/>
    <col min="13" max="13" width="12.28515625" style="49" customWidth="1"/>
    <col min="14" max="14" width="14.28515625" style="49" customWidth="1"/>
    <col min="15" max="15" width="12.85546875" style="49" customWidth="1"/>
    <col min="16" max="16" width="14.7109375" style="49" customWidth="1"/>
    <col min="17" max="16384" width="9.140625" style="49"/>
  </cols>
  <sheetData>
    <row r="1" spans="1:16" s="41" customFormat="1" ht="15" x14ac:dyDescent="0.25">
      <c r="C1" s="127"/>
      <c r="E1" s="43"/>
      <c r="F1" s="43"/>
      <c r="G1" s="95" t="s">
        <v>37</v>
      </c>
      <c r="H1" s="122" t="str">
        <f>kops1!B32</f>
        <v>1,12</v>
      </c>
    </row>
    <row r="2" spans="1:16" s="41" customFormat="1" ht="15" x14ac:dyDescent="0.25">
      <c r="A2" s="504" t="str">
        <f>C13</f>
        <v>Fasāde</v>
      </c>
      <c r="B2" s="504"/>
      <c r="C2" s="504"/>
      <c r="D2" s="504"/>
      <c r="E2" s="504"/>
      <c r="F2" s="504"/>
      <c r="G2" s="504"/>
      <c r="H2" s="504"/>
      <c r="I2" s="504"/>
      <c r="J2" s="504"/>
      <c r="K2" s="504"/>
      <c r="L2" s="504"/>
      <c r="M2" s="504"/>
      <c r="N2" s="504"/>
      <c r="O2" s="504"/>
      <c r="P2" s="504"/>
    </row>
    <row r="3" spans="1:16" ht="15" x14ac:dyDescent="0.2">
      <c r="A3" s="47"/>
      <c r="B3" s="47"/>
      <c r="C3" s="129" t="s">
        <v>38</v>
      </c>
      <c r="D3" s="505" t="s">
        <v>94</v>
      </c>
      <c r="E3" s="505"/>
      <c r="F3" s="505"/>
      <c r="G3" s="505"/>
      <c r="H3" s="505"/>
      <c r="I3" s="505"/>
      <c r="J3" s="505"/>
      <c r="K3" s="505"/>
      <c r="L3" s="505"/>
      <c r="M3" s="505"/>
      <c r="N3" s="505"/>
      <c r="O3" s="505"/>
      <c r="P3" s="505"/>
    </row>
    <row r="4" spans="1:16" ht="15" x14ac:dyDescent="0.2">
      <c r="A4" s="47"/>
      <c r="B4" s="47"/>
      <c r="C4" s="129" t="s">
        <v>39</v>
      </c>
      <c r="D4" s="505" t="s">
        <v>95</v>
      </c>
      <c r="E4" s="505"/>
      <c r="F4" s="505"/>
      <c r="G4" s="505"/>
      <c r="H4" s="505"/>
      <c r="I4" s="505"/>
      <c r="J4" s="505"/>
      <c r="K4" s="505"/>
      <c r="L4" s="505"/>
      <c r="M4" s="505"/>
      <c r="N4" s="505"/>
      <c r="O4" s="505"/>
      <c r="P4" s="505"/>
    </row>
    <row r="5" spans="1:16" ht="15" x14ac:dyDescent="0.2">
      <c r="A5" s="47"/>
      <c r="B5" s="47"/>
      <c r="C5" s="129" t="s">
        <v>40</v>
      </c>
      <c r="D5" s="505" t="s">
        <v>96</v>
      </c>
      <c r="E5" s="505"/>
      <c r="F5" s="505"/>
      <c r="G5" s="505"/>
      <c r="H5" s="505"/>
      <c r="I5" s="505"/>
      <c r="J5" s="505"/>
      <c r="K5" s="505"/>
      <c r="L5" s="505"/>
      <c r="M5" s="505"/>
      <c r="N5" s="505"/>
      <c r="O5" s="505"/>
      <c r="P5" s="505"/>
    </row>
    <row r="6" spans="1:16" x14ac:dyDescent="0.2">
      <c r="A6" s="47"/>
      <c r="B6" s="47"/>
      <c r="C6" s="129" t="s">
        <v>100</v>
      </c>
      <c r="D6" s="50" t="s">
        <v>97</v>
      </c>
      <c r="E6" s="51"/>
      <c r="F6" s="51"/>
      <c r="G6" s="51"/>
      <c r="H6" s="51"/>
      <c r="I6" s="51"/>
      <c r="J6" s="51"/>
      <c r="K6" s="51"/>
      <c r="L6" s="51"/>
      <c r="M6" s="51"/>
      <c r="N6" s="51"/>
      <c r="O6" s="51"/>
      <c r="P6" s="53"/>
    </row>
    <row r="7" spans="1:16" x14ac:dyDescent="0.2">
      <c r="A7" s="8" t="s">
        <v>745</v>
      </c>
      <c r="B7" s="96"/>
      <c r="D7" s="50"/>
      <c r="E7" s="50"/>
      <c r="F7" s="50"/>
      <c r="G7" s="50"/>
      <c r="H7" s="50"/>
      <c r="I7" s="50"/>
      <c r="J7" s="50"/>
      <c r="K7" s="51"/>
      <c r="L7" s="51"/>
      <c r="M7" s="51"/>
      <c r="N7" s="51"/>
      <c r="O7" s="47" t="s">
        <v>41</v>
      </c>
      <c r="P7" s="56">
        <f>P98</f>
        <v>0</v>
      </c>
    </row>
    <row r="8" spans="1:16" x14ac:dyDescent="0.2">
      <c r="A8" s="57"/>
      <c r="B8" s="57"/>
      <c r="D8" s="58"/>
      <c r="E8" s="51"/>
      <c r="F8" s="51"/>
      <c r="G8" s="51"/>
      <c r="H8" s="51"/>
      <c r="I8" s="51"/>
      <c r="J8" s="51"/>
      <c r="K8" s="51"/>
      <c r="N8" s="51"/>
      <c r="O8" s="51"/>
      <c r="P8" s="53"/>
    </row>
    <row r="9" spans="1:16" ht="15" customHeight="1" x14ac:dyDescent="0.2">
      <c r="A9" s="59"/>
      <c r="B9" s="59"/>
      <c r="J9" s="62"/>
      <c r="K9" s="62"/>
      <c r="L9" s="506" t="s">
        <v>736</v>
      </c>
      <c r="M9" s="506"/>
      <c r="N9" s="506"/>
      <c r="O9" s="506"/>
      <c r="P9" s="62"/>
    </row>
    <row r="10" spans="1:16" ht="15" x14ac:dyDescent="0.2">
      <c r="A10" s="59"/>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75" customHeight="1"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c r="C13" s="65" t="str">
        <f>kops1!C32</f>
        <v>Fasāde</v>
      </c>
      <c r="D13" s="66"/>
      <c r="E13" s="67"/>
      <c r="F13" s="76">
        <v>0</v>
      </c>
      <c r="G13" s="76">
        <v>0</v>
      </c>
      <c r="H13" s="69"/>
      <c r="I13" s="70"/>
      <c r="J13" s="70"/>
      <c r="K13" s="70">
        <f t="shared" ref="K13" si="0">SUM(H13:J13)</f>
        <v>0</v>
      </c>
      <c r="L13" s="71">
        <f t="shared" ref="L13" si="1">ROUND(F13*E13,2)</f>
        <v>0</v>
      </c>
      <c r="M13" s="70">
        <f t="shared" ref="M13" si="2">ROUND(H13*E13,2)</f>
        <v>0</v>
      </c>
      <c r="N13" s="70">
        <f t="shared" ref="N13" si="3">ROUND(I13*E13,2)</f>
        <v>0</v>
      </c>
      <c r="O13" s="70">
        <f t="shared" ref="O13" si="4">ROUND(J13*E13,2)</f>
        <v>0</v>
      </c>
      <c r="P13" s="72">
        <f t="shared" ref="P13" si="5">SUM(M13:O13)</f>
        <v>0</v>
      </c>
    </row>
    <row r="14" spans="1:16" ht="132.75" customHeight="1" x14ac:dyDescent="0.2">
      <c r="A14" s="354">
        <v>1</v>
      </c>
      <c r="B14" s="355" t="s">
        <v>211</v>
      </c>
      <c r="C14" s="232" t="s">
        <v>731</v>
      </c>
      <c r="D14" s="67" t="s">
        <v>83</v>
      </c>
      <c r="E14" s="67">
        <v>550</v>
      </c>
      <c r="F14" s="359"/>
      <c r="G14" s="359"/>
      <c r="H14" s="227"/>
      <c r="I14" s="227"/>
      <c r="J14" s="227"/>
      <c r="K14" s="324">
        <f>SUM(H14:J14)</f>
        <v>0</v>
      </c>
      <c r="L14" s="74">
        <f>ROUND(F14*E14,2)</f>
        <v>0</v>
      </c>
      <c r="M14" s="324">
        <f>ROUND(H14*E14,2)</f>
        <v>0</v>
      </c>
      <c r="N14" s="324">
        <f>ROUND(I14*E14,2)</f>
        <v>0</v>
      </c>
      <c r="O14" s="324">
        <f>ROUND(J14*E14,2)</f>
        <v>0</v>
      </c>
      <c r="P14" s="325">
        <f>SUM(M14:O14)</f>
        <v>0</v>
      </c>
    </row>
    <row r="15" spans="1:16" s="61" customFormat="1" ht="25.5" x14ac:dyDescent="0.2">
      <c r="A15" s="228">
        <v>2</v>
      </c>
      <c r="B15" s="229" t="s">
        <v>215</v>
      </c>
      <c r="C15" s="232" t="s">
        <v>671</v>
      </c>
      <c r="D15" s="67" t="s">
        <v>207</v>
      </c>
      <c r="E15" s="205">
        <v>3120</v>
      </c>
      <c r="F15" s="226"/>
      <c r="G15" s="226"/>
      <c r="H15" s="299"/>
      <c r="I15" s="299"/>
      <c r="J15" s="299"/>
      <c r="K15" s="75">
        <f>SUM(H15:J15)</f>
        <v>0</v>
      </c>
      <c r="L15" s="76">
        <f>ROUND(F15*E15,2)</f>
        <v>0</v>
      </c>
      <c r="M15" s="75">
        <f>ROUND(H15*E15,2)</f>
        <v>0</v>
      </c>
      <c r="N15" s="75">
        <f>ROUND(I15*E15,2)</f>
        <v>0</v>
      </c>
      <c r="O15" s="75">
        <f>ROUND(J15*E15,2)</f>
        <v>0</v>
      </c>
      <c r="P15" s="77">
        <f>SUM(M15:O15)</f>
        <v>0</v>
      </c>
    </row>
    <row r="16" spans="1:16" s="61" customFormat="1" x14ac:dyDescent="0.2">
      <c r="A16" s="228">
        <v>3</v>
      </c>
      <c r="B16" s="229" t="s">
        <v>215</v>
      </c>
      <c r="C16" s="259" t="s">
        <v>672</v>
      </c>
      <c r="D16" s="67" t="s">
        <v>207</v>
      </c>
      <c r="E16" s="205">
        <v>505</v>
      </c>
      <c r="F16" s="226"/>
      <c r="G16" s="226"/>
      <c r="H16" s="299"/>
      <c r="I16" s="299"/>
      <c r="J16" s="299"/>
      <c r="K16" s="75">
        <f t="shared" ref="K16:K78" si="6">SUM(H16:J16)</f>
        <v>0</v>
      </c>
      <c r="L16" s="76">
        <f t="shared" ref="L16:L78" si="7">ROUND(F16*E16,2)</f>
        <v>0</v>
      </c>
      <c r="M16" s="75">
        <f t="shared" ref="M16:M78" si="8">ROUND(H16*E16,2)</f>
        <v>0</v>
      </c>
      <c r="N16" s="75">
        <f t="shared" ref="N16:N78" si="9">ROUND(I16*E16,2)</f>
        <v>0</v>
      </c>
      <c r="O16" s="75">
        <f t="shared" ref="O16:O78" si="10">ROUND(J16*E16,2)</f>
        <v>0</v>
      </c>
      <c r="P16" s="77">
        <f t="shared" ref="P16:P78" si="11">SUM(M16:O16)</f>
        <v>0</v>
      </c>
    </row>
    <row r="17" spans="1:16" s="61" customFormat="1" ht="25.5" x14ac:dyDescent="0.2">
      <c r="A17" s="228">
        <v>0</v>
      </c>
      <c r="B17" s="229">
        <v>0</v>
      </c>
      <c r="C17" s="216" t="s">
        <v>673</v>
      </c>
      <c r="D17" s="67" t="s">
        <v>207</v>
      </c>
      <c r="E17" s="205">
        <f>1.2*E16</f>
        <v>606</v>
      </c>
      <c r="F17" s="226"/>
      <c r="G17" s="226"/>
      <c r="H17" s="299"/>
      <c r="I17" s="299"/>
      <c r="J17" s="299"/>
      <c r="K17" s="75">
        <f t="shared" si="6"/>
        <v>0</v>
      </c>
      <c r="L17" s="76">
        <f t="shared" si="7"/>
        <v>0</v>
      </c>
      <c r="M17" s="75">
        <f t="shared" si="8"/>
        <v>0</v>
      </c>
      <c r="N17" s="75">
        <f t="shared" si="9"/>
        <v>0</v>
      </c>
      <c r="O17" s="75">
        <f t="shared" si="10"/>
        <v>0</v>
      </c>
      <c r="P17" s="77">
        <f t="shared" si="11"/>
        <v>0</v>
      </c>
    </row>
    <row r="18" spans="1:16" s="61" customFormat="1" x14ac:dyDescent="0.2">
      <c r="A18" s="228">
        <v>4</v>
      </c>
      <c r="B18" s="229" t="s">
        <v>215</v>
      </c>
      <c r="C18" s="232" t="s">
        <v>674</v>
      </c>
      <c r="D18" s="211" t="s">
        <v>199</v>
      </c>
      <c r="E18" s="205">
        <v>168</v>
      </c>
      <c r="F18" s="226"/>
      <c r="G18" s="226"/>
      <c r="H18" s="299"/>
      <c r="I18" s="299"/>
      <c r="J18" s="299"/>
      <c r="K18" s="75">
        <f t="shared" si="6"/>
        <v>0</v>
      </c>
      <c r="L18" s="76">
        <f t="shared" si="7"/>
        <v>0</v>
      </c>
      <c r="M18" s="75">
        <f t="shared" si="8"/>
        <v>0</v>
      </c>
      <c r="N18" s="75">
        <f t="shared" si="9"/>
        <v>0</v>
      </c>
      <c r="O18" s="75">
        <f t="shared" si="10"/>
        <v>0</v>
      </c>
      <c r="P18" s="77">
        <f t="shared" si="11"/>
        <v>0</v>
      </c>
    </row>
    <row r="19" spans="1:16" s="61" customFormat="1" ht="15" x14ac:dyDescent="0.2">
      <c r="A19" s="218">
        <v>5</v>
      </c>
      <c r="B19" s="238" t="s">
        <v>229</v>
      </c>
      <c r="C19" s="239" t="s">
        <v>230</v>
      </c>
      <c r="D19" s="67" t="s">
        <v>207</v>
      </c>
      <c r="E19" s="205">
        <v>2384</v>
      </c>
      <c r="F19" s="226"/>
      <c r="G19" s="226"/>
      <c r="H19" s="299"/>
      <c r="I19" s="299"/>
      <c r="J19" s="299"/>
      <c r="K19" s="75">
        <f t="shared" si="6"/>
        <v>0</v>
      </c>
      <c r="L19" s="76">
        <f t="shared" si="7"/>
        <v>0</v>
      </c>
      <c r="M19" s="75">
        <f t="shared" si="8"/>
        <v>0</v>
      </c>
      <c r="N19" s="75">
        <f t="shared" si="9"/>
        <v>0</v>
      </c>
      <c r="O19" s="75">
        <f t="shared" si="10"/>
        <v>0</v>
      </c>
      <c r="P19" s="77">
        <f t="shared" si="11"/>
        <v>0</v>
      </c>
    </row>
    <row r="20" spans="1:16" s="61" customFormat="1" x14ac:dyDescent="0.2">
      <c r="A20" s="218">
        <v>0</v>
      </c>
      <c r="B20" s="240">
        <v>0</v>
      </c>
      <c r="C20" s="241" t="s">
        <v>231</v>
      </c>
      <c r="D20" s="67" t="s">
        <v>131</v>
      </c>
      <c r="E20" s="205">
        <f>15*E19</f>
        <v>35760</v>
      </c>
      <c r="F20" s="226"/>
      <c r="G20" s="226"/>
      <c r="H20" s="299"/>
      <c r="I20" s="299"/>
      <c r="J20" s="299"/>
      <c r="K20" s="75">
        <f t="shared" si="6"/>
        <v>0</v>
      </c>
      <c r="L20" s="76">
        <f t="shared" si="7"/>
        <v>0</v>
      </c>
      <c r="M20" s="75">
        <f t="shared" si="8"/>
        <v>0</v>
      </c>
      <c r="N20" s="75">
        <f t="shared" si="9"/>
        <v>0</v>
      </c>
      <c r="O20" s="75">
        <f t="shared" si="10"/>
        <v>0</v>
      </c>
      <c r="P20" s="77">
        <f t="shared" si="11"/>
        <v>0</v>
      </c>
    </row>
    <row r="21" spans="1:16" s="61" customFormat="1" ht="30" x14ac:dyDescent="0.25">
      <c r="A21" s="143">
        <v>6</v>
      </c>
      <c r="B21" s="223" t="s">
        <v>211</v>
      </c>
      <c r="C21" s="224" t="s">
        <v>675</v>
      </c>
      <c r="D21" s="225" t="s">
        <v>207</v>
      </c>
      <c r="E21" s="225">
        <v>261</v>
      </c>
      <c r="F21" s="226"/>
      <c r="G21" s="226"/>
      <c r="H21" s="299"/>
      <c r="I21" s="299"/>
      <c r="J21" s="299"/>
      <c r="K21" s="75">
        <f t="shared" si="6"/>
        <v>0</v>
      </c>
      <c r="L21" s="76">
        <f t="shared" si="7"/>
        <v>0</v>
      </c>
      <c r="M21" s="75">
        <f t="shared" si="8"/>
        <v>0</v>
      </c>
      <c r="N21" s="75">
        <f t="shared" si="9"/>
        <v>0</v>
      </c>
      <c r="O21" s="75">
        <f t="shared" si="10"/>
        <v>0</v>
      </c>
      <c r="P21" s="77">
        <f t="shared" si="11"/>
        <v>0</v>
      </c>
    </row>
    <row r="22" spans="1:16" s="61" customFormat="1" ht="30" x14ac:dyDescent="0.25">
      <c r="A22" s="143">
        <v>0</v>
      </c>
      <c r="B22" s="223">
        <v>0</v>
      </c>
      <c r="C22" s="224" t="s">
        <v>676</v>
      </c>
      <c r="D22" s="225" t="s">
        <v>207</v>
      </c>
      <c r="E22" s="225">
        <f>1.04*E21</f>
        <v>271.44</v>
      </c>
      <c r="F22" s="359"/>
      <c r="G22" s="359"/>
      <c r="H22" s="227"/>
      <c r="I22" s="227"/>
      <c r="J22" s="299"/>
      <c r="K22" s="75">
        <f t="shared" si="6"/>
        <v>0</v>
      </c>
      <c r="L22" s="76">
        <f t="shared" si="7"/>
        <v>0</v>
      </c>
      <c r="M22" s="75">
        <f t="shared" si="8"/>
        <v>0</v>
      </c>
      <c r="N22" s="75">
        <f t="shared" si="9"/>
        <v>0</v>
      </c>
      <c r="O22" s="75">
        <f t="shared" si="10"/>
        <v>0</v>
      </c>
      <c r="P22" s="77">
        <f t="shared" si="11"/>
        <v>0</v>
      </c>
    </row>
    <row r="23" spans="1:16" s="61" customFormat="1" ht="15" x14ac:dyDescent="0.2">
      <c r="A23" s="143">
        <v>7</v>
      </c>
      <c r="B23" s="223" t="s">
        <v>211</v>
      </c>
      <c r="C23" s="232" t="s">
        <v>677</v>
      </c>
      <c r="D23" s="225" t="s">
        <v>207</v>
      </c>
      <c r="E23" s="225">
        <v>2123</v>
      </c>
      <c r="F23" s="226"/>
      <c r="G23" s="226"/>
      <c r="H23" s="299"/>
      <c r="I23" s="299"/>
      <c r="J23" s="299"/>
      <c r="K23" s="75">
        <f t="shared" si="6"/>
        <v>0</v>
      </c>
      <c r="L23" s="76">
        <f t="shared" si="7"/>
        <v>0</v>
      </c>
      <c r="M23" s="75">
        <f t="shared" si="8"/>
        <v>0</v>
      </c>
      <c r="N23" s="75">
        <f t="shared" si="9"/>
        <v>0</v>
      </c>
      <c r="O23" s="75">
        <f t="shared" si="10"/>
        <v>0</v>
      </c>
      <c r="P23" s="77">
        <f t="shared" si="11"/>
        <v>0</v>
      </c>
    </row>
    <row r="24" spans="1:16" s="61" customFormat="1" ht="30" x14ac:dyDescent="0.25">
      <c r="A24" s="143">
        <v>0</v>
      </c>
      <c r="B24" s="223">
        <v>0</v>
      </c>
      <c r="C24" s="224" t="s">
        <v>678</v>
      </c>
      <c r="D24" s="225" t="s">
        <v>207</v>
      </c>
      <c r="E24" s="225">
        <f>1.04*E23</f>
        <v>2207.92</v>
      </c>
      <c r="F24" s="226"/>
      <c r="G24" s="226"/>
      <c r="H24" s="299"/>
      <c r="I24" s="299"/>
      <c r="J24" s="299"/>
      <c r="K24" s="75">
        <f t="shared" si="6"/>
        <v>0</v>
      </c>
      <c r="L24" s="76">
        <f t="shared" si="7"/>
        <v>0</v>
      </c>
      <c r="M24" s="75">
        <f t="shared" si="8"/>
        <v>0</v>
      </c>
      <c r="N24" s="75">
        <f t="shared" si="9"/>
        <v>0</v>
      </c>
      <c r="O24" s="75">
        <f t="shared" si="10"/>
        <v>0</v>
      </c>
      <c r="P24" s="77">
        <f t="shared" si="11"/>
        <v>0</v>
      </c>
    </row>
    <row r="25" spans="1:16" s="61" customFormat="1" ht="15" x14ac:dyDescent="0.2">
      <c r="A25" s="143">
        <v>8</v>
      </c>
      <c r="B25" s="223" t="s">
        <v>211</v>
      </c>
      <c r="C25" s="232" t="s">
        <v>677</v>
      </c>
      <c r="D25" s="225" t="s">
        <v>207</v>
      </c>
      <c r="E25" s="225">
        <v>2384</v>
      </c>
      <c r="F25" s="226"/>
      <c r="G25" s="226"/>
      <c r="H25" s="299"/>
      <c r="I25" s="299"/>
      <c r="J25" s="299"/>
      <c r="K25" s="75">
        <f t="shared" si="6"/>
        <v>0</v>
      </c>
      <c r="L25" s="76">
        <f t="shared" si="7"/>
        <v>0</v>
      </c>
      <c r="M25" s="75">
        <f t="shared" si="8"/>
        <v>0</v>
      </c>
      <c r="N25" s="75">
        <f t="shared" si="9"/>
        <v>0</v>
      </c>
      <c r="O25" s="75">
        <f t="shared" si="10"/>
        <v>0</v>
      </c>
      <c r="P25" s="77">
        <f t="shared" si="11"/>
        <v>0</v>
      </c>
    </row>
    <row r="26" spans="1:16" s="61" customFormat="1" ht="30" x14ac:dyDescent="0.25">
      <c r="A26" s="143">
        <v>0</v>
      </c>
      <c r="B26" s="223">
        <v>0</v>
      </c>
      <c r="C26" s="224" t="s">
        <v>679</v>
      </c>
      <c r="D26" s="225" t="s">
        <v>207</v>
      </c>
      <c r="E26" s="225">
        <f>1.04*E25</f>
        <v>2479.36</v>
      </c>
      <c r="F26" s="226"/>
      <c r="G26" s="226"/>
      <c r="H26" s="299"/>
      <c r="I26" s="299"/>
      <c r="J26" s="299"/>
      <c r="K26" s="75">
        <f t="shared" si="6"/>
        <v>0</v>
      </c>
      <c r="L26" s="76">
        <f t="shared" si="7"/>
        <v>0</v>
      </c>
      <c r="M26" s="75">
        <f t="shared" si="8"/>
        <v>0</v>
      </c>
      <c r="N26" s="75">
        <f t="shared" si="9"/>
        <v>0</v>
      </c>
      <c r="O26" s="75">
        <f t="shared" si="10"/>
        <v>0</v>
      </c>
      <c r="P26" s="77">
        <f t="shared" si="11"/>
        <v>0</v>
      </c>
    </row>
    <row r="27" spans="1:16" s="61" customFormat="1" ht="30" x14ac:dyDescent="0.2">
      <c r="A27" s="228">
        <v>9</v>
      </c>
      <c r="B27" s="229" t="s">
        <v>215</v>
      </c>
      <c r="C27" s="230" t="s">
        <v>216</v>
      </c>
      <c r="D27" s="67" t="s">
        <v>207</v>
      </c>
      <c r="E27" s="205">
        <v>2384</v>
      </c>
      <c r="F27" s="226"/>
      <c r="G27" s="226"/>
      <c r="H27" s="299"/>
      <c r="I27" s="299"/>
      <c r="J27" s="299"/>
      <c r="K27" s="75">
        <f t="shared" si="6"/>
        <v>0</v>
      </c>
      <c r="L27" s="76">
        <f t="shared" si="7"/>
        <v>0</v>
      </c>
      <c r="M27" s="75">
        <f t="shared" si="8"/>
        <v>0</v>
      </c>
      <c r="N27" s="75">
        <f t="shared" si="9"/>
        <v>0</v>
      </c>
      <c r="O27" s="75">
        <f t="shared" si="10"/>
        <v>0</v>
      </c>
      <c r="P27" s="77">
        <f t="shared" si="11"/>
        <v>0</v>
      </c>
    </row>
    <row r="28" spans="1:16" s="61" customFormat="1" ht="25.5" x14ac:dyDescent="0.2">
      <c r="A28" s="234">
        <v>10</v>
      </c>
      <c r="B28" s="235" t="s">
        <v>226</v>
      </c>
      <c r="C28" s="236" t="s">
        <v>680</v>
      </c>
      <c r="D28" s="211" t="s">
        <v>207</v>
      </c>
      <c r="E28" s="205">
        <v>2384</v>
      </c>
      <c r="F28" s="226"/>
      <c r="G28" s="226"/>
      <c r="H28" s="299"/>
      <c r="I28" s="299"/>
      <c r="J28" s="299"/>
      <c r="K28" s="75">
        <f t="shared" si="6"/>
        <v>0</v>
      </c>
      <c r="L28" s="76">
        <f t="shared" si="7"/>
        <v>0</v>
      </c>
      <c r="M28" s="75">
        <f t="shared" si="8"/>
        <v>0</v>
      </c>
      <c r="N28" s="75">
        <f t="shared" si="9"/>
        <v>0</v>
      </c>
      <c r="O28" s="75">
        <f t="shared" si="10"/>
        <v>0</v>
      </c>
      <c r="P28" s="77">
        <f t="shared" si="11"/>
        <v>0</v>
      </c>
    </row>
    <row r="29" spans="1:16" s="61" customFormat="1" x14ac:dyDescent="0.2">
      <c r="A29" s="234">
        <v>11</v>
      </c>
      <c r="B29" s="235" t="s">
        <v>226</v>
      </c>
      <c r="C29" s="236" t="s">
        <v>681</v>
      </c>
      <c r="D29" s="211" t="s">
        <v>207</v>
      </c>
      <c r="E29" s="205">
        <v>2384</v>
      </c>
      <c r="F29" s="226"/>
      <c r="G29" s="226"/>
      <c r="H29" s="299"/>
      <c r="I29" s="299"/>
      <c r="J29" s="299"/>
      <c r="K29" s="75">
        <f t="shared" si="6"/>
        <v>0</v>
      </c>
      <c r="L29" s="76">
        <f t="shared" si="7"/>
        <v>0</v>
      </c>
      <c r="M29" s="75">
        <f t="shared" si="8"/>
        <v>0</v>
      </c>
      <c r="N29" s="75">
        <f t="shared" si="9"/>
        <v>0</v>
      </c>
      <c r="O29" s="75">
        <f t="shared" si="10"/>
        <v>0</v>
      </c>
      <c r="P29" s="77">
        <f t="shared" si="11"/>
        <v>0</v>
      </c>
    </row>
    <row r="30" spans="1:16" s="61" customFormat="1" ht="30" x14ac:dyDescent="0.2">
      <c r="A30" s="234">
        <v>0</v>
      </c>
      <c r="B30" s="237">
        <v>0</v>
      </c>
      <c r="C30" s="215" t="s">
        <v>682</v>
      </c>
      <c r="D30" s="67" t="s">
        <v>207</v>
      </c>
      <c r="E30" s="205">
        <f>E29</f>
        <v>2384</v>
      </c>
      <c r="F30" s="226"/>
      <c r="G30" s="226"/>
      <c r="H30" s="299"/>
      <c r="I30" s="299"/>
      <c r="J30" s="299"/>
      <c r="K30" s="75">
        <f t="shared" si="6"/>
        <v>0</v>
      </c>
      <c r="L30" s="76">
        <f t="shared" si="7"/>
        <v>0</v>
      </c>
      <c r="M30" s="75">
        <f t="shared" si="8"/>
        <v>0</v>
      </c>
      <c r="N30" s="75">
        <f t="shared" si="9"/>
        <v>0</v>
      </c>
      <c r="O30" s="75">
        <f t="shared" si="10"/>
        <v>0</v>
      </c>
      <c r="P30" s="77">
        <f t="shared" si="11"/>
        <v>0</v>
      </c>
    </row>
    <row r="31" spans="1:16" s="61" customFormat="1" x14ac:dyDescent="0.2">
      <c r="A31" s="234">
        <v>0</v>
      </c>
      <c r="B31" s="235">
        <v>0</v>
      </c>
      <c r="C31" s="302" t="s">
        <v>683</v>
      </c>
      <c r="D31" s="67"/>
      <c r="E31" s="205"/>
      <c r="F31" s="226"/>
      <c r="G31" s="226"/>
      <c r="H31" s="299"/>
      <c r="I31" s="299"/>
      <c r="J31" s="299"/>
      <c r="K31" s="75">
        <f t="shared" si="6"/>
        <v>0</v>
      </c>
      <c r="L31" s="76">
        <f t="shared" si="7"/>
        <v>0</v>
      </c>
      <c r="M31" s="75">
        <f t="shared" si="8"/>
        <v>0</v>
      </c>
      <c r="N31" s="75">
        <f t="shared" si="9"/>
        <v>0</v>
      </c>
      <c r="O31" s="75">
        <f t="shared" si="10"/>
        <v>0</v>
      </c>
      <c r="P31" s="77">
        <f t="shared" si="11"/>
        <v>0</v>
      </c>
    </row>
    <row r="32" spans="1:16" s="61" customFormat="1" ht="15" x14ac:dyDescent="0.2">
      <c r="A32" s="143">
        <v>13</v>
      </c>
      <c r="B32" s="223" t="s">
        <v>211</v>
      </c>
      <c r="C32" s="232" t="s">
        <v>677</v>
      </c>
      <c r="D32" s="225" t="s">
        <v>207</v>
      </c>
      <c r="E32" s="225">
        <v>165</v>
      </c>
      <c r="F32" s="226"/>
      <c r="G32" s="226"/>
      <c r="H32" s="299"/>
      <c r="I32" s="299"/>
      <c r="J32" s="299"/>
      <c r="K32" s="75">
        <f t="shared" si="6"/>
        <v>0</v>
      </c>
      <c r="L32" s="76">
        <f t="shared" si="7"/>
        <v>0</v>
      </c>
      <c r="M32" s="75">
        <f t="shared" si="8"/>
        <v>0</v>
      </c>
      <c r="N32" s="75">
        <f t="shared" si="9"/>
        <v>0</v>
      </c>
      <c r="O32" s="75">
        <f t="shared" si="10"/>
        <v>0</v>
      </c>
      <c r="P32" s="77">
        <f t="shared" si="11"/>
        <v>0</v>
      </c>
    </row>
    <row r="33" spans="1:16" s="61" customFormat="1" ht="30" x14ac:dyDescent="0.25">
      <c r="A33" s="143">
        <v>0</v>
      </c>
      <c r="B33" s="223">
        <v>0</v>
      </c>
      <c r="C33" s="224" t="s">
        <v>678</v>
      </c>
      <c r="D33" s="225" t="s">
        <v>207</v>
      </c>
      <c r="E33" s="225">
        <f>1.04*E32</f>
        <v>171.6</v>
      </c>
      <c r="F33" s="226"/>
      <c r="G33" s="226"/>
      <c r="H33" s="299"/>
      <c r="I33" s="299"/>
      <c r="J33" s="299"/>
      <c r="K33" s="75">
        <f t="shared" si="6"/>
        <v>0</v>
      </c>
      <c r="L33" s="76">
        <f t="shared" si="7"/>
        <v>0</v>
      </c>
      <c r="M33" s="75">
        <f t="shared" si="8"/>
        <v>0</v>
      </c>
      <c r="N33" s="75">
        <f t="shared" si="9"/>
        <v>0</v>
      </c>
      <c r="O33" s="75">
        <f t="shared" si="10"/>
        <v>0</v>
      </c>
      <c r="P33" s="77">
        <f t="shared" si="11"/>
        <v>0</v>
      </c>
    </row>
    <row r="34" spans="1:16" s="61" customFormat="1" ht="15" x14ac:dyDescent="0.2">
      <c r="A34" s="143">
        <v>14</v>
      </c>
      <c r="B34" s="223" t="s">
        <v>211</v>
      </c>
      <c r="C34" s="232" t="s">
        <v>677</v>
      </c>
      <c r="D34" s="225" t="s">
        <v>207</v>
      </c>
      <c r="E34" s="225">
        <v>165</v>
      </c>
      <c r="F34" s="226"/>
      <c r="G34" s="226"/>
      <c r="H34" s="299"/>
      <c r="I34" s="299"/>
      <c r="J34" s="299"/>
      <c r="K34" s="75">
        <f t="shared" si="6"/>
        <v>0</v>
      </c>
      <c r="L34" s="76">
        <f t="shared" si="7"/>
        <v>0</v>
      </c>
      <c r="M34" s="75">
        <f t="shared" si="8"/>
        <v>0</v>
      </c>
      <c r="N34" s="75">
        <f t="shared" si="9"/>
        <v>0</v>
      </c>
      <c r="O34" s="75">
        <f t="shared" si="10"/>
        <v>0</v>
      </c>
      <c r="P34" s="77">
        <f t="shared" si="11"/>
        <v>0</v>
      </c>
    </row>
    <row r="35" spans="1:16" s="61" customFormat="1" ht="30" x14ac:dyDescent="0.25">
      <c r="A35" s="143">
        <v>0</v>
      </c>
      <c r="B35" s="223">
        <v>0</v>
      </c>
      <c r="C35" s="224" t="s">
        <v>679</v>
      </c>
      <c r="D35" s="225" t="s">
        <v>207</v>
      </c>
      <c r="E35" s="225">
        <f>1.04*E34</f>
        <v>171.6</v>
      </c>
      <c r="F35" s="226"/>
      <c r="G35" s="226"/>
      <c r="H35" s="299"/>
      <c r="I35" s="299"/>
      <c r="J35" s="299"/>
      <c r="K35" s="75">
        <f t="shared" si="6"/>
        <v>0</v>
      </c>
      <c r="L35" s="76">
        <f t="shared" si="7"/>
        <v>0</v>
      </c>
      <c r="M35" s="75">
        <f t="shared" si="8"/>
        <v>0</v>
      </c>
      <c r="N35" s="75">
        <f t="shared" si="9"/>
        <v>0</v>
      </c>
      <c r="O35" s="75">
        <f t="shared" si="10"/>
        <v>0</v>
      </c>
      <c r="P35" s="77">
        <f t="shared" si="11"/>
        <v>0</v>
      </c>
    </row>
    <row r="36" spans="1:16" s="61" customFormat="1" ht="30" x14ac:dyDescent="0.2">
      <c r="A36" s="228">
        <v>15</v>
      </c>
      <c r="B36" s="229" t="s">
        <v>215</v>
      </c>
      <c r="C36" s="230" t="s">
        <v>216</v>
      </c>
      <c r="D36" s="67" t="s">
        <v>207</v>
      </c>
      <c r="E36" s="205">
        <v>165</v>
      </c>
      <c r="F36" s="226"/>
      <c r="G36" s="226"/>
      <c r="H36" s="299"/>
      <c r="I36" s="299"/>
      <c r="J36" s="299"/>
      <c r="K36" s="75">
        <f t="shared" si="6"/>
        <v>0</v>
      </c>
      <c r="L36" s="76">
        <f t="shared" si="7"/>
        <v>0</v>
      </c>
      <c r="M36" s="75">
        <f t="shared" si="8"/>
        <v>0</v>
      </c>
      <c r="N36" s="75">
        <f t="shared" si="9"/>
        <v>0</v>
      </c>
      <c r="O36" s="75">
        <f t="shared" si="10"/>
        <v>0</v>
      </c>
      <c r="P36" s="77">
        <f t="shared" si="11"/>
        <v>0</v>
      </c>
    </row>
    <row r="37" spans="1:16" s="61" customFormat="1" ht="25.5" x14ac:dyDescent="0.2">
      <c r="A37" s="234">
        <v>16</v>
      </c>
      <c r="B37" s="235" t="s">
        <v>226</v>
      </c>
      <c r="C37" s="236" t="s">
        <v>680</v>
      </c>
      <c r="D37" s="211" t="s">
        <v>207</v>
      </c>
      <c r="E37" s="205">
        <v>165</v>
      </c>
      <c r="F37" s="226"/>
      <c r="G37" s="226"/>
      <c r="H37" s="299"/>
      <c r="I37" s="299"/>
      <c r="J37" s="299"/>
      <c r="K37" s="75">
        <f t="shared" si="6"/>
        <v>0</v>
      </c>
      <c r="L37" s="76">
        <f t="shared" si="7"/>
        <v>0</v>
      </c>
      <c r="M37" s="75">
        <f t="shared" si="8"/>
        <v>0</v>
      </c>
      <c r="N37" s="75">
        <f t="shared" si="9"/>
        <v>0</v>
      </c>
      <c r="O37" s="75">
        <f t="shared" si="10"/>
        <v>0</v>
      </c>
      <c r="P37" s="77">
        <f t="shared" si="11"/>
        <v>0</v>
      </c>
    </row>
    <row r="38" spans="1:16" s="61" customFormat="1" x14ac:dyDescent="0.2">
      <c r="A38" s="234">
        <v>17</v>
      </c>
      <c r="B38" s="235" t="s">
        <v>226</v>
      </c>
      <c r="C38" s="236" t="s">
        <v>684</v>
      </c>
      <c r="D38" s="211" t="s">
        <v>207</v>
      </c>
      <c r="E38" s="205">
        <v>165</v>
      </c>
      <c r="F38" s="226"/>
      <c r="G38" s="226"/>
      <c r="H38" s="299"/>
      <c r="I38" s="299"/>
      <c r="J38" s="299"/>
      <c r="K38" s="75">
        <f t="shared" si="6"/>
        <v>0</v>
      </c>
      <c r="L38" s="76">
        <f t="shared" si="7"/>
        <v>0</v>
      </c>
      <c r="M38" s="75">
        <f t="shared" si="8"/>
        <v>0</v>
      </c>
      <c r="N38" s="75">
        <f t="shared" si="9"/>
        <v>0</v>
      </c>
      <c r="O38" s="75">
        <f t="shared" si="10"/>
        <v>0</v>
      </c>
      <c r="P38" s="77">
        <f t="shared" si="11"/>
        <v>0</v>
      </c>
    </row>
    <row r="39" spans="1:16" s="61" customFormat="1" ht="15" x14ac:dyDescent="0.2">
      <c r="A39" s="234">
        <v>0</v>
      </c>
      <c r="B39" s="237">
        <v>0</v>
      </c>
      <c r="C39" s="215" t="s">
        <v>685</v>
      </c>
      <c r="D39" s="67" t="s">
        <v>207</v>
      </c>
      <c r="E39" s="205">
        <f>E38*1.1</f>
        <v>181.50000000000003</v>
      </c>
      <c r="F39" s="226"/>
      <c r="G39" s="226"/>
      <c r="H39" s="299"/>
      <c r="I39" s="299"/>
      <c r="J39" s="299"/>
      <c r="K39" s="75">
        <f t="shared" si="6"/>
        <v>0</v>
      </c>
      <c r="L39" s="76">
        <f t="shared" si="7"/>
        <v>0</v>
      </c>
      <c r="M39" s="75">
        <f t="shared" si="8"/>
        <v>0</v>
      </c>
      <c r="N39" s="75">
        <f t="shared" si="9"/>
        <v>0</v>
      </c>
      <c r="O39" s="75">
        <f t="shared" si="10"/>
        <v>0</v>
      </c>
      <c r="P39" s="77">
        <f t="shared" si="11"/>
        <v>0</v>
      </c>
    </row>
    <row r="40" spans="1:16" s="61" customFormat="1" ht="15" x14ac:dyDescent="0.2">
      <c r="A40" s="234">
        <v>18</v>
      </c>
      <c r="B40" s="250" t="s">
        <v>371</v>
      </c>
      <c r="C40" s="239" t="s">
        <v>686</v>
      </c>
      <c r="D40" s="67" t="s">
        <v>207</v>
      </c>
      <c r="E40" s="205">
        <v>165</v>
      </c>
      <c r="F40" s="212"/>
      <c r="G40" s="213"/>
      <c r="H40" s="258"/>
      <c r="I40" s="258"/>
      <c r="J40" s="258"/>
      <c r="K40" s="75">
        <f t="shared" si="6"/>
        <v>0</v>
      </c>
      <c r="L40" s="76">
        <f t="shared" si="7"/>
        <v>0</v>
      </c>
      <c r="M40" s="75">
        <f t="shared" si="8"/>
        <v>0</v>
      </c>
      <c r="N40" s="75">
        <f t="shared" si="9"/>
        <v>0</v>
      </c>
      <c r="O40" s="75">
        <f t="shared" si="10"/>
        <v>0</v>
      </c>
      <c r="P40" s="77">
        <f t="shared" si="11"/>
        <v>0</v>
      </c>
    </row>
    <row r="41" spans="1:16" s="61" customFormat="1" ht="15" x14ac:dyDescent="0.2">
      <c r="A41" s="234">
        <v>0</v>
      </c>
      <c r="B41" s="250">
        <v>0</v>
      </c>
      <c r="C41" s="264" t="s">
        <v>387</v>
      </c>
      <c r="D41" s="67" t="s">
        <v>207</v>
      </c>
      <c r="E41" s="205">
        <f>1.1*E40</f>
        <v>181.50000000000003</v>
      </c>
      <c r="F41" s="212"/>
      <c r="G41" s="212"/>
      <c r="H41" s="258"/>
      <c r="I41" s="258"/>
      <c r="J41" s="258"/>
      <c r="K41" s="75">
        <f t="shared" si="6"/>
        <v>0</v>
      </c>
      <c r="L41" s="76">
        <f t="shared" si="7"/>
        <v>0</v>
      </c>
      <c r="M41" s="75">
        <f t="shared" si="8"/>
        <v>0</v>
      </c>
      <c r="N41" s="75">
        <f t="shared" si="9"/>
        <v>0</v>
      </c>
      <c r="O41" s="75">
        <f t="shared" si="10"/>
        <v>0</v>
      </c>
      <c r="P41" s="77">
        <f t="shared" si="11"/>
        <v>0</v>
      </c>
    </row>
    <row r="42" spans="1:16" s="61" customFormat="1" x14ac:dyDescent="0.2">
      <c r="A42" s="234">
        <v>0</v>
      </c>
      <c r="B42" s="250">
        <v>0</v>
      </c>
      <c r="C42" s="241" t="s">
        <v>388</v>
      </c>
      <c r="D42" s="211" t="s">
        <v>62</v>
      </c>
      <c r="E42" s="205">
        <f>7*E40</f>
        <v>1155</v>
      </c>
      <c r="F42" s="212"/>
      <c r="G42" s="212"/>
      <c r="H42" s="258"/>
      <c r="I42" s="258"/>
      <c r="J42" s="258"/>
      <c r="K42" s="75">
        <f t="shared" si="6"/>
        <v>0</v>
      </c>
      <c r="L42" s="76">
        <f t="shared" si="7"/>
        <v>0</v>
      </c>
      <c r="M42" s="75">
        <f t="shared" si="8"/>
        <v>0</v>
      </c>
      <c r="N42" s="75">
        <f t="shared" si="9"/>
        <v>0</v>
      </c>
      <c r="O42" s="75">
        <f t="shared" si="10"/>
        <v>0</v>
      </c>
      <c r="P42" s="77">
        <f t="shared" si="11"/>
        <v>0</v>
      </c>
    </row>
    <row r="43" spans="1:16" s="61" customFormat="1" x14ac:dyDescent="0.2">
      <c r="A43" s="234">
        <v>0</v>
      </c>
      <c r="B43" s="250">
        <v>0</v>
      </c>
      <c r="C43" s="241" t="s">
        <v>389</v>
      </c>
      <c r="D43" s="211" t="s">
        <v>73</v>
      </c>
      <c r="E43" s="205">
        <v>1</v>
      </c>
      <c r="F43" s="212"/>
      <c r="G43" s="212"/>
      <c r="H43" s="258"/>
      <c r="I43" s="258"/>
      <c r="J43" s="258"/>
      <c r="K43" s="75">
        <f t="shared" si="6"/>
        <v>0</v>
      </c>
      <c r="L43" s="76">
        <f t="shared" si="7"/>
        <v>0</v>
      </c>
      <c r="M43" s="75">
        <f t="shared" si="8"/>
        <v>0</v>
      </c>
      <c r="N43" s="75">
        <f t="shared" si="9"/>
        <v>0</v>
      </c>
      <c r="O43" s="75">
        <f t="shared" si="10"/>
        <v>0</v>
      </c>
      <c r="P43" s="77">
        <f t="shared" si="11"/>
        <v>0</v>
      </c>
    </row>
    <row r="44" spans="1:16" s="61" customFormat="1" x14ac:dyDescent="0.2">
      <c r="A44" s="234">
        <v>0</v>
      </c>
      <c r="B44" s="235">
        <v>0</v>
      </c>
      <c r="C44" s="302" t="s">
        <v>687</v>
      </c>
      <c r="D44" s="67"/>
      <c r="E44" s="205"/>
      <c r="F44" s="226"/>
      <c r="G44" s="226"/>
      <c r="H44" s="299"/>
      <c r="I44" s="299"/>
      <c r="J44" s="299"/>
      <c r="K44" s="75">
        <f t="shared" si="6"/>
        <v>0</v>
      </c>
      <c r="L44" s="76">
        <f t="shared" si="7"/>
        <v>0</v>
      </c>
      <c r="M44" s="75">
        <f t="shared" si="8"/>
        <v>0</v>
      </c>
      <c r="N44" s="75">
        <f t="shared" si="9"/>
        <v>0</v>
      </c>
      <c r="O44" s="75">
        <f t="shared" si="10"/>
        <v>0</v>
      </c>
      <c r="P44" s="77">
        <f t="shared" si="11"/>
        <v>0</v>
      </c>
    </row>
    <row r="45" spans="1:16" s="61" customFormat="1" ht="15" x14ac:dyDescent="0.2">
      <c r="A45" s="234">
        <v>19</v>
      </c>
      <c r="B45" s="235" t="s">
        <v>688</v>
      </c>
      <c r="C45" s="239" t="s">
        <v>689</v>
      </c>
      <c r="D45" s="233" t="s">
        <v>199</v>
      </c>
      <c r="E45" s="205">
        <v>175</v>
      </c>
      <c r="F45" s="226"/>
      <c r="G45" s="226"/>
      <c r="H45" s="299"/>
      <c r="I45" s="299"/>
      <c r="J45" s="299"/>
      <c r="K45" s="75">
        <f t="shared" si="6"/>
        <v>0</v>
      </c>
      <c r="L45" s="76">
        <f t="shared" si="7"/>
        <v>0</v>
      </c>
      <c r="M45" s="75">
        <f t="shared" si="8"/>
        <v>0</v>
      </c>
      <c r="N45" s="75">
        <f t="shared" si="9"/>
        <v>0</v>
      </c>
      <c r="O45" s="75">
        <f t="shared" si="10"/>
        <v>0</v>
      </c>
      <c r="P45" s="77">
        <f t="shared" si="11"/>
        <v>0</v>
      </c>
    </row>
    <row r="46" spans="1:16" s="61" customFormat="1" ht="30" x14ac:dyDescent="0.2">
      <c r="A46" s="234">
        <v>0</v>
      </c>
      <c r="B46" s="235">
        <v>0</v>
      </c>
      <c r="C46" s="264" t="s">
        <v>690</v>
      </c>
      <c r="D46" s="233" t="s">
        <v>199</v>
      </c>
      <c r="E46" s="205">
        <f>E45</f>
        <v>175</v>
      </c>
      <c r="F46" s="226"/>
      <c r="G46" s="226"/>
      <c r="H46" s="299"/>
      <c r="I46" s="299"/>
      <c r="J46" s="299"/>
      <c r="K46" s="75">
        <f t="shared" si="6"/>
        <v>0</v>
      </c>
      <c r="L46" s="76">
        <f t="shared" si="7"/>
        <v>0</v>
      </c>
      <c r="M46" s="75">
        <f t="shared" si="8"/>
        <v>0</v>
      </c>
      <c r="N46" s="75">
        <f t="shared" si="9"/>
        <v>0</v>
      </c>
      <c r="O46" s="75">
        <f t="shared" si="10"/>
        <v>0</v>
      </c>
      <c r="P46" s="77">
        <f t="shared" si="11"/>
        <v>0</v>
      </c>
    </row>
    <row r="47" spans="1:16" s="61" customFormat="1" x14ac:dyDescent="0.2">
      <c r="A47" s="228">
        <v>0</v>
      </c>
      <c r="B47" s="235">
        <v>0</v>
      </c>
      <c r="C47" s="303" t="s">
        <v>691</v>
      </c>
      <c r="D47" s="67"/>
      <c r="E47" s="205"/>
      <c r="F47" s="226"/>
      <c r="G47" s="226"/>
      <c r="H47" s="299"/>
      <c r="I47" s="299"/>
      <c r="J47" s="299"/>
      <c r="K47" s="75">
        <f t="shared" si="6"/>
        <v>0</v>
      </c>
      <c r="L47" s="76">
        <f t="shared" si="7"/>
        <v>0</v>
      </c>
      <c r="M47" s="75">
        <f t="shared" si="8"/>
        <v>0</v>
      </c>
      <c r="N47" s="75">
        <f t="shared" si="9"/>
        <v>0</v>
      </c>
      <c r="O47" s="75">
        <f t="shared" si="10"/>
        <v>0</v>
      </c>
      <c r="P47" s="77">
        <f t="shared" si="11"/>
        <v>0</v>
      </c>
    </row>
    <row r="48" spans="1:16" s="61" customFormat="1" ht="15" x14ac:dyDescent="0.25">
      <c r="A48" s="228">
        <v>20</v>
      </c>
      <c r="B48" s="229" t="s">
        <v>215</v>
      </c>
      <c r="C48" s="224" t="s">
        <v>674</v>
      </c>
      <c r="D48" s="211" t="s">
        <v>199</v>
      </c>
      <c r="E48" s="205">
        <v>87</v>
      </c>
      <c r="F48" s="226"/>
      <c r="G48" s="226"/>
      <c r="H48" s="299"/>
      <c r="I48" s="299"/>
      <c r="J48" s="299"/>
      <c r="K48" s="75">
        <f t="shared" si="6"/>
        <v>0</v>
      </c>
      <c r="L48" s="76">
        <f t="shared" si="7"/>
        <v>0</v>
      </c>
      <c r="M48" s="75">
        <f t="shared" si="8"/>
        <v>0</v>
      </c>
      <c r="N48" s="75">
        <f t="shared" si="9"/>
        <v>0</v>
      </c>
      <c r="O48" s="75">
        <f t="shared" si="10"/>
        <v>0</v>
      </c>
      <c r="P48" s="77">
        <f t="shared" si="11"/>
        <v>0</v>
      </c>
    </row>
    <row r="49" spans="1:16" s="61" customFormat="1" x14ac:dyDescent="0.2">
      <c r="A49" s="208">
        <v>21</v>
      </c>
      <c r="B49" s="304" t="s">
        <v>688</v>
      </c>
      <c r="C49" s="232" t="s">
        <v>692</v>
      </c>
      <c r="D49" s="211" t="s">
        <v>207</v>
      </c>
      <c r="E49" s="205">
        <v>405</v>
      </c>
      <c r="F49" s="226"/>
      <c r="G49" s="226"/>
      <c r="H49" s="299"/>
      <c r="I49" s="299"/>
      <c r="J49" s="299"/>
      <c r="K49" s="75">
        <f t="shared" si="6"/>
        <v>0</v>
      </c>
      <c r="L49" s="76">
        <f t="shared" si="7"/>
        <v>0</v>
      </c>
      <c r="M49" s="75">
        <f t="shared" si="8"/>
        <v>0</v>
      </c>
      <c r="N49" s="75">
        <f t="shared" si="9"/>
        <v>0</v>
      </c>
      <c r="O49" s="75">
        <f t="shared" si="10"/>
        <v>0</v>
      </c>
      <c r="P49" s="77">
        <f t="shared" si="11"/>
        <v>0</v>
      </c>
    </row>
    <row r="50" spans="1:16" s="61" customFormat="1" x14ac:dyDescent="0.2">
      <c r="A50" s="208">
        <v>0</v>
      </c>
      <c r="B50" s="304">
        <v>0</v>
      </c>
      <c r="C50" s="216" t="s">
        <v>693</v>
      </c>
      <c r="D50" s="211" t="s">
        <v>543</v>
      </c>
      <c r="E50" s="205">
        <f>E49*0.25</f>
        <v>101.25</v>
      </c>
      <c r="F50" s="226"/>
      <c r="G50" s="226"/>
      <c r="H50" s="299"/>
      <c r="I50" s="299"/>
      <c r="J50" s="299"/>
      <c r="K50" s="75">
        <f t="shared" si="6"/>
        <v>0</v>
      </c>
      <c r="L50" s="76">
        <f t="shared" si="7"/>
        <v>0</v>
      </c>
      <c r="M50" s="75">
        <f t="shared" si="8"/>
        <v>0</v>
      </c>
      <c r="N50" s="75">
        <f t="shared" si="9"/>
        <v>0</v>
      </c>
      <c r="O50" s="75">
        <f t="shared" si="10"/>
        <v>0</v>
      </c>
      <c r="P50" s="77">
        <f t="shared" si="11"/>
        <v>0</v>
      </c>
    </row>
    <row r="51" spans="1:16" s="61" customFormat="1" x14ac:dyDescent="0.2">
      <c r="A51" s="208">
        <v>22</v>
      </c>
      <c r="B51" s="304" t="s">
        <v>688</v>
      </c>
      <c r="C51" s="232" t="s">
        <v>694</v>
      </c>
      <c r="D51" s="211" t="s">
        <v>207</v>
      </c>
      <c r="E51" s="205">
        <v>405</v>
      </c>
      <c r="F51" s="226"/>
      <c r="G51" s="226"/>
      <c r="H51" s="299"/>
      <c r="I51" s="299"/>
      <c r="J51" s="299"/>
      <c r="K51" s="75">
        <f t="shared" si="6"/>
        <v>0</v>
      </c>
      <c r="L51" s="76">
        <f t="shared" si="7"/>
        <v>0</v>
      </c>
      <c r="M51" s="75">
        <f t="shared" si="8"/>
        <v>0</v>
      </c>
      <c r="N51" s="75">
        <f t="shared" si="9"/>
        <v>0</v>
      </c>
      <c r="O51" s="75">
        <f t="shared" si="10"/>
        <v>0</v>
      </c>
      <c r="P51" s="77">
        <f t="shared" si="11"/>
        <v>0</v>
      </c>
    </row>
    <row r="52" spans="1:16" s="61" customFormat="1" x14ac:dyDescent="0.2">
      <c r="A52" s="208">
        <v>0</v>
      </c>
      <c r="B52" s="304">
        <v>0</v>
      </c>
      <c r="C52" s="216" t="s">
        <v>695</v>
      </c>
      <c r="D52" s="211" t="s">
        <v>207</v>
      </c>
      <c r="E52" s="205">
        <f>E51*1.05</f>
        <v>425.25</v>
      </c>
      <c r="F52" s="226"/>
      <c r="G52" s="226"/>
      <c r="H52" s="299"/>
      <c r="I52" s="299"/>
      <c r="J52" s="299"/>
      <c r="K52" s="75">
        <f t="shared" si="6"/>
        <v>0</v>
      </c>
      <c r="L52" s="76">
        <f t="shared" si="7"/>
        <v>0</v>
      </c>
      <c r="M52" s="75">
        <f t="shared" si="8"/>
        <v>0</v>
      </c>
      <c r="N52" s="75">
        <f t="shared" si="9"/>
        <v>0</v>
      </c>
      <c r="O52" s="75">
        <f t="shared" si="10"/>
        <v>0</v>
      </c>
      <c r="P52" s="77">
        <f t="shared" si="11"/>
        <v>0</v>
      </c>
    </row>
    <row r="53" spans="1:16" s="61" customFormat="1" x14ac:dyDescent="0.2">
      <c r="A53" s="208">
        <v>0</v>
      </c>
      <c r="B53" s="304">
        <v>0</v>
      </c>
      <c r="C53" s="216" t="s">
        <v>222</v>
      </c>
      <c r="D53" s="211" t="s">
        <v>131</v>
      </c>
      <c r="E53" s="205">
        <f>E51*5</f>
        <v>2025</v>
      </c>
      <c r="F53" s="226"/>
      <c r="G53" s="226"/>
      <c r="H53" s="299"/>
      <c r="I53" s="299"/>
      <c r="J53" s="299"/>
      <c r="K53" s="75">
        <f t="shared" si="6"/>
        <v>0</v>
      </c>
      <c r="L53" s="76">
        <f t="shared" si="7"/>
        <v>0</v>
      </c>
      <c r="M53" s="75">
        <f t="shared" si="8"/>
        <v>0</v>
      </c>
      <c r="N53" s="75">
        <f t="shared" si="9"/>
        <v>0</v>
      </c>
      <c r="O53" s="75">
        <f t="shared" si="10"/>
        <v>0</v>
      </c>
      <c r="P53" s="77">
        <f t="shared" si="11"/>
        <v>0</v>
      </c>
    </row>
    <row r="54" spans="1:16" s="61" customFormat="1" x14ac:dyDescent="0.2">
      <c r="A54" s="208">
        <v>0</v>
      </c>
      <c r="B54" s="304">
        <v>0</v>
      </c>
      <c r="C54" s="216" t="s">
        <v>696</v>
      </c>
      <c r="D54" s="211" t="s">
        <v>62</v>
      </c>
      <c r="E54" s="205">
        <f>E51*8</f>
        <v>3240</v>
      </c>
      <c r="F54" s="226"/>
      <c r="G54" s="226"/>
      <c r="H54" s="299"/>
      <c r="I54" s="299"/>
      <c r="J54" s="299"/>
      <c r="K54" s="75">
        <f t="shared" si="6"/>
        <v>0</v>
      </c>
      <c r="L54" s="76">
        <f t="shared" si="7"/>
        <v>0</v>
      </c>
      <c r="M54" s="75">
        <f t="shared" si="8"/>
        <v>0</v>
      </c>
      <c r="N54" s="75">
        <f t="shared" si="9"/>
        <v>0</v>
      </c>
      <c r="O54" s="75">
        <f t="shared" si="10"/>
        <v>0</v>
      </c>
      <c r="P54" s="77">
        <f t="shared" si="11"/>
        <v>0</v>
      </c>
    </row>
    <row r="55" spans="1:16" s="61" customFormat="1" x14ac:dyDescent="0.2">
      <c r="A55" s="208">
        <v>23</v>
      </c>
      <c r="B55" s="304" t="s">
        <v>688</v>
      </c>
      <c r="C55" s="232" t="s">
        <v>694</v>
      </c>
      <c r="D55" s="211" t="s">
        <v>207</v>
      </c>
      <c r="E55" s="205">
        <v>405</v>
      </c>
      <c r="F55" s="226"/>
      <c r="G55" s="226"/>
      <c r="H55" s="299"/>
      <c r="I55" s="299"/>
      <c r="J55" s="299"/>
      <c r="K55" s="75">
        <f t="shared" si="6"/>
        <v>0</v>
      </c>
      <c r="L55" s="76">
        <f t="shared" si="7"/>
        <v>0</v>
      </c>
      <c r="M55" s="75">
        <f t="shared" si="8"/>
        <v>0</v>
      </c>
      <c r="N55" s="75">
        <f t="shared" si="9"/>
        <v>0</v>
      </c>
      <c r="O55" s="75">
        <f t="shared" si="10"/>
        <v>0</v>
      </c>
      <c r="P55" s="77">
        <f t="shared" si="11"/>
        <v>0</v>
      </c>
    </row>
    <row r="56" spans="1:16" s="61" customFormat="1" x14ac:dyDescent="0.2">
      <c r="A56" s="208">
        <v>0</v>
      </c>
      <c r="B56" s="304">
        <v>0</v>
      </c>
      <c r="C56" s="216" t="s">
        <v>695</v>
      </c>
      <c r="D56" s="211" t="s">
        <v>207</v>
      </c>
      <c r="E56" s="205">
        <f>E55*1.05</f>
        <v>425.25</v>
      </c>
      <c r="F56" s="226"/>
      <c r="G56" s="226"/>
      <c r="H56" s="299"/>
      <c r="I56" s="299"/>
      <c r="J56" s="299"/>
      <c r="K56" s="75">
        <f t="shared" si="6"/>
        <v>0</v>
      </c>
      <c r="L56" s="76">
        <f t="shared" si="7"/>
        <v>0</v>
      </c>
      <c r="M56" s="75">
        <f t="shared" si="8"/>
        <v>0</v>
      </c>
      <c r="N56" s="75">
        <f t="shared" si="9"/>
        <v>0</v>
      </c>
      <c r="O56" s="75">
        <f t="shared" si="10"/>
        <v>0</v>
      </c>
      <c r="P56" s="77">
        <f t="shared" si="11"/>
        <v>0</v>
      </c>
    </row>
    <row r="57" spans="1:16" s="61" customFormat="1" x14ac:dyDescent="0.2">
      <c r="A57" s="208">
        <v>0</v>
      </c>
      <c r="B57" s="304">
        <v>0</v>
      </c>
      <c r="C57" s="216" t="s">
        <v>222</v>
      </c>
      <c r="D57" s="211" t="s">
        <v>131</v>
      </c>
      <c r="E57" s="205">
        <f>E55*5</f>
        <v>2025</v>
      </c>
      <c r="F57" s="226"/>
      <c r="G57" s="226"/>
      <c r="H57" s="299"/>
      <c r="I57" s="299"/>
      <c r="J57" s="299"/>
      <c r="K57" s="75">
        <f t="shared" si="6"/>
        <v>0</v>
      </c>
      <c r="L57" s="76">
        <f t="shared" si="7"/>
        <v>0</v>
      </c>
      <c r="M57" s="75">
        <f t="shared" si="8"/>
        <v>0</v>
      </c>
      <c r="N57" s="75">
        <f t="shared" si="9"/>
        <v>0</v>
      </c>
      <c r="O57" s="75">
        <f t="shared" si="10"/>
        <v>0</v>
      </c>
      <c r="P57" s="77">
        <f t="shared" si="11"/>
        <v>0</v>
      </c>
    </row>
    <row r="58" spans="1:16" s="61" customFormat="1" x14ac:dyDescent="0.2">
      <c r="A58" s="208">
        <v>0</v>
      </c>
      <c r="B58" s="304">
        <v>0</v>
      </c>
      <c r="C58" s="216" t="s">
        <v>696</v>
      </c>
      <c r="D58" s="211" t="s">
        <v>62</v>
      </c>
      <c r="E58" s="205">
        <f>E55*8</f>
        <v>3240</v>
      </c>
      <c r="F58" s="226"/>
      <c r="G58" s="226"/>
      <c r="H58" s="299"/>
      <c r="I58" s="299"/>
      <c r="J58" s="299"/>
      <c r="K58" s="75">
        <f t="shared" si="6"/>
        <v>0</v>
      </c>
      <c r="L58" s="76">
        <f t="shared" si="7"/>
        <v>0</v>
      </c>
      <c r="M58" s="75">
        <f t="shared" si="8"/>
        <v>0</v>
      </c>
      <c r="N58" s="75">
        <f t="shared" si="9"/>
        <v>0</v>
      </c>
      <c r="O58" s="75">
        <f t="shared" si="10"/>
        <v>0</v>
      </c>
      <c r="P58" s="77">
        <f t="shared" si="11"/>
        <v>0</v>
      </c>
    </row>
    <row r="59" spans="1:16" s="61" customFormat="1" x14ac:dyDescent="0.2">
      <c r="A59" s="208">
        <v>24</v>
      </c>
      <c r="B59" s="304" t="s">
        <v>688</v>
      </c>
      <c r="C59" s="305" t="s">
        <v>697</v>
      </c>
      <c r="D59" s="67" t="s">
        <v>207</v>
      </c>
      <c r="E59" s="205">
        <v>405</v>
      </c>
      <c r="F59" s="226"/>
      <c r="G59" s="226"/>
      <c r="H59" s="299"/>
      <c r="I59" s="299"/>
      <c r="J59" s="299"/>
      <c r="K59" s="75">
        <f t="shared" si="6"/>
        <v>0</v>
      </c>
      <c r="L59" s="76">
        <f t="shared" si="7"/>
        <v>0</v>
      </c>
      <c r="M59" s="75">
        <f t="shared" si="8"/>
        <v>0</v>
      </c>
      <c r="N59" s="75">
        <f t="shared" si="9"/>
        <v>0</v>
      </c>
      <c r="O59" s="75">
        <f t="shared" si="10"/>
        <v>0</v>
      </c>
      <c r="P59" s="77">
        <f t="shared" si="11"/>
        <v>0</v>
      </c>
    </row>
    <row r="60" spans="1:16" s="61" customFormat="1" x14ac:dyDescent="0.2">
      <c r="A60" s="208">
        <v>0</v>
      </c>
      <c r="B60" s="304">
        <v>0</v>
      </c>
      <c r="C60" s="216" t="s">
        <v>698</v>
      </c>
      <c r="D60" s="67" t="s">
        <v>131</v>
      </c>
      <c r="E60" s="205">
        <f>E59*5</f>
        <v>2025</v>
      </c>
      <c r="F60" s="226"/>
      <c r="G60" s="226"/>
      <c r="H60" s="299"/>
      <c r="I60" s="299"/>
      <c r="J60" s="299"/>
      <c r="K60" s="75">
        <f t="shared" si="6"/>
        <v>0</v>
      </c>
      <c r="L60" s="76">
        <f t="shared" si="7"/>
        <v>0</v>
      </c>
      <c r="M60" s="75">
        <f t="shared" si="8"/>
        <v>0</v>
      </c>
      <c r="N60" s="75">
        <f t="shared" si="9"/>
        <v>0</v>
      </c>
      <c r="O60" s="75">
        <f t="shared" si="10"/>
        <v>0</v>
      </c>
      <c r="P60" s="77">
        <f t="shared" si="11"/>
        <v>0</v>
      </c>
    </row>
    <row r="61" spans="1:16" s="61" customFormat="1" x14ac:dyDescent="0.2">
      <c r="A61" s="208">
        <v>0</v>
      </c>
      <c r="B61" s="304">
        <v>0</v>
      </c>
      <c r="C61" s="216" t="s">
        <v>699</v>
      </c>
      <c r="D61" s="67" t="s">
        <v>207</v>
      </c>
      <c r="E61" s="205">
        <f>E59*1.1</f>
        <v>445.50000000000006</v>
      </c>
      <c r="F61" s="226"/>
      <c r="G61" s="226"/>
      <c r="H61" s="299"/>
      <c r="I61" s="299"/>
      <c r="J61" s="299"/>
      <c r="K61" s="75">
        <f t="shared" si="6"/>
        <v>0</v>
      </c>
      <c r="L61" s="76">
        <f t="shared" si="7"/>
        <v>0</v>
      </c>
      <c r="M61" s="75">
        <f t="shared" si="8"/>
        <v>0</v>
      </c>
      <c r="N61" s="75">
        <f t="shared" si="9"/>
        <v>0</v>
      </c>
      <c r="O61" s="75">
        <f t="shared" si="10"/>
        <v>0</v>
      </c>
      <c r="P61" s="77">
        <f t="shared" si="11"/>
        <v>0</v>
      </c>
    </row>
    <row r="62" spans="1:16" s="61" customFormat="1" x14ac:dyDescent="0.2">
      <c r="A62" s="208">
        <v>25</v>
      </c>
      <c r="B62" s="304" t="s">
        <v>688</v>
      </c>
      <c r="C62" s="305" t="s">
        <v>700</v>
      </c>
      <c r="D62" s="67" t="s">
        <v>207</v>
      </c>
      <c r="E62" s="205">
        <v>405</v>
      </c>
      <c r="F62" s="226"/>
      <c r="G62" s="226"/>
      <c r="H62" s="299"/>
      <c r="I62" s="299"/>
      <c r="J62" s="299"/>
      <c r="K62" s="75">
        <f t="shared" si="6"/>
        <v>0</v>
      </c>
      <c r="L62" s="76">
        <f t="shared" si="7"/>
        <v>0</v>
      </c>
      <c r="M62" s="75">
        <f t="shared" si="8"/>
        <v>0</v>
      </c>
      <c r="N62" s="75">
        <f t="shared" si="9"/>
        <v>0</v>
      </c>
      <c r="O62" s="75">
        <f t="shared" si="10"/>
        <v>0</v>
      </c>
      <c r="P62" s="77">
        <f t="shared" si="11"/>
        <v>0</v>
      </c>
    </row>
    <row r="63" spans="1:16" s="61" customFormat="1" ht="25.5" x14ac:dyDescent="0.2">
      <c r="A63" s="208">
        <v>0</v>
      </c>
      <c r="B63" s="304">
        <v>0</v>
      </c>
      <c r="C63" s="216" t="s">
        <v>701</v>
      </c>
      <c r="D63" s="211" t="s">
        <v>543</v>
      </c>
      <c r="E63" s="205">
        <f>E62*0.25</f>
        <v>101.25</v>
      </c>
      <c r="F63" s="226"/>
      <c r="G63" s="226"/>
      <c r="H63" s="299"/>
      <c r="I63" s="299"/>
      <c r="J63" s="299"/>
      <c r="K63" s="75">
        <f t="shared" si="6"/>
        <v>0</v>
      </c>
      <c r="L63" s="76">
        <f t="shared" si="7"/>
        <v>0</v>
      </c>
      <c r="M63" s="75">
        <f t="shared" si="8"/>
        <v>0</v>
      </c>
      <c r="N63" s="75">
        <f t="shared" si="9"/>
        <v>0</v>
      </c>
      <c r="O63" s="75">
        <f t="shared" si="10"/>
        <v>0</v>
      </c>
      <c r="P63" s="77">
        <f t="shared" si="11"/>
        <v>0</v>
      </c>
    </row>
    <row r="64" spans="1:16" s="61" customFormat="1" x14ac:dyDescent="0.2">
      <c r="A64" s="208">
        <v>26</v>
      </c>
      <c r="B64" s="304" t="s">
        <v>688</v>
      </c>
      <c r="C64" s="305" t="s">
        <v>702</v>
      </c>
      <c r="D64" s="67" t="s">
        <v>207</v>
      </c>
      <c r="E64" s="205">
        <v>405</v>
      </c>
      <c r="F64" s="226"/>
      <c r="G64" s="226"/>
      <c r="H64" s="299"/>
      <c r="I64" s="299"/>
      <c r="J64" s="299"/>
      <c r="K64" s="75">
        <f t="shared" si="6"/>
        <v>0</v>
      </c>
      <c r="L64" s="76">
        <f t="shared" si="7"/>
        <v>0</v>
      </c>
      <c r="M64" s="75">
        <f t="shared" si="8"/>
        <v>0</v>
      </c>
      <c r="N64" s="75">
        <f t="shared" si="9"/>
        <v>0</v>
      </c>
      <c r="O64" s="75">
        <f t="shared" si="10"/>
        <v>0</v>
      </c>
      <c r="P64" s="77">
        <f t="shared" si="11"/>
        <v>0</v>
      </c>
    </row>
    <row r="65" spans="1:16" s="61" customFormat="1" x14ac:dyDescent="0.2">
      <c r="A65" s="208">
        <v>0</v>
      </c>
      <c r="B65" s="304">
        <v>0</v>
      </c>
      <c r="C65" s="216" t="s">
        <v>703</v>
      </c>
      <c r="D65" s="211" t="s">
        <v>131</v>
      </c>
      <c r="E65" s="205">
        <f>E64*3</f>
        <v>1215</v>
      </c>
      <c r="F65" s="226"/>
      <c r="G65" s="226"/>
      <c r="H65" s="299"/>
      <c r="I65" s="299"/>
      <c r="J65" s="299"/>
      <c r="K65" s="75">
        <f t="shared" si="6"/>
        <v>0</v>
      </c>
      <c r="L65" s="76">
        <f t="shared" si="7"/>
        <v>0</v>
      </c>
      <c r="M65" s="75">
        <f t="shared" si="8"/>
        <v>0</v>
      </c>
      <c r="N65" s="75">
        <f t="shared" si="9"/>
        <v>0</v>
      </c>
      <c r="O65" s="75">
        <f t="shared" si="10"/>
        <v>0</v>
      </c>
      <c r="P65" s="77">
        <f t="shared" si="11"/>
        <v>0</v>
      </c>
    </row>
    <row r="66" spans="1:16" s="61" customFormat="1" x14ac:dyDescent="0.2">
      <c r="A66" s="208">
        <v>27</v>
      </c>
      <c r="B66" s="304" t="s">
        <v>688</v>
      </c>
      <c r="C66" s="305" t="s">
        <v>704</v>
      </c>
      <c r="D66" s="67" t="s">
        <v>207</v>
      </c>
      <c r="E66" s="205">
        <v>405</v>
      </c>
      <c r="F66" s="226"/>
      <c r="G66" s="226"/>
      <c r="H66" s="299"/>
      <c r="I66" s="299"/>
      <c r="J66" s="299"/>
      <c r="K66" s="75">
        <f t="shared" si="6"/>
        <v>0</v>
      </c>
      <c r="L66" s="76">
        <f t="shared" si="7"/>
        <v>0</v>
      </c>
      <c r="M66" s="75">
        <f t="shared" si="8"/>
        <v>0</v>
      </c>
      <c r="N66" s="75">
        <f t="shared" si="9"/>
        <v>0</v>
      </c>
      <c r="O66" s="75">
        <f t="shared" si="10"/>
        <v>0</v>
      </c>
      <c r="P66" s="77">
        <f t="shared" si="11"/>
        <v>0</v>
      </c>
    </row>
    <row r="67" spans="1:16" s="61" customFormat="1" x14ac:dyDescent="0.2">
      <c r="A67" s="208">
        <v>0</v>
      </c>
      <c r="B67" s="304">
        <v>0</v>
      </c>
      <c r="C67" s="216" t="s">
        <v>705</v>
      </c>
      <c r="D67" s="67" t="s">
        <v>543</v>
      </c>
      <c r="E67" s="205">
        <f>E66*0.06</f>
        <v>24.3</v>
      </c>
      <c r="F67" s="226"/>
      <c r="G67" s="226"/>
      <c r="H67" s="299"/>
      <c r="I67" s="299"/>
      <c r="J67" s="299"/>
      <c r="K67" s="75">
        <f t="shared" si="6"/>
        <v>0</v>
      </c>
      <c r="L67" s="76">
        <f t="shared" si="7"/>
        <v>0</v>
      </c>
      <c r="M67" s="75">
        <f t="shared" si="8"/>
        <v>0</v>
      </c>
      <c r="N67" s="75">
        <f t="shared" si="9"/>
        <v>0</v>
      </c>
      <c r="O67" s="75">
        <f t="shared" si="10"/>
        <v>0</v>
      </c>
      <c r="P67" s="77">
        <f t="shared" si="11"/>
        <v>0</v>
      </c>
    </row>
    <row r="68" spans="1:16" s="61" customFormat="1" x14ac:dyDescent="0.2">
      <c r="A68" s="208">
        <v>28</v>
      </c>
      <c r="B68" s="304" t="s">
        <v>688</v>
      </c>
      <c r="C68" s="305" t="s">
        <v>706</v>
      </c>
      <c r="D68" s="67" t="s">
        <v>207</v>
      </c>
      <c r="E68" s="205">
        <v>405</v>
      </c>
      <c r="F68" s="226"/>
      <c r="G68" s="226"/>
      <c r="H68" s="299"/>
      <c r="I68" s="299"/>
      <c r="J68" s="299"/>
      <c r="K68" s="75">
        <f t="shared" si="6"/>
        <v>0</v>
      </c>
      <c r="L68" s="76">
        <f t="shared" si="7"/>
        <v>0</v>
      </c>
      <c r="M68" s="75">
        <f t="shared" si="8"/>
        <v>0</v>
      </c>
      <c r="N68" s="75">
        <f t="shared" si="9"/>
        <v>0</v>
      </c>
      <c r="O68" s="75">
        <f t="shared" si="10"/>
        <v>0</v>
      </c>
      <c r="P68" s="77">
        <f t="shared" si="11"/>
        <v>0</v>
      </c>
    </row>
    <row r="69" spans="1:16" s="61" customFormat="1" x14ac:dyDescent="0.2">
      <c r="A69" s="208">
        <v>0</v>
      </c>
      <c r="B69" s="304">
        <v>0</v>
      </c>
      <c r="C69" s="301" t="s">
        <v>707</v>
      </c>
      <c r="D69" s="67" t="s">
        <v>543</v>
      </c>
      <c r="E69" s="205">
        <f>E68*0.35</f>
        <v>141.75</v>
      </c>
      <c r="F69" s="226"/>
      <c r="G69" s="226"/>
      <c r="H69" s="299"/>
      <c r="I69" s="299"/>
      <c r="J69" s="299"/>
      <c r="K69" s="75">
        <f t="shared" si="6"/>
        <v>0</v>
      </c>
      <c r="L69" s="76">
        <f t="shared" si="7"/>
        <v>0</v>
      </c>
      <c r="M69" s="75">
        <f t="shared" si="8"/>
        <v>0</v>
      </c>
      <c r="N69" s="75">
        <f t="shared" si="9"/>
        <v>0</v>
      </c>
      <c r="O69" s="75">
        <f t="shared" si="10"/>
        <v>0</v>
      </c>
      <c r="P69" s="77">
        <f t="shared" si="11"/>
        <v>0</v>
      </c>
    </row>
    <row r="70" spans="1:16" s="61" customFormat="1" x14ac:dyDescent="0.2">
      <c r="A70" s="228">
        <v>0</v>
      </c>
      <c r="B70" s="235">
        <v>0</v>
      </c>
      <c r="C70" s="303" t="s">
        <v>687</v>
      </c>
      <c r="D70" s="67"/>
      <c r="E70" s="205"/>
      <c r="F70" s="226"/>
      <c r="G70" s="226"/>
      <c r="H70" s="299"/>
      <c r="I70" s="299"/>
      <c r="J70" s="299"/>
      <c r="K70" s="75">
        <f t="shared" si="6"/>
        <v>0</v>
      </c>
      <c r="L70" s="76">
        <f t="shared" si="7"/>
        <v>0</v>
      </c>
      <c r="M70" s="75">
        <f t="shared" si="8"/>
        <v>0</v>
      </c>
      <c r="N70" s="75">
        <f t="shared" si="9"/>
        <v>0</v>
      </c>
      <c r="O70" s="75">
        <f t="shared" si="10"/>
        <v>0</v>
      </c>
      <c r="P70" s="77">
        <f t="shared" si="11"/>
        <v>0</v>
      </c>
    </row>
    <row r="71" spans="1:16" s="61" customFormat="1" x14ac:dyDescent="0.2">
      <c r="A71" s="208">
        <v>29</v>
      </c>
      <c r="B71" s="235" t="s">
        <v>688</v>
      </c>
      <c r="C71" s="305" t="s">
        <v>708</v>
      </c>
      <c r="D71" s="211" t="s">
        <v>199</v>
      </c>
      <c r="E71" s="205">
        <v>150</v>
      </c>
      <c r="F71" s="226"/>
      <c r="G71" s="226"/>
      <c r="H71" s="299"/>
      <c r="I71" s="299"/>
      <c r="J71" s="299"/>
      <c r="K71" s="75">
        <f t="shared" si="6"/>
        <v>0</v>
      </c>
      <c r="L71" s="76">
        <f t="shared" si="7"/>
        <v>0</v>
      </c>
      <c r="M71" s="75">
        <f t="shared" si="8"/>
        <v>0</v>
      </c>
      <c r="N71" s="75">
        <f t="shared" si="9"/>
        <v>0</v>
      </c>
      <c r="O71" s="75">
        <f t="shared" si="10"/>
        <v>0</v>
      </c>
      <c r="P71" s="77">
        <f t="shared" si="11"/>
        <v>0</v>
      </c>
    </row>
    <row r="72" spans="1:16" s="61" customFormat="1" x14ac:dyDescent="0.2">
      <c r="A72" s="208">
        <v>0</v>
      </c>
      <c r="B72" s="235">
        <v>0</v>
      </c>
      <c r="C72" s="216" t="s">
        <v>709</v>
      </c>
      <c r="D72" s="211" t="s">
        <v>207</v>
      </c>
      <c r="E72" s="205">
        <f>1*0.3*1.05*E71</f>
        <v>47.25</v>
      </c>
      <c r="F72" s="226"/>
      <c r="G72" s="226"/>
      <c r="H72" s="299"/>
      <c r="I72" s="299"/>
      <c r="J72" s="299"/>
      <c r="K72" s="75">
        <f t="shared" si="6"/>
        <v>0</v>
      </c>
      <c r="L72" s="76">
        <f t="shared" si="7"/>
        <v>0</v>
      </c>
      <c r="M72" s="75">
        <f t="shared" si="8"/>
        <v>0</v>
      </c>
      <c r="N72" s="75">
        <f t="shared" si="9"/>
        <v>0</v>
      </c>
      <c r="O72" s="75">
        <f t="shared" si="10"/>
        <v>0</v>
      </c>
      <c r="P72" s="77">
        <f t="shared" si="11"/>
        <v>0</v>
      </c>
    </row>
    <row r="73" spans="1:16" s="61" customFormat="1" x14ac:dyDescent="0.2">
      <c r="A73" s="208">
        <v>0</v>
      </c>
      <c r="B73" s="235">
        <v>0</v>
      </c>
      <c r="C73" s="216" t="s">
        <v>222</v>
      </c>
      <c r="D73" s="211" t="s">
        <v>131</v>
      </c>
      <c r="E73" s="205">
        <f>5*0.3*E71</f>
        <v>225</v>
      </c>
      <c r="F73" s="226"/>
      <c r="G73" s="226"/>
      <c r="H73" s="299"/>
      <c r="I73" s="299"/>
      <c r="J73" s="299"/>
      <c r="K73" s="75">
        <f t="shared" si="6"/>
        <v>0</v>
      </c>
      <c r="L73" s="76">
        <f t="shared" si="7"/>
        <v>0</v>
      </c>
      <c r="M73" s="75">
        <f t="shared" si="8"/>
        <v>0</v>
      </c>
      <c r="N73" s="75">
        <f t="shared" si="9"/>
        <v>0</v>
      </c>
      <c r="O73" s="75">
        <f t="shared" si="10"/>
        <v>0</v>
      </c>
      <c r="P73" s="77">
        <f t="shared" si="11"/>
        <v>0</v>
      </c>
    </row>
    <row r="74" spans="1:16" s="61" customFormat="1" x14ac:dyDescent="0.2">
      <c r="A74" s="208">
        <v>30</v>
      </c>
      <c r="B74" s="235" t="s">
        <v>688</v>
      </c>
      <c r="C74" s="305" t="s">
        <v>697</v>
      </c>
      <c r="D74" s="67" t="s">
        <v>199</v>
      </c>
      <c r="E74" s="205">
        <v>150</v>
      </c>
      <c r="F74" s="226"/>
      <c r="G74" s="226"/>
      <c r="H74" s="299"/>
      <c r="I74" s="299"/>
      <c r="J74" s="299"/>
      <c r="K74" s="75">
        <f t="shared" si="6"/>
        <v>0</v>
      </c>
      <c r="L74" s="76">
        <f t="shared" si="7"/>
        <v>0</v>
      </c>
      <c r="M74" s="75">
        <f t="shared" si="8"/>
        <v>0</v>
      </c>
      <c r="N74" s="75">
        <f t="shared" si="9"/>
        <v>0</v>
      </c>
      <c r="O74" s="75">
        <f t="shared" si="10"/>
        <v>0</v>
      </c>
      <c r="P74" s="77">
        <f t="shared" si="11"/>
        <v>0</v>
      </c>
    </row>
    <row r="75" spans="1:16" s="61" customFormat="1" ht="25.5" x14ac:dyDescent="0.2">
      <c r="A75" s="208">
        <v>0</v>
      </c>
      <c r="B75" s="235">
        <v>0</v>
      </c>
      <c r="C75" s="216" t="s">
        <v>710</v>
      </c>
      <c r="D75" s="67" t="s">
        <v>131</v>
      </c>
      <c r="E75" s="205">
        <f>5*0.3*E74</f>
        <v>225</v>
      </c>
      <c r="F75" s="226"/>
      <c r="G75" s="226"/>
      <c r="H75" s="299"/>
      <c r="I75" s="299"/>
      <c r="J75" s="299"/>
      <c r="K75" s="75">
        <f t="shared" si="6"/>
        <v>0</v>
      </c>
      <c r="L75" s="76">
        <f t="shared" si="7"/>
        <v>0</v>
      </c>
      <c r="M75" s="75">
        <f t="shared" si="8"/>
        <v>0</v>
      </c>
      <c r="N75" s="75">
        <f t="shared" si="9"/>
        <v>0</v>
      </c>
      <c r="O75" s="75">
        <f t="shared" si="10"/>
        <v>0</v>
      </c>
      <c r="P75" s="77">
        <f t="shared" si="11"/>
        <v>0</v>
      </c>
    </row>
    <row r="76" spans="1:16" s="61" customFormat="1" x14ac:dyDescent="0.2">
      <c r="A76" s="208">
        <v>0</v>
      </c>
      <c r="B76" s="235">
        <v>0</v>
      </c>
      <c r="C76" s="216" t="s">
        <v>699</v>
      </c>
      <c r="D76" s="67" t="s">
        <v>207</v>
      </c>
      <c r="E76" s="205">
        <f>1.1*0.3*E74</f>
        <v>49.5</v>
      </c>
      <c r="F76" s="226"/>
      <c r="G76" s="226"/>
      <c r="H76" s="299"/>
      <c r="I76" s="299"/>
      <c r="J76" s="299"/>
      <c r="K76" s="75">
        <f t="shared" si="6"/>
        <v>0</v>
      </c>
      <c r="L76" s="76">
        <f t="shared" si="7"/>
        <v>0</v>
      </c>
      <c r="M76" s="75">
        <f t="shared" si="8"/>
        <v>0</v>
      </c>
      <c r="N76" s="75">
        <f t="shared" si="9"/>
        <v>0</v>
      </c>
      <c r="O76" s="75">
        <f t="shared" si="10"/>
        <v>0</v>
      </c>
      <c r="P76" s="77">
        <f t="shared" si="11"/>
        <v>0</v>
      </c>
    </row>
    <row r="77" spans="1:16" s="61" customFormat="1" x14ac:dyDescent="0.2">
      <c r="A77" s="208">
        <v>0</v>
      </c>
      <c r="B77" s="235">
        <v>0</v>
      </c>
      <c r="C77" s="216" t="s">
        <v>711</v>
      </c>
      <c r="D77" s="211" t="s">
        <v>199</v>
      </c>
      <c r="E77" s="205">
        <f>1.1*E74</f>
        <v>165</v>
      </c>
      <c r="F77" s="226"/>
      <c r="G77" s="226"/>
      <c r="H77" s="299"/>
      <c r="I77" s="299"/>
      <c r="J77" s="299"/>
      <c r="K77" s="75">
        <f t="shared" si="6"/>
        <v>0</v>
      </c>
      <c r="L77" s="76">
        <f t="shared" si="7"/>
        <v>0</v>
      </c>
      <c r="M77" s="75">
        <f t="shared" si="8"/>
        <v>0</v>
      </c>
      <c r="N77" s="75">
        <f t="shared" si="9"/>
        <v>0</v>
      </c>
      <c r="O77" s="75">
        <f t="shared" si="10"/>
        <v>0</v>
      </c>
      <c r="P77" s="77">
        <f t="shared" si="11"/>
        <v>0</v>
      </c>
    </row>
    <row r="78" spans="1:16" s="61" customFormat="1" x14ac:dyDescent="0.2">
      <c r="A78" s="208">
        <v>31</v>
      </c>
      <c r="B78" s="235" t="s">
        <v>688</v>
      </c>
      <c r="C78" s="305" t="s">
        <v>712</v>
      </c>
      <c r="D78" s="67" t="s">
        <v>199</v>
      </c>
      <c r="E78" s="205">
        <v>150</v>
      </c>
      <c r="F78" s="226"/>
      <c r="G78" s="226"/>
      <c r="H78" s="299"/>
      <c r="I78" s="299"/>
      <c r="J78" s="299"/>
      <c r="K78" s="75">
        <f t="shared" si="6"/>
        <v>0</v>
      </c>
      <c r="L78" s="76">
        <f t="shared" si="7"/>
        <v>0</v>
      </c>
      <c r="M78" s="75">
        <f t="shared" si="8"/>
        <v>0</v>
      </c>
      <c r="N78" s="75">
        <f t="shared" si="9"/>
        <v>0</v>
      </c>
      <c r="O78" s="75">
        <f t="shared" si="10"/>
        <v>0</v>
      </c>
      <c r="P78" s="77">
        <f t="shared" si="11"/>
        <v>0</v>
      </c>
    </row>
    <row r="79" spans="1:16" s="61" customFormat="1" ht="25.5" x14ac:dyDescent="0.2">
      <c r="A79" s="208">
        <v>0</v>
      </c>
      <c r="B79" s="235">
        <v>0</v>
      </c>
      <c r="C79" s="216" t="s">
        <v>701</v>
      </c>
      <c r="D79" s="211" t="s">
        <v>543</v>
      </c>
      <c r="E79" s="205">
        <f>0.25*0.2*E78</f>
        <v>7.5</v>
      </c>
      <c r="F79" s="226"/>
      <c r="G79" s="226"/>
      <c r="H79" s="299"/>
      <c r="I79" s="299"/>
      <c r="J79" s="299"/>
      <c r="K79" s="75">
        <f t="shared" ref="K79:K96" si="12">SUM(H79:J79)</f>
        <v>0</v>
      </c>
      <c r="L79" s="76">
        <f t="shared" ref="L79:L96" si="13">ROUND(F79*E79,2)</f>
        <v>0</v>
      </c>
      <c r="M79" s="75">
        <f t="shared" ref="M79:M96" si="14">ROUND(H79*E79,2)</f>
        <v>0</v>
      </c>
      <c r="N79" s="75">
        <f t="shared" ref="N79:N96" si="15">ROUND(I79*E79,2)</f>
        <v>0</v>
      </c>
      <c r="O79" s="75">
        <f t="shared" ref="O79:O96" si="16">ROUND(J79*E79,2)</f>
        <v>0</v>
      </c>
      <c r="P79" s="77">
        <f t="shared" ref="P79:P96" si="17">SUM(M79:O79)</f>
        <v>0</v>
      </c>
    </row>
    <row r="80" spans="1:16" s="61" customFormat="1" x14ac:dyDescent="0.2">
      <c r="A80" s="208">
        <v>32</v>
      </c>
      <c r="B80" s="235" t="s">
        <v>688</v>
      </c>
      <c r="C80" s="305" t="s">
        <v>713</v>
      </c>
      <c r="D80" s="67" t="s">
        <v>199</v>
      </c>
      <c r="E80" s="205">
        <v>150</v>
      </c>
      <c r="F80" s="226"/>
      <c r="G80" s="226"/>
      <c r="H80" s="299"/>
      <c r="I80" s="299"/>
      <c r="J80" s="299"/>
      <c r="K80" s="75">
        <f t="shared" si="12"/>
        <v>0</v>
      </c>
      <c r="L80" s="76">
        <f t="shared" si="13"/>
        <v>0</v>
      </c>
      <c r="M80" s="75">
        <f t="shared" si="14"/>
        <v>0</v>
      </c>
      <c r="N80" s="75">
        <f t="shared" si="15"/>
        <v>0</v>
      </c>
      <c r="O80" s="75">
        <f t="shared" si="16"/>
        <v>0</v>
      </c>
      <c r="P80" s="77">
        <f t="shared" si="17"/>
        <v>0</v>
      </c>
    </row>
    <row r="81" spans="1:16" s="61" customFormat="1" x14ac:dyDescent="0.2">
      <c r="A81" s="208">
        <v>0</v>
      </c>
      <c r="B81" s="235">
        <v>0</v>
      </c>
      <c r="C81" s="216" t="s">
        <v>714</v>
      </c>
      <c r="D81" s="211" t="s">
        <v>131</v>
      </c>
      <c r="E81" s="205">
        <f>3.5*0.2*E80</f>
        <v>105.00000000000001</v>
      </c>
      <c r="F81" s="226"/>
      <c r="G81" s="226"/>
      <c r="H81" s="299"/>
      <c r="I81" s="299"/>
      <c r="J81" s="299"/>
      <c r="K81" s="75">
        <f t="shared" si="12"/>
        <v>0</v>
      </c>
      <c r="L81" s="76">
        <f t="shared" si="13"/>
        <v>0</v>
      </c>
      <c r="M81" s="75">
        <f t="shared" si="14"/>
        <v>0</v>
      </c>
      <c r="N81" s="75">
        <f t="shared" si="15"/>
        <v>0</v>
      </c>
      <c r="O81" s="75">
        <f t="shared" si="16"/>
        <v>0</v>
      </c>
      <c r="P81" s="77">
        <f t="shared" si="17"/>
        <v>0</v>
      </c>
    </row>
    <row r="82" spans="1:16" s="61" customFormat="1" x14ac:dyDescent="0.2">
      <c r="A82" s="208">
        <v>33</v>
      </c>
      <c r="B82" s="235" t="s">
        <v>688</v>
      </c>
      <c r="C82" s="305" t="s">
        <v>704</v>
      </c>
      <c r="D82" s="67" t="s">
        <v>199</v>
      </c>
      <c r="E82" s="205">
        <v>150</v>
      </c>
      <c r="F82" s="226"/>
      <c r="G82" s="226"/>
      <c r="H82" s="299"/>
      <c r="I82" s="299"/>
      <c r="J82" s="299"/>
      <c r="K82" s="75">
        <f t="shared" si="12"/>
        <v>0</v>
      </c>
      <c r="L82" s="76">
        <f t="shared" si="13"/>
        <v>0</v>
      </c>
      <c r="M82" s="75">
        <f t="shared" si="14"/>
        <v>0</v>
      </c>
      <c r="N82" s="75">
        <f t="shared" si="15"/>
        <v>0</v>
      </c>
      <c r="O82" s="75">
        <f t="shared" si="16"/>
        <v>0</v>
      </c>
      <c r="P82" s="77">
        <f t="shared" si="17"/>
        <v>0</v>
      </c>
    </row>
    <row r="83" spans="1:16" s="61" customFormat="1" x14ac:dyDescent="0.2">
      <c r="A83" s="208">
        <v>0</v>
      </c>
      <c r="B83" s="235">
        <v>0</v>
      </c>
      <c r="C83" s="216" t="s">
        <v>705</v>
      </c>
      <c r="D83" s="67" t="s">
        <v>543</v>
      </c>
      <c r="E83" s="205">
        <f>0.06*0.2*E82</f>
        <v>1.8</v>
      </c>
      <c r="F83" s="226"/>
      <c r="G83" s="226"/>
      <c r="H83" s="299"/>
      <c r="I83" s="299"/>
      <c r="J83" s="299"/>
      <c r="K83" s="75">
        <f t="shared" si="12"/>
        <v>0</v>
      </c>
      <c r="L83" s="76">
        <f t="shared" si="13"/>
        <v>0</v>
      </c>
      <c r="M83" s="75">
        <f t="shared" si="14"/>
        <v>0</v>
      </c>
      <c r="N83" s="75">
        <f t="shared" si="15"/>
        <v>0</v>
      </c>
      <c r="O83" s="75">
        <f t="shared" si="16"/>
        <v>0</v>
      </c>
      <c r="P83" s="77">
        <f t="shared" si="17"/>
        <v>0</v>
      </c>
    </row>
    <row r="84" spans="1:16" s="61" customFormat="1" x14ac:dyDescent="0.2">
      <c r="A84" s="208">
        <v>34</v>
      </c>
      <c r="B84" s="235" t="s">
        <v>688</v>
      </c>
      <c r="C84" s="232" t="s">
        <v>706</v>
      </c>
      <c r="D84" s="67" t="s">
        <v>199</v>
      </c>
      <c r="E84" s="205">
        <v>150</v>
      </c>
      <c r="F84" s="226"/>
      <c r="G84" s="226"/>
      <c r="H84" s="299"/>
      <c r="I84" s="299"/>
      <c r="J84" s="299"/>
      <c r="K84" s="75">
        <f t="shared" si="12"/>
        <v>0</v>
      </c>
      <c r="L84" s="76">
        <f t="shared" si="13"/>
        <v>0</v>
      </c>
      <c r="M84" s="75">
        <f t="shared" si="14"/>
        <v>0</v>
      </c>
      <c r="N84" s="75">
        <f t="shared" si="15"/>
        <v>0</v>
      </c>
      <c r="O84" s="75">
        <f t="shared" si="16"/>
        <v>0</v>
      </c>
      <c r="P84" s="77">
        <f t="shared" si="17"/>
        <v>0</v>
      </c>
    </row>
    <row r="85" spans="1:16" s="61" customFormat="1" x14ac:dyDescent="0.2">
      <c r="A85" s="208">
        <v>0</v>
      </c>
      <c r="B85" s="235">
        <v>0</v>
      </c>
      <c r="C85" s="216" t="s">
        <v>715</v>
      </c>
      <c r="D85" s="67" t="s">
        <v>543</v>
      </c>
      <c r="E85" s="205">
        <f>0.35*0.2*E84</f>
        <v>10.499999999999998</v>
      </c>
      <c r="F85" s="226"/>
      <c r="G85" s="226"/>
      <c r="H85" s="299"/>
      <c r="I85" s="299"/>
      <c r="J85" s="299"/>
      <c r="K85" s="75">
        <f t="shared" si="12"/>
        <v>0</v>
      </c>
      <c r="L85" s="76">
        <f t="shared" si="13"/>
        <v>0</v>
      </c>
      <c r="M85" s="75">
        <f t="shared" si="14"/>
        <v>0</v>
      </c>
      <c r="N85" s="75">
        <f t="shared" si="15"/>
        <v>0</v>
      </c>
      <c r="O85" s="75">
        <f t="shared" si="16"/>
        <v>0</v>
      </c>
      <c r="P85" s="77">
        <f t="shared" si="17"/>
        <v>0</v>
      </c>
    </row>
    <row r="86" spans="1:16" s="61" customFormat="1" ht="25.5" x14ac:dyDescent="0.2">
      <c r="A86" s="208">
        <v>35</v>
      </c>
      <c r="B86" s="235" t="s">
        <v>688</v>
      </c>
      <c r="C86" s="232" t="s">
        <v>716</v>
      </c>
      <c r="D86" s="211" t="s">
        <v>199</v>
      </c>
      <c r="E86" s="205">
        <v>140</v>
      </c>
      <c r="F86" s="226"/>
      <c r="G86" s="226"/>
      <c r="H86" s="299"/>
      <c r="I86" s="299"/>
      <c r="J86" s="299"/>
      <c r="K86" s="75">
        <f t="shared" si="12"/>
        <v>0</v>
      </c>
      <c r="L86" s="76">
        <f t="shared" si="13"/>
        <v>0</v>
      </c>
      <c r="M86" s="75">
        <f t="shared" si="14"/>
        <v>0</v>
      </c>
      <c r="N86" s="75">
        <f t="shared" si="15"/>
        <v>0</v>
      </c>
      <c r="O86" s="75">
        <f t="shared" si="16"/>
        <v>0</v>
      </c>
      <c r="P86" s="77">
        <f t="shared" si="17"/>
        <v>0</v>
      </c>
    </row>
    <row r="87" spans="1:16" s="61" customFormat="1" x14ac:dyDescent="0.2">
      <c r="A87" s="208">
        <v>36</v>
      </c>
      <c r="B87" s="235" t="s">
        <v>688</v>
      </c>
      <c r="C87" s="232" t="s">
        <v>717</v>
      </c>
      <c r="D87" s="211" t="s">
        <v>199</v>
      </c>
      <c r="E87" s="205">
        <v>90</v>
      </c>
      <c r="F87" s="226"/>
      <c r="G87" s="226"/>
      <c r="H87" s="299"/>
      <c r="I87" s="299"/>
      <c r="J87" s="299"/>
      <c r="K87" s="75">
        <f t="shared" si="12"/>
        <v>0</v>
      </c>
      <c r="L87" s="76">
        <f t="shared" si="13"/>
        <v>0</v>
      </c>
      <c r="M87" s="75">
        <f t="shared" si="14"/>
        <v>0</v>
      </c>
      <c r="N87" s="75">
        <f t="shared" si="15"/>
        <v>0</v>
      </c>
      <c r="O87" s="75">
        <f t="shared" si="16"/>
        <v>0</v>
      </c>
      <c r="P87" s="77">
        <f t="shared" si="17"/>
        <v>0</v>
      </c>
    </row>
    <row r="88" spans="1:16" s="61" customFormat="1" x14ac:dyDescent="0.2">
      <c r="A88" s="208">
        <v>37</v>
      </c>
      <c r="B88" s="235" t="s">
        <v>688</v>
      </c>
      <c r="C88" s="232" t="s">
        <v>718</v>
      </c>
      <c r="D88" s="211" t="s">
        <v>199</v>
      </c>
      <c r="E88" s="205">
        <v>70</v>
      </c>
      <c r="F88" s="226"/>
      <c r="G88" s="226"/>
      <c r="H88" s="299"/>
      <c r="I88" s="299"/>
      <c r="J88" s="299"/>
      <c r="K88" s="75">
        <f t="shared" si="12"/>
        <v>0</v>
      </c>
      <c r="L88" s="76">
        <f t="shared" si="13"/>
        <v>0</v>
      </c>
      <c r="M88" s="75">
        <f t="shared" si="14"/>
        <v>0</v>
      </c>
      <c r="N88" s="75">
        <f t="shared" si="15"/>
        <v>0</v>
      </c>
      <c r="O88" s="75">
        <f t="shared" si="16"/>
        <v>0</v>
      </c>
      <c r="P88" s="77">
        <f t="shared" si="17"/>
        <v>0</v>
      </c>
    </row>
    <row r="89" spans="1:16" s="61" customFormat="1" x14ac:dyDescent="0.2">
      <c r="A89" s="228">
        <v>0</v>
      </c>
      <c r="B89" s="235">
        <v>0</v>
      </c>
      <c r="C89" s="303" t="s">
        <v>719</v>
      </c>
      <c r="D89" s="67"/>
      <c r="E89" s="205"/>
      <c r="F89" s="226"/>
      <c r="G89" s="226"/>
      <c r="H89" s="299"/>
      <c r="I89" s="299"/>
      <c r="J89" s="299"/>
      <c r="K89" s="75">
        <f t="shared" si="12"/>
        <v>0</v>
      </c>
      <c r="L89" s="76">
        <f t="shared" si="13"/>
        <v>0</v>
      </c>
      <c r="M89" s="75">
        <f t="shared" si="14"/>
        <v>0</v>
      </c>
      <c r="N89" s="75">
        <f t="shared" si="15"/>
        <v>0</v>
      </c>
      <c r="O89" s="75">
        <f t="shared" si="16"/>
        <v>0</v>
      </c>
      <c r="P89" s="77">
        <f t="shared" si="17"/>
        <v>0</v>
      </c>
    </row>
    <row r="90" spans="1:16" s="61" customFormat="1" x14ac:dyDescent="0.2">
      <c r="A90" s="208">
        <v>38</v>
      </c>
      <c r="B90" s="231" t="s">
        <v>219</v>
      </c>
      <c r="C90" s="232" t="s">
        <v>220</v>
      </c>
      <c r="D90" s="211" t="s">
        <v>207</v>
      </c>
      <c r="E90" s="205">
        <v>165</v>
      </c>
      <c r="F90" s="226"/>
      <c r="G90" s="226"/>
      <c r="H90" s="299"/>
      <c r="I90" s="299"/>
      <c r="J90" s="299"/>
      <c r="K90" s="75">
        <f t="shared" si="12"/>
        <v>0</v>
      </c>
      <c r="L90" s="76">
        <f t="shared" si="13"/>
        <v>0</v>
      </c>
      <c r="M90" s="75">
        <f t="shared" si="14"/>
        <v>0</v>
      </c>
      <c r="N90" s="75">
        <f t="shared" si="15"/>
        <v>0</v>
      </c>
      <c r="O90" s="75">
        <f t="shared" si="16"/>
        <v>0</v>
      </c>
      <c r="P90" s="77">
        <f t="shared" si="17"/>
        <v>0</v>
      </c>
    </row>
    <row r="91" spans="1:16" s="61" customFormat="1" ht="15" x14ac:dyDescent="0.2">
      <c r="A91" s="208">
        <v>0</v>
      </c>
      <c r="B91" s="231"/>
      <c r="C91" s="215" t="s">
        <v>221</v>
      </c>
      <c r="D91" s="211" t="s">
        <v>207</v>
      </c>
      <c r="E91" s="205">
        <f>1.05*E90</f>
        <v>173.25</v>
      </c>
      <c r="F91" s="226"/>
      <c r="G91" s="226"/>
      <c r="H91" s="299"/>
      <c r="I91" s="299"/>
      <c r="J91" s="299"/>
      <c r="K91" s="75">
        <f t="shared" si="12"/>
        <v>0</v>
      </c>
      <c r="L91" s="76">
        <f t="shared" si="13"/>
        <v>0</v>
      </c>
      <c r="M91" s="75">
        <f t="shared" si="14"/>
        <v>0</v>
      </c>
      <c r="N91" s="75">
        <f t="shared" si="15"/>
        <v>0</v>
      </c>
      <c r="O91" s="75">
        <f t="shared" si="16"/>
        <v>0</v>
      </c>
      <c r="P91" s="77">
        <f t="shared" si="17"/>
        <v>0</v>
      </c>
    </row>
    <row r="92" spans="1:16" s="61" customFormat="1" x14ac:dyDescent="0.2">
      <c r="A92" s="208">
        <v>0</v>
      </c>
      <c r="B92" s="231"/>
      <c r="C92" s="216" t="s">
        <v>222</v>
      </c>
      <c r="D92" s="211" t="s">
        <v>131</v>
      </c>
      <c r="E92" s="205">
        <f>5*E90</f>
        <v>825</v>
      </c>
      <c r="F92" s="226"/>
      <c r="G92" s="226"/>
      <c r="H92" s="299"/>
      <c r="I92" s="299"/>
      <c r="J92" s="299"/>
      <c r="K92" s="75">
        <f t="shared" si="12"/>
        <v>0</v>
      </c>
      <c r="L92" s="76">
        <f t="shared" si="13"/>
        <v>0</v>
      </c>
      <c r="M92" s="75">
        <f t="shared" si="14"/>
        <v>0</v>
      </c>
      <c r="N92" s="75">
        <f t="shared" si="15"/>
        <v>0</v>
      </c>
      <c r="O92" s="75">
        <f t="shared" si="16"/>
        <v>0</v>
      </c>
      <c r="P92" s="77">
        <f t="shared" si="17"/>
        <v>0</v>
      </c>
    </row>
    <row r="93" spans="1:16" s="61" customFormat="1" ht="15" x14ac:dyDescent="0.2">
      <c r="A93" s="208">
        <v>0</v>
      </c>
      <c r="B93" s="231"/>
      <c r="C93" s="215" t="s">
        <v>223</v>
      </c>
      <c r="D93" s="233" t="s">
        <v>207</v>
      </c>
      <c r="E93" s="205">
        <f>E90</f>
        <v>165</v>
      </c>
      <c r="F93" s="226"/>
      <c r="G93" s="226"/>
      <c r="H93" s="299"/>
      <c r="I93" s="299"/>
      <c r="J93" s="299"/>
      <c r="K93" s="75">
        <f t="shared" si="12"/>
        <v>0</v>
      </c>
      <c r="L93" s="76">
        <f t="shared" si="13"/>
        <v>0</v>
      </c>
      <c r="M93" s="75">
        <f t="shared" si="14"/>
        <v>0</v>
      </c>
      <c r="N93" s="75">
        <f t="shared" si="15"/>
        <v>0</v>
      </c>
      <c r="O93" s="75">
        <f t="shared" si="16"/>
        <v>0</v>
      </c>
      <c r="P93" s="77">
        <f t="shared" si="17"/>
        <v>0</v>
      </c>
    </row>
    <row r="94" spans="1:16" s="61" customFormat="1" ht="25.5" x14ac:dyDescent="0.2">
      <c r="A94" s="234">
        <v>39</v>
      </c>
      <c r="B94" s="235" t="s">
        <v>226</v>
      </c>
      <c r="C94" s="236" t="s">
        <v>680</v>
      </c>
      <c r="D94" s="211" t="s">
        <v>207</v>
      </c>
      <c r="E94" s="205">
        <v>165</v>
      </c>
      <c r="F94" s="226"/>
      <c r="G94" s="226"/>
      <c r="H94" s="299"/>
      <c r="I94" s="299"/>
      <c r="J94" s="299"/>
      <c r="K94" s="75">
        <f t="shared" si="12"/>
        <v>0</v>
      </c>
      <c r="L94" s="76">
        <f t="shared" si="13"/>
        <v>0</v>
      </c>
      <c r="M94" s="75">
        <f t="shared" si="14"/>
        <v>0</v>
      </c>
      <c r="N94" s="75">
        <f t="shared" si="15"/>
        <v>0</v>
      </c>
      <c r="O94" s="75">
        <f t="shared" si="16"/>
        <v>0</v>
      </c>
      <c r="P94" s="77">
        <f t="shared" si="17"/>
        <v>0</v>
      </c>
    </row>
    <row r="95" spans="1:16" s="61" customFormat="1" x14ac:dyDescent="0.2">
      <c r="A95" s="234">
        <v>40</v>
      </c>
      <c r="B95" s="235" t="s">
        <v>226</v>
      </c>
      <c r="C95" s="236" t="s">
        <v>720</v>
      </c>
      <c r="D95" s="211" t="s">
        <v>207</v>
      </c>
      <c r="E95" s="205">
        <v>165</v>
      </c>
      <c r="F95" s="226"/>
      <c r="G95" s="226"/>
      <c r="H95" s="299"/>
      <c r="I95" s="299"/>
      <c r="J95" s="299"/>
      <c r="K95" s="75">
        <f t="shared" si="12"/>
        <v>0</v>
      </c>
      <c r="L95" s="76">
        <f t="shared" si="13"/>
        <v>0</v>
      </c>
      <c r="M95" s="75">
        <f t="shared" si="14"/>
        <v>0</v>
      </c>
      <c r="N95" s="75">
        <f t="shared" si="15"/>
        <v>0</v>
      </c>
      <c r="O95" s="75">
        <f t="shared" si="16"/>
        <v>0</v>
      </c>
      <c r="P95" s="77">
        <f t="shared" si="17"/>
        <v>0</v>
      </c>
    </row>
    <row r="96" spans="1:16" s="61" customFormat="1" ht="30" x14ac:dyDescent="0.2">
      <c r="A96" s="234">
        <v>0</v>
      </c>
      <c r="B96" s="237">
        <v>0</v>
      </c>
      <c r="C96" s="215" t="s">
        <v>721</v>
      </c>
      <c r="D96" s="67" t="s">
        <v>207</v>
      </c>
      <c r="E96" s="205">
        <f>E95</f>
        <v>165</v>
      </c>
      <c r="F96" s="226"/>
      <c r="G96" s="226"/>
      <c r="H96" s="299"/>
      <c r="I96" s="299"/>
      <c r="J96" s="299"/>
      <c r="K96" s="75">
        <f t="shared" si="12"/>
        <v>0</v>
      </c>
      <c r="L96" s="76">
        <f t="shared" si="13"/>
        <v>0</v>
      </c>
      <c r="M96" s="75">
        <f t="shared" si="14"/>
        <v>0</v>
      </c>
      <c r="N96" s="75">
        <f t="shared" si="15"/>
        <v>0</v>
      </c>
      <c r="O96" s="75">
        <f t="shared" si="16"/>
        <v>0</v>
      </c>
      <c r="P96" s="77">
        <f t="shared" si="17"/>
        <v>0</v>
      </c>
    </row>
    <row r="97" spans="1:16" x14ac:dyDescent="0.2">
      <c r="A97" s="78"/>
      <c r="B97" s="131"/>
      <c r="C97" s="80"/>
      <c r="D97" s="81"/>
      <c r="E97" s="82"/>
      <c r="F97" s="82">
        <v>0</v>
      </c>
      <c r="G97" s="82">
        <v>0</v>
      </c>
      <c r="H97" s="83"/>
      <c r="I97" s="82"/>
      <c r="J97" s="82"/>
      <c r="K97" s="82"/>
      <c r="L97" s="82"/>
      <c r="M97" s="82"/>
      <c r="N97" s="82"/>
      <c r="O97" s="82"/>
      <c r="P97" s="84"/>
    </row>
    <row r="98" spans="1:16" ht="15.75" customHeight="1" x14ac:dyDescent="0.2">
      <c r="A98" s="85"/>
      <c r="B98" s="85"/>
      <c r="C98" s="509" t="s">
        <v>74</v>
      </c>
      <c r="D98" s="510"/>
      <c r="E98" s="510"/>
      <c r="F98" s="510"/>
      <c r="G98" s="510"/>
      <c r="H98" s="510"/>
      <c r="I98" s="510"/>
      <c r="J98" s="510"/>
      <c r="K98" s="510"/>
      <c r="L98" s="87">
        <f>SUM(L13:L97)</f>
        <v>0</v>
      </c>
      <c r="M98" s="87">
        <f>SUM(M13:M97)</f>
        <v>0</v>
      </c>
      <c r="N98" s="87">
        <f>SUM(N13:N97)</f>
        <v>0</v>
      </c>
      <c r="O98" s="87">
        <f>SUM(O13:O97)</f>
        <v>0</v>
      </c>
      <c r="P98" s="87">
        <f>SUM(P13:P97)</f>
        <v>0</v>
      </c>
    </row>
    <row r="99" spans="1:16" s="88" customFormat="1" collapsed="1" x14ac:dyDescent="0.2">
      <c r="I99" s="89"/>
    </row>
    <row r="100" spans="1:16" s="2" customFormat="1" ht="12.75" customHeight="1" x14ac:dyDescent="0.2">
      <c r="B100" s="90" t="s">
        <v>75</v>
      </c>
    </row>
    <row r="101" spans="1:16" s="2" customFormat="1" ht="45" customHeight="1" x14ac:dyDescent="0.2">
      <c r="A101"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101" s="511"/>
      <c r="C101" s="511"/>
      <c r="D101" s="511"/>
      <c r="E101" s="511"/>
      <c r="F101" s="511"/>
      <c r="G101" s="511"/>
      <c r="H101" s="511"/>
      <c r="I101" s="511"/>
      <c r="J101" s="511"/>
      <c r="K101" s="511"/>
      <c r="L101" s="511"/>
      <c r="M101" s="511"/>
      <c r="N101" s="511"/>
      <c r="O101" s="511"/>
      <c r="P101" s="511"/>
    </row>
    <row r="102" spans="1:16" s="2" customFormat="1" ht="86.25" customHeight="1" x14ac:dyDescent="0.2">
      <c r="A102" s="512"/>
      <c r="B102" s="512"/>
      <c r="C102" s="512"/>
      <c r="D102" s="512"/>
      <c r="E102" s="512"/>
      <c r="F102" s="512"/>
      <c r="G102" s="512"/>
      <c r="H102" s="512"/>
      <c r="I102" s="512"/>
      <c r="J102" s="512"/>
      <c r="K102" s="512"/>
      <c r="L102" s="512"/>
      <c r="M102" s="512"/>
      <c r="N102" s="512"/>
      <c r="O102" s="512"/>
      <c r="P102" s="512"/>
    </row>
    <row r="103" spans="1:16" s="2" customFormat="1" ht="12.75" customHeight="1" x14ac:dyDescent="0.2">
      <c r="B103" s="91"/>
    </row>
    <row r="104" spans="1:16" s="2" customFormat="1" ht="12.75" customHeight="1" x14ac:dyDescent="0.2">
      <c r="B104" s="91"/>
    </row>
    <row r="105" spans="1:16" s="88" customFormat="1" x14ac:dyDescent="0.2">
      <c r="B105" s="88" t="s">
        <v>36</v>
      </c>
      <c r="L105" s="92" t="s">
        <v>98</v>
      </c>
      <c r="M105" s="92"/>
      <c r="N105" s="92"/>
      <c r="O105" s="92"/>
      <c r="P105" s="92"/>
    </row>
    <row r="106" spans="1:16" s="88" customFormat="1" ht="14.25" customHeight="1" x14ac:dyDescent="0.2">
      <c r="C106" s="36"/>
      <c r="L106" s="36"/>
      <c r="M106" s="513"/>
      <c r="N106" s="513"/>
      <c r="O106" s="92"/>
      <c r="P106" s="92"/>
    </row>
    <row r="107" spans="1:16" s="88" customFormat="1" x14ac:dyDescent="0.2">
      <c r="C107" s="39"/>
      <c r="L107" s="39"/>
      <c r="M107" s="507"/>
      <c r="N107" s="507"/>
      <c r="O107" s="92"/>
      <c r="P107" s="92"/>
    </row>
    <row r="108" spans="1:16" s="88" customFormat="1" collapsed="1" x14ac:dyDescent="0.2">
      <c r="B108" s="89"/>
      <c r="F108" s="89"/>
      <c r="G108" s="89"/>
    </row>
  </sheetData>
  <mergeCells count="17">
    <mergeCell ref="M107:N107"/>
    <mergeCell ref="F11:K11"/>
    <mergeCell ref="L11:P11"/>
    <mergeCell ref="C98:K98"/>
    <mergeCell ref="A101:P101"/>
    <mergeCell ref="A102:P102"/>
    <mergeCell ref="M106:N106"/>
    <mergeCell ref="A11:A12"/>
    <mergeCell ref="B11:B12"/>
    <mergeCell ref="C11:C12"/>
    <mergeCell ref="D11:D12"/>
    <mergeCell ref="E11:E12"/>
    <mergeCell ref="A2:P2"/>
    <mergeCell ref="D3:P3"/>
    <mergeCell ref="D4:P4"/>
    <mergeCell ref="D5:P5"/>
    <mergeCell ref="L9:O9"/>
  </mergeCells>
  <conditionalFormatting sqref="I40:I43">
    <cfRule type="expression" dxfId="80" priority="34" stopIfTrue="1">
      <formula>I40=#REF!=FALSE</formula>
    </cfRule>
  </conditionalFormatting>
  <conditionalFormatting sqref="I40:I43">
    <cfRule type="expression" dxfId="79" priority="30">
      <formula>#REF!&gt;0</formula>
    </cfRule>
    <cfRule type="expression" dxfId="78" priority="31">
      <formula>#REF!=3</formula>
    </cfRule>
    <cfRule type="expression" dxfId="77" priority="32">
      <formula>#REF!=2</formula>
    </cfRule>
    <cfRule type="expression" dxfId="76" priority="33">
      <formula>#REF!=1</formula>
    </cfRule>
  </conditionalFormatting>
  <printOptions horizontalCentered="1"/>
  <pageMargins left="0.27559055118110237" right="0.27559055118110237" top="0.74803149606299213" bottom="0.74803149606299213" header="0.31496062992125984" footer="0.31496062992125984"/>
  <pageSetup paperSize="9" scale="7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86" stopIfTrue="1" id="{941F579D-68EB-4065-8785-0E923588F8A5}">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I15:I17 I25:I26 I28:I30 I70:I88 I44:I48</xm:sqref>
        </x14:conditionalFormatting>
        <x14:conditionalFormatting xmlns:xm="http://schemas.microsoft.com/office/excel/2006/main">
          <x14:cfRule type="expression" priority="83" stopIfTrue="1" id="{FE9F203A-26A2-4EAB-84C1-D698EE0726E1}">
            <xm:f>'\Dropbox\1MANI DOCUMENTI\2015_12decembris\Baltex_Group\Babite(AivarsMaurins)\[Baltex_Babite soc centrs_VCD4.xlsx]BK'!#REF!&gt;0</xm:f>
            <x14:dxf>
              <fill>
                <patternFill>
                  <bgColor indexed="10"/>
                </patternFill>
              </fill>
            </x14:dxf>
          </x14:cfRule>
          <x14:cfRule type="expression" priority="84" stopIfTrue="1" id="{77015B20-E63A-4A19-9109-D06208E11052}">
            <xm:f>'\Dropbox\1MANI DOCUMENTI\2015_12decembris\Baltex_Group\Babite(AivarsMaurins)\[Baltex_Babite soc centrs_VCD4.xlsx]BK'!#REF!=3</xm:f>
            <x14:dxf>
              <fill>
                <patternFill>
                  <bgColor indexed="10"/>
                </patternFill>
              </fill>
            </x14:dxf>
          </x14:cfRule>
          <x14:cfRule type="expression" priority="85" stopIfTrue="1" id="{EC71330E-AD7B-433A-907C-E4297ED1E128}">
            <xm:f>'\Dropbox\1MANI DOCUMENTI\2015_12decembris\Baltex_Group\Babite(AivarsMaurins)\[Baltex_Babite soc centrs_VCD4.xlsx]BK'!#REF!=2</xm:f>
            <x14:dxf>
              <fill>
                <patternFill>
                  <bgColor indexed="11"/>
                </patternFill>
              </fill>
            </x14:dxf>
          </x14:cfRule>
          <xm:sqref>I15:I17 I25:I26 I28:I30 I70:I88 I44:I48</xm:sqref>
        </x14:conditionalFormatting>
        <x14:conditionalFormatting xmlns:xm="http://schemas.microsoft.com/office/excel/2006/main">
          <x14:cfRule type="expression" priority="82" stopIfTrue="1" id="{981BAE02-AB41-42B2-B828-66249F172EF1}">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I27</xm:sqref>
        </x14:conditionalFormatting>
        <x14:conditionalFormatting xmlns:xm="http://schemas.microsoft.com/office/excel/2006/main">
          <x14:cfRule type="expression" priority="79" stopIfTrue="1" id="{8C43C740-435B-44E9-8380-74E844D1FA9E}">
            <xm:f>'\Dropbox\1MANI DOCUMENTI\2015_12decembris\Baltex_Group\Babite(AivarsMaurins)\[Baltex_Babite soc centrs_VCD4.xlsx]BK'!#REF!&gt;0</xm:f>
            <x14:dxf>
              <fill>
                <patternFill>
                  <bgColor indexed="10"/>
                </patternFill>
              </fill>
            </x14:dxf>
          </x14:cfRule>
          <x14:cfRule type="expression" priority="80" stopIfTrue="1" id="{3EB26347-CC40-4890-ACCE-1DD932AF60F3}">
            <xm:f>'\Dropbox\1MANI DOCUMENTI\2015_12decembris\Baltex_Group\Babite(AivarsMaurins)\[Baltex_Babite soc centrs_VCD4.xlsx]BK'!#REF!=3</xm:f>
            <x14:dxf>
              <fill>
                <patternFill>
                  <bgColor indexed="10"/>
                </patternFill>
              </fill>
            </x14:dxf>
          </x14:cfRule>
          <x14:cfRule type="expression" priority="81" stopIfTrue="1" id="{D0E5EB2B-2139-4DDB-A441-636E7B57AD32}">
            <xm:f>'\Dropbox\1MANI DOCUMENTI\2015_12decembris\Baltex_Group\Babite(AivarsMaurins)\[Baltex_Babite soc centrs_VCD4.xlsx]BK'!#REF!=2</xm:f>
            <x14:dxf>
              <fill>
                <patternFill>
                  <bgColor indexed="11"/>
                </patternFill>
              </fill>
            </x14:dxf>
          </x14:cfRule>
          <xm:sqref>I27</xm:sqref>
        </x14:conditionalFormatting>
        <x14:conditionalFormatting xmlns:xm="http://schemas.microsoft.com/office/excel/2006/main">
          <x14:cfRule type="expression" priority="74" stopIfTrue="1" id="{883C43E4-33D2-4387-8891-C527BB6D5467}">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I23:I24</xm:sqref>
        </x14:conditionalFormatting>
        <x14:conditionalFormatting xmlns:xm="http://schemas.microsoft.com/office/excel/2006/main">
          <x14:cfRule type="expression" priority="71" stopIfTrue="1" id="{FF1A9C9B-1865-409E-B4CD-4DF55D1D4471}">
            <xm:f>'\Dropbox\1MANI DOCUMENTI\2015_12decembris\Baltex_Group\Babite(AivarsMaurins)\[Baltex_Babite soc centrs_VCD4.xlsx]BK'!#REF!&gt;0</xm:f>
            <x14:dxf>
              <fill>
                <patternFill>
                  <bgColor indexed="10"/>
                </patternFill>
              </fill>
            </x14:dxf>
          </x14:cfRule>
          <x14:cfRule type="expression" priority="72" stopIfTrue="1" id="{8233E184-A95A-48B0-9685-6215B5AE9A32}">
            <xm:f>'\Dropbox\1MANI DOCUMENTI\2015_12decembris\Baltex_Group\Babite(AivarsMaurins)\[Baltex_Babite soc centrs_VCD4.xlsx]BK'!#REF!=3</xm:f>
            <x14:dxf>
              <fill>
                <patternFill>
                  <bgColor indexed="10"/>
                </patternFill>
              </fill>
            </x14:dxf>
          </x14:cfRule>
          <x14:cfRule type="expression" priority="73" stopIfTrue="1" id="{3654F64E-B75B-47E2-B350-1CAEBDE2B795}">
            <xm:f>'\Dropbox\1MANI DOCUMENTI\2015_12decembris\Baltex_Group\Babite(AivarsMaurins)\[Baltex_Babite soc centrs_VCD4.xlsx]BK'!#REF!=2</xm:f>
            <x14:dxf>
              <fill>
                <patternFill>
                  <bgColor indexed="11"/>
                </patternFill>
              </fill>
            </x14:dxf>
          </x14:cfRule>
          <xm:sqref>I23:I24</xm:sqref>
        </x14:conditionalFormatting>
        <x14:conditionalFormatting xmlns:xm="http://schemas.microsoft.com/office/excel/2006/main">
          <x14:cfRule type="expression" priority="70" stopIfTrue="1" id="{F767B84A-2B61-475C-A6B3-E1BE3DA22734}">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I90 I92:I93</xm:sqref>
        </x14:conditionalFormatting>
        <x14:conditionalFormatting xmlns:xm="http://schemas.microsoft.com/office/excel/2006/main">
          <x14:cfRule type="expression" priority="67" stopIfTrue="1" id="{7CE029A6-3D2E-465E-9909-1925CA46FF93}">
            <xm:f>'\Dropbox\1MANI DOCUMENTI\2015_12decembris\Baltex_Group\Babite(AivarsMaurins)\[Baltex_Babite soc centrs_VCD4.xlsx]BK'!#REF!&gt;0</xm:f>
            <x14:dxf>
              <fill>
                <patternFill>
                  <bgColor indexed="10"/>
                </patternFill>
              </fill>
            </x14:dxf>
          </x14:cfRule>
          <x14:cfRule type="expression" priority="68" stopIfTrue="1" id="{1394AD30-17FB-4A5C-BD72-1BEC4F986CFC}">
            <xm:f>'\Dropbox\1MANI DOCUMENTI\2015_12decembris\Baltex_Group\Babite(AivarsMaurins)\[Baltex_Babite soc centrs_VCD4.xlsx]BK'!#REF!=3</xm:f>
            <x14:dxf>
              <fill>
                <patternFill>
                  <bgColor indexed="10"/>
                </patternFill>
              </fill>
            </x14:dxf>
          </x14:cfRule>
          <x14:cfRule type="expression" priority="69" stopIfTrue="1" id="{63224C26-E5AF-4AE6-B3E2-6C1C0903B8F2}">
            <xm:f>'\Dropbox\1MANI DOCUMENTI\2015_12decembris\Baltex_Group\Babite(AivarsMaurins)\[Baltex_Babite soc centrs_VCD4.xlsx]BK'!#REF!=2</xm:f>
            <x14:dxf>
              <fill>
                <patternFill>
                  <bgColor indexed="11"/>
                </patternFill>
              </fill>
            </x14:dxf>
          </x14:cfRule>
          <xm:sqref>I90 I92:I93</xm:sqref>
        </x14:conditionalFormatting>
        <x14:conditionalFormatting xmlns:xm="http://schemas.microsoft.com/office/excel/2006/main">
          <x14:cfRule type="expression" priority="66" stopIfTrue="1" id="{8585407D-E133-440F-8DB7-683123AE58C7}">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I94</xm:sqref>
        </x14:conditionalFormatting>
        <x14:conditionalFormatting xmlns:xm="http://schemas.microsoft.com/office/excel/2006/main">
          <x14:cfRule type="expression" priority="63" stopIfTrue="1" id="{1B7E5BCA-BABA-4D09-AF55-3132FC23E39F}">
            <xm:f>'\Dropbox\1MANI DOCUMENTI\2015_12decembris\Baltex_Group\Babite(AivarsMaurins)\[Baltex_Babite soc centrs_VCD4.xlsx]BK'!#REF!&gt;0</xm:f>
            <x14:dxf>
              <fill>
                <patternFill>
                  <bgColor indexed="10"/>
                </patternFill>
              </fill>
            </x14:dxf>
          </x14:cfRule>
          <x14:cfRule type="expression" priority="64" stopIfTrue="1" id="{A24D1603-E42E-493F-BEC4-36544E703443}">
            <xm:f>'\Dropbox\1MANI DOCUMENTI\2015_12decembris\Baltex_Group\Babite(AivarsMaurins)\[Baltex_Babite soc centrs_VCD4.xlsx]BK'!#REF!=3</xm:f>
            <x14:dxf>
              <fill>
                <patternFill>
                  <bgColor indexed="10"/>
                </patternFill>
              </fill>
            </x14:dxf>
          </x14:cfRule>
          <x14:cfRule type="expression" priority="65" stopIfTrue="1" id="{C08B32CF-9BDC-49C3-837F-664D7E0A8BFE}">
            <xm:f>'\Dropbox\1MANI DOCUMENTI\2015_12decembris\Baltex_Group\Babite(AivarsMaurins)\[Baltex_Babite soc centrs_VCD4.xlsx]BK'!#REF!=2</xm:f>
            <x14:dxf>
              <fill>
                <patternFill>
                  <bgColor indexed="11"/>
                </patternFill>
              </fill>
            </x14:dxf>
          </x14:cfRule>
          <xm:sqref>I94</xm:sqref>
        </x14:conditionalFormatting>
        <x14:conditionalFormatting xmlns:xm="http://schemas.microsoft.com/office/excel/2006/main">
          <x14:cfRule type="expression" priority="62" stopIfTrue="1" id="{0A6A1580-C65B-4DA7-BDFF-5F25174C10B6}">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I95:I96</xm:sqref>
        </x14:conditionalFormatting>
        <x14:conditionalFormatting xmlns:xm="http://schemas.microsoft.com/office/excel/2006/main">
          <x14:cfRule type="expression" priority="59" stopIfTrue="1" id="{94EEF3CA-C3BA-4980-85C7-AFC9148039F0}">
            <xm:f>'\Dropbox\1MANI DOCUMENTI\2015_12decembris\Baltex_Group\Babite(AivarsMaurins)\[Baltex_Babite soc centrs_VCD4.xlsx]BK'!#REF!&gt;0</xm:f>
            <x14:dxf>
              <fill>
                <patternFill>
                  <bgColor indexed="10"/>
                </patternFill>
              </fill>
            </x14:dxf>
          </x14:cfRule>
          <x14:cfRule type="expression" priority="60" stopIfTrue="1" id="{D27724FF-BDBE-4406-BC92-86ABDD5F6700}">
            <xm:f>'\Dropbox\1MANI DOCUMENTI\2015_12decembris\Baltex_Group\Babite(AivarsMaurins)\[Baltex_Babite soc centrs_VCD4.xlsx]BK'!#REF!=3</xm:f>
            <x14:dxf>
              <fill>
                <patternFill>
                  <bgColor indexed="10"/>
                </patternFill>
              </fill>
            </x14:dxf>
          </x14:cfRule>
          <x14:cfRule type="expression" priority="61" stopIfTrue="1" id="{FDDD46C8-B8DF-4226-A4C0-C84D1ADECA56}">
            <xm:f>'\Dropbox\1MANI DOCUMENTI\2015_12decembris\Baltex_Group\Babite(AivarsMaurins)\[Baltex_Babite soc centrs_VCD4.xlsx]BK'!#REF!=2</xm:f>
            <x14:dxf>
              <fill>
                <patternFill>
                  <bgColor indexed="11"/>
                </patternFill>
              </fill>
            </x14:dxf>
          </x14:cfRule>
          <xm:sqref>I95:I96</xm:sqref>
        </x14:conditionalFormatting>
        <x14:conditionalFormatting xmlns:xm="http://schemas.microsoft.com/office/excel/2006/main">
          <x14:cfRule type="expression" priority="58" stopIfTrue="1" id="{0773A323-1673-4FA7-A7CC-EA0F02A098DD}">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I49:I54 I59:I69</xm:sqref>
        </x14:conditionalFormatting>
        <x14:conditionalFormatting xmlns:xm="http://schemas.microsoft.com/office/excel/2006/main">
          <x14:cfRule type="expression" priority="55" stopIfTrue="1" id="{88F61513-0381-4189-A6A9-B81CF29CCD82}">
            <xm:f>'\Dropbox\1MANI DOCUMENTI\2015_12decembris\Baltex_Group\Babite(AivarsMaurins)\[Baltex_Babite soc centrs_VCD4.xlsx]BK'!#REF!&gt;0</xm:f>
            <x14:dxf>
              <fill>
                <patternFill>
                  <bgColor indexed="10"/>
                </patternFill>
              </fill>
            </x14:dxf>
          </x14:cfRule>
          <x14:cfRule type="expression" priority="56" stopIfTrue="1" id="{BF582408-CC1F-4BD5-A36C-FCE7971AAC8F}">
            <xm:f>'\Dropbox\1MANI DOCUMENTI\2015_12decembris\Baltex_Group\Babite(AivarsMaurins)\[Baltex_Babite soc centrs_VCD4.xlsx]BK'!#REF!=3</xm:f>
            <x14:dxf>
              <fill>
                <patternFill>
                  <bgColor indexed="10"/>
                </patternFill>
              </fill>
            </x14:dxf>
          </x14:cfRule>
          <x14:cfRule type="expression" priority="57" stopIfTrue="1" id="{B3B4399A-1BC6-466A-BE8E-139ED187801C}">
            <xm:f>'\Dropbox\1MANI DOCUMENTI\2015_12decembris\Baltex_Group\Babite(AivarsMaurins)\[Baltex_Babite soc centrs_VCD4.xlsx]BK'!#REF!=2</xm:f>
            <x14:dxf>
              <fill>
                <patternFill>
                  <bgColor indexed="11"/>
                </patternFill>
              </fill>
            </x14:dxf>
          </x14:cfRule>
          <xm:sqref>I49:I54 I59:I69</xm:sqref>
        </x14:conditionalFormatting>
        <x14:conditionalFormatting xmlns:xm="http://schemas.microsoft.com/office/excel/2006/main">
          <x14:cfRule type="expression" priority="54" stopIfTrue="1" id="{74B43253-FA39-46B8-8BF2-DEA918A36FDD}">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I55:I58</xm:sqref>
        </x14:conditionalFormatting>
        <x14:conditionalFormatting xmlns:xm="http://schemas.microsoft.com/office/excel/2006/main">
          <x14:cfRule type="expression" priority="51" stopIfTrue="1" id="{F683BB68-1854-437D-9414-E9C5872515A8}">
            <xm:f>'\Dropbox\1MANI DOCUMENTI\2015_12decembris\Baltex_Group\Babite(AivarsMaurins)\[Baltex_Babite soc centrs_VCD4.xlsx]BK'!#REF!&gt;0</xm:f>
            <x14:dxf>
              <fill>
                <patternFill>
                  <bgColor indexed="10"/>
                </patternFill>
              </fill>
            </x14:dxf>
          </x14:cfRule>
          <x14:cfRule type="expression" priority="52" stopIfTrue="1" id="{28936739-FD80-4A44-88F1-1AA80559D943}">
            <xm:f>'\Dropbox\1MANI DOCUMENTI\2015_12decembris\Baltex_Group\Babite(AivarsMaurins)\[Baltex_Babite soc centrs_VCD4.xlsx]BK'!#REF!=3</xm:f>
            <x14:dxf>
              <fill>
                <patternFill>
                  <bgColor indexed="10"/>
                </patternFill>
              </fill>
            </x14:dxf>
          </x14:cfRule>
          <x14:cfRule type="expression" priority="53" stopIfTrue="1" id="{5D4E1BFF-B056-44B7-B6A0-6950C9204B72}">
            <xm:f>'\Dropbox\1MANI DOCUMENTI\2015_12decembris\Baltex_Group\Babite(AivarsMaurins)\[Baltex_Babite soc centrs_VCD4.xlsx]BK'!#REF!=2</xm:f>
            <x14:dxf>
              <fill>
                <patternFill>
                  <bgColor indexed="11"/>
                </patternFill>
              </fill>
            </x14:dxf>
          </x14:cfRule>
          <xm:sqref>I55:I58</xm:sqref>
        </x14:conditionalFormatting>
        <x14:conditionalFormatting xmlns:xm="http://schemas.microsoft.com/office/excel/2006/main">
          <x14:cfRule type="expression" priority="50" stopIfTrue="1" id="{6255DC59-D3C3-4A80-BE0F-B275D2DDA566}">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I34:I35 I37</xm:sqref>
        </x14:conditionalFormatting>
        <x14:conditionalFormatting xmlns:xm="http://schemas.microsoft.com/office/excel/2006/main">
          <x14:cfRule type="expression" priority="47" stopIfTrue="1" id="{5E5EA843-15D3-442B-B307-C2B08897977F}">
            <xm:f>'\Dropbox\1MANI DOCUMENTI\2015_12decembris\Baltex_Group\Babite(AivarsMaurins)\[Baltex_Babite soc centrs_VCD4.xlsx]BK'!#REF!&gt;0</xm:f>
            <x14:dxf>
              <fill>
                <patternFill>
                  <bgColor indexed="10"/>
                </patternFill>
              </fill>
            </x14:dxf>
          </x14:cfRule>
          <x14:cfRule type="expression" priority="48" stopIfTrue="1" id="{D2B9E827-A596-4F75-AE1B-7DCE1CFDEC92}">
            <xm:f>'\Dropbox\1MANI DOCUMENTI\2015_12decembris\Baltex_Group\Babite(AivarsMaurins)\[Baltex_Babite soc centrs_VCD4.xlsx]BK'!#REF!=3</xm:f>
            <x14:dxf>
              <fill>
                <patternFill>
                  <bgColor indexed="10"/>
                </patternFill>
              </fill>
            </x14:dxf>
          </x14:cfRule>
          <x14:cfRule type="expression" priority="49" stopIfTrue="1" id="{7A85E1BA-A3EE-4C03-AA97-19EEAB053802}">
            <xm:f>'\Dropbox\1MANI DOCUMENTI\2015_12decembris\Baltex_Group\Babite(AivarsMaurins)\[Baltex_Babite soc centrs_VCD4.xlsx]BK'!#REF!=2</xm:f>
            <x14:dxf>
              <fill>
                <patternFill>
                  <bgColor indexed="11"/>
                </patternFill>
              </fill>
            </x14:dxf>
          </x14:cfRule>
          <xm:sqref>I34:I35 I37</xm:sqref>
        </x14:conditionalFormatting>
        <x14:conditionalFormatting xmlns:xm="http://schemas.microsoft.com/office/excel/2006/main">
          <x14:cfRule type="expression" priority="46" stopIfTrue="1" id="{ECEBDDC0-01BF-455C-B041-E24B8B7E84E5}">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I36</xm:sqref>
        </x14:conditionalFormatting>
        <x14:conditionalFormatting xmlns:xm="http://schemas.microsoft.com/office/excel/2006/main">
          <x14:cfRule type="expression" priority="43" stopIfTrue="1" id="{338F55E6-41E6-49D2-B177-1378BB8B9230}">
            <xm:f>'\Dropbox\1MANI DOCUMENTI\2015_12decembris\Baltex_Group\Babite(AivarsMaurins)\[Baltex_Babite soc centrs_VCD4.xlsx]BK'!#REF!&gt;0</xm:f>
            <x14:dxf>
              <fill>
                <patternFill>
                  <bgColor indexed="10"/>
                </patternFill>
              </fill>
            </x14:dxf>
          </x14:cfRule>
          <x14:cfRule type="expression" priority="44" stopIfTrue="1" id="{81D2AE3E-893E-40F4-853D-9A48010C9FBD}">
            <xm:f>'\Dropbox\1MANI DOCUMENTI\2015_12decembris\Baltex_Group\Babite(AivarsMaurins)\[Baltex_Babite soc centrs_VCD4.xlsx]BK'!#REF!=3</xm:f>
            <x14:dxf>
              <fill>
                <patternFill>
                  <bgColor indexed="10"/>
                </patternFill>
              </fill>
            </x14:dxf>
          </x14:cfRule>
          <x14:cfRule type="expression" priority="45" stopIfTrue="1" id="{859DA2AE-D326-4396-BDE0-62C6CBB22105}">
            <xm:f>'\Dropbox\1MANI DOCUMENTI\2015_12decembris\Baltex_Group\Babite(AivarsMaurins)\[Baltex_Babite soc centrs_VCD4.xlsx]BK'!#REF!=2</xm:f>
            <x14:dxf>
              <fill>
                <patternFill>
                  <bgColor indexed="11"/>
                </patternFill>
              </fill>
            </x14:dxf>
          </x14:cfRule>
          <xm:sqref>I36</xm:sqref>
        </x14:conditionalFormatting>
        <x14:conditionalFormatting xmlns:xm="http://schemas.microsoft.com/office/excel/2006/main">
          <x14:cfRule type="expression" priority="42" stopIfTrue="1" id="{0374D810-93B6-4F6F-AD9A-E4E50CCD97B4}">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I32:I33</xm:sqref>
        </x14:conditionalFormatting>
        <x14:conditionalFormatting xmlns:xm="http://schemas.microsoft.com/office/excel/2006/main">
          <x14:cfRule type="expression" priority="39" stopIfTrue="1" id="{0BE2418E-4B38-4D6D-BB0E-EDEF25E8259B}">
            <xm:f>'\Dropbox\1MANI DOCUMENTI\2015_12decembris\Baltex_Group\Babite(AivarsMaurins)\[Baltex_Babite soc centrs_VCD4.xlsx]BK'!#REF!&gt;0</xm:f>
            <x14:dxf>
              <fill>
                <patternFill>
                  <bgColor indexed="10"/>
                </patternFill>
              </fill>
            </x14:dxf>
          </x14:cfRule>
          <x14:cfRule type="expression" priority="40" stopIfTrue="1" id="{6F915740-D08D-4A15-8E1A-42DC942D5BCF}">
            <xm:f>'\Dropbox\1MANI DOCUMENTI\2015_12decembris\Baltex_Group\Babite(AivarsMaurins)\[Baltex_Babite soc centrs_VCD4.xlsx]BK'!#REF!=3</xm:f>
            <x14:dxf>
              <fill>
                <patternFill>
                  <bgColor indexed="10"/>
                </patternFill>
              </fill>
            </x14:dxf>
          </x14:cfRule>
          <x14:cfRule type="expression" priority="41" stopIfTrue="1" id="{7444C55A-C7EB-4FA3-BE36-04312C97DD7E}">
            <xm:f>'\Dropbox\1MANI DOCUMENTI\2015_12decembris\Baltex_Group\Babite(AivarsMaurins)\[Baltex_Babite soc centrs_VCD4.xlsx]BK'!#REF!=2</xm:f>
            <x14:dxf>
              <fill>
                <patternFill>
                  <bgColor indexed="11"/>
                </patternFill>
              </fill>
            </x14:dxf>
          </x14:cfRule>
          <xm:sqref>I32:I33</xm:sqref>
        </x14:conditionalFormatting>
        <x14:conditionalFormatting xmlns:xm="http://schemas.microsoft.com/office/excel/2006/main">
          <x14:cfRule type="expression" priority="38" stopIfTrue="1" id="{FEB5EABA-8B06-475C-89C1-24FA7B818E18}">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I38:I39</xm:sqref>
        </x14:conditionalFormatting>
        <x14:conditionalFormatting xmlns:xm="http://schemas.microsoft.com/office/excel/2006/main">
          <x14:cfRule type="expression" priority="35" stopIfTrue="1" id="{BA1A54C6-CD45-4B48-A7B8-93A465D64A96}">
            <xm:f>'\Dropbox\1MANI DOCUMENTI\2015_12decembris\Baltex_Group\Babite(AivarsMaurins)\[Baltex_Babite soc centrs_VCD4.xlsx]BK'!#REF!&gt;0</xm:f>
            <x14:dxf>
              <fill>
                <patternFill>
                  <bgColor indexed="10"/>
                </patternFill>
              </fill>
            </x14:dxf>
          </x14:cfRule>
          <x14:cfRule type="expression" priority="36" stopIfTrue="1" id="{2323AAD3-17E2-4719-B457-B2E396891638}">
            <xm:f>'\Dropbox\1MANI DOCUMENTI\2015_12decembris\Baltex_Group\Babite(AivarsMaurins)\[Baltex_Babite soc centrs_VCD4.xlsx]BK'!#REF!=3</xm:f>
            <x14:dxf>
              <fill>
                <patternFill>
                  <bgColor indexed="10"/>
                </patternFill>
              </fill>
            </x14:dxf>
          </x14:cfRule>
          <x14:cfRule type="expression" priority="37" stopIfTrue="1" id="{5B6D2211-58A5-4EC3-84DE-00A9BBDFE3A6}">
            <xm:f>'\Dropbox\1MANI DOCUMENTI\2015_12decembris\Baltex_Group\Babite(AivarsMaurins)\[Baltex_Babite soc centrs_VCD4.xlsx]BK'!#REF!=2</xm:f>
            <x14:dxf>
              <fill>
                <patternFill>
                  <bgColor indexed="11"/>
                </patternFill>
              </fill>
            </x14:dxf>
          </x14:cfRule>
          <xm:sqref>I38:I39</xm:sqref>
        </x14:conditionalFormatting>
        <x14:conditionalFormatting xmlns:xm="http://schemas.microsoft.com/office/excel/2006/main">
          <x14:cfRule type="expression" priority="29" stopIfTrue="1" id="{7210956F-8F36-4D2F-BF22-EAC741330065}">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I19:I20</xm:sqref>
        </x14:conditionalFormatting>
        <x14:conditionalFormatting xmlns:xm="http://schemas.microsoft.com/office/excel/2006/main">
          <x14:cfRule type="expression" priority="26" stopIfTrue="1" id="{04C9280A-8717-49FE-8CFE-047D0C438FEB}">
            <xm:f>'\Dropbox\1MANI DOCUMENTI\2015_12decembris\Baltex_Group\Babite(AivarsMaurins)\[Baltex_Babite soc centrs_VCD4.xlsx]BK'!#REF!&gt;0</xm:f>
            <x14:dxf>
              <fill>
                <patternFill>
                  <bgColor indexed="10"/>
                </patternFill>
              </fill>
            </x14:dxf>
          </x14:cfRule>
          <x14:cfRule type="expression" priority="27" stopIfTrue="1" id="{3B33A9E9-E60A-4608-8BC5-A076BF866C03}">
            <xm:f>'\Dropbox\1MANI DOCUMENTI\2015_12decembris\Baltex_Group\Babite(AivarsMaurins)\[Baltex_Babite soc centrs_VCD4.xlsx]BK'!#REF!=3</xm:f>
            <x14:dxf>
              <fill>
                <patternFill>
                  <bgColor indexed="10"/>
                </patternFill>
              </fill>
            </x14:dxf>
          </x14:cfRule>
          <x14:cfRule type="expression" priority="28" stopIfTrue="1" id="{7D7439E3-6552-4243-8D67-186B5C2A6DA5}">
            <xm:f>'\Dropbox\1MANI DOCUMENTI\2015_12decembris\Baltex_Group\Babite(AivarsMaurins)\[Baltex_Babite soc centrs_VCD4.xlsx]BK'!#REF!=2</xm:f>
            <x14:dxf>
              <fill>
                <patternFill>
                  <bgColor indexed="11"/>
                </patternFill>
              </fill>
            </x14:dxf>
          </x14:cfRule>
          <xm:sqref>I19:I20</xm:sqref>
        </x14:conditionalFormatting>
        <x14:conditionalFormatting xmlns:xm="http://schemas.microsoft.com/office/excel/2006/main">
          <x14:cfRule type="expression" priority="25" stopIfTrue="1" id="{7AB3184D-2078-4536-9B5A-6A58785A5F44}">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I91</xm:sqref>
        </x14:conditionalFormatting>
        <x14:conditionalFormatting xmlns:xm="http://schemas.microsoft.com/office/excel/2006/main">
          <x14:cfRule type="expression" priority="22" stopIfTrue="1" id="{04E10759-8C3F-4796-8A14-2A0EC5510AAB}">
            <xm:f>'\Dropbox\1MANI DOCUMENTI\2015_12decembris\Baltex_Group\Babite(AivarsMaurins)\[Baltex_Babite soc centrs_VCD4.xlsx]BK'!#REF!&gt;0</xm:f>
            <x14:dxf>
              <fill>
                <patternFill>
                  <bgColor indexed="10"/>
                </patternFill>
              </fill>
            </x14:dxf>
          </x14:cfRule>
          <x14:cfRule type="expression" priority="23" stopIfTrue="1" id="{8B354FE2-C5A4-4947-9E4F-4031586A835D}">
            <xm:f>'\Dropbox\1MANI DOCUMENTI\2015_12decembris\Baltex_Group\Babite(AivarsMaurins)\[Baltex_Babite soc centrs_VCD4.xlsx]BK'!#REF!=3</xm:f>
            <x14:dxf>
              <fill>
                <patternFill>
                  <bgColor indexed="10"/>
                </patternFill>
              </fill>
            </x14:dxf>
          </x14:cfRule>
          <x14:cfRule type="expression" priority="24" stopIfTrue="1" id="{9BD5B9BF-8797-467A-9B59-3A073AA2AD80}">
            <xm:f>'\Dropbox\1MANI DOCUMENTI\2015_12decembris\Baltex_Group\Babite(AivarsMaurins)\[Baltex_Babite soc centrs_VCD4.xlsx]BK'!#REF!=2</xm:f>
            <x14:dxf>
              <fill>
                <patternFill>
                  <bgColor indexed="11"/>
                </patternFill>
              </fill>
            </x14:dxf>
          </x14:cfRule>
          <xm:sqref>I91</xm:sqref>
        </x14:conditionalFormatting>
        <x14:conditionalFormatting xmlns:xm="http://schemas.microsoft.com/office/excel/2006/main">
          <x14:cfRule type="expression" priority="21" stopIfTrue="1" id="{80877AEC-DE7B-4F37-9CB9-BCCB55F54851}">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I18</xm:sqref>
        </x14:conditionalFormatting>
        <x14:conditionalFormatting xmlns:xm="http://schemas.microsoft.com/office/excel/2006/main">
          <x14:cfRule type="expression" priority="18" stopIfTrue="1" id="{5604FECD-9566-4E8E-9B40-A440F623640E}">
            <xm:f>'\Dropbox\1MANI DOCUMENTI\2015_12decembris\Baltex_Group\Babite(AivarsMaurins)\[Baltex_Babite soc centrs_VCD4.xlsx]BK'!#REF!&gt;0</xm:f>
            <x14:dxf>
              <fill>
                <patternFill>
                  <bgColor indexed="10"/>
                </patternFill>
              </fill>
            </x14:dxf>
          </x14:cfRule>
          <x14:cfRule type="expression" priority="19" stopIfTrue="1" id="{E693D258-6841-458A-B537-D1409EF26E45}">
            <xm:f>'\Dropbox\1MANI DOCUMENTI\2015_12decembris\Baltex_Group\Babite(AivarsMaurins)\[Baltex_Babite soc centrs_VCD4.xlsx]BK'!#REF!=3</xm:f>
            <x14:dxf>
              <fill>
                <patternFill>
                  <bgColor indexed="10"/>
                </patternFill>
              </fill>
            </x14:dxf>
          </x14:cfRule>
          <x14:cfRule type="expression" priority="20" stopIfTrue="1" id="{A5636254-F293-47BE-B914-C996E57C77E2}">
            <xm:f>'\Dropbox\1MANI DOCUMENTI\2015_12decembris\Baltex_Group\Babite(AivarsMaurins)\[Baltex_Babite soc centrs_VCD4.xlsx]BK'!#REF!=2</xm:f>
            <x14:dxf>
              <fill>
                <patternFill>
                  <bgColor indexed="11"/>
                </patternFill>
              </fill>
            </x14:dxf>
          </x14:cfRule>
          <xm:sqref>I18</xm:sqref>
        </x14:conditionalFormatting>
        <x14:conditionalFormatting xmlns:xm="http://schemas.microsoft.com/office/excel/2006/main">
          <x14:cfRule type="expression" priority="17" stopIfTrue="1" id="{AF9446AC-6D4E-46D8-B328-926CFE4019F5}">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I89</xm:sqref>
        </x14:conditionalFormatting>
        <x14:conditionalFormatting xmlns:xm="http://schemas.microsoft.com/office/excel/2006/main">
          <x14:cfRule type="expression" priority="14" stopIfTrue="1" id="{4F3550B9-B6F5-4FAD-8A77-42865B98D84B}">
            <xm:f>'\Dropbox\1MANI DOCUMENTI\2015_12decembris\Baltex_Group\Babite(AivarsMaurins)\[Baltex_Babite soc centrs_VCD4.xlsx]BK'!#REF!&gt;0</xm:f>
            <x14:dxf>
              <fill>
                <patternFill>
                  <bgColor indexed="10"/>
                </patternFill>
              </fill>
            </x14:dxf>
          </x14:cfRule>
          <x14:cfRule type="expression" priority="15" stopIfTrue="1" id="{66877559-190E-497F-9618-925FA600109C}">
            <xm:f>'\Dropbox\1MANI DOCUMENTI\2015_12decembris\Baltex_Group\Babite(AivarsMaurins)\[Baltex_Babite soc centrs_VCD4.xlsx]BK'!#REF!=3</xm:f>
            <x14:dxf>
              <fill>
                <patternFill>
                  <bgColor indexed="10"/>
                </patternFill>
              </fill>
            </x14:dxf>
          </x14:cfRule>
          <x14:cfRule type="expression" priority="16" stopIfTrue="1" id="{9C6E55F5-24DA-41A6-966F-951B63778657}">
            <xm:f>'\Dropbox\1MANI DOCUMENTI\2015_12decembris\Baltex_Group\Babite(AivarsMaurins)\[Baltex_Babite soc centrs_VCD4.xlsx]BK'!#REF!=2</xm:f>
            <x14:dxf>
              <fill>
                <patternFill>
                  <bgColor indexed="11"/>
                </patternFill>
              </fill>
            </x14:dxf>
          </x14:cfRule>
          <xm:sqref>I89</xm:sqref>
        </x14:conditionalFormatting>
        <x14:conditionalFormatting xmlns:xm="http://schemas.microsoft.com/office/excel/2006/main">
          <x14:cfRule type="expression" priority="13" stopIfTrue="1" id="{6717828D-2F11-46F3-AC85-51A8E5BF012A}">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I31</xm:sqref>
        </x14:conditionalFormatting>
        <x14:conditionalFormatting xmlns:xm="http://schemas.microsoft.com/office/excel/2006/main">
          <x14:cfRule type="expression" priority="10" stopIfTrue="1" id="{7ED380BF-C4B5-44B1-83AF-7603803CA6F8}">
            <xm:f>'\Dropbox\1MANI DOCUMENTI\2015_12decembris\Baltex_Group\Babite(AivarsMaurins)\[Baltex_Babite soc centrs_VCD4.xlsx]BK'!#REF!&gt;0</xm:f>
            <x14:dxf>
              <fill>
                <patternFill>
                  <bgColor indexed="10"/>
                </patternFill>
              </fill>
            </x14:dxf>
          </x14:cfRule>
          <x14:cfRule type="expression" priority="11" stopIfTrue="1" id="{0134BA38-C5B7-497A-94EA-CF302D71AE66}">
            <xm:f>'\Dropbox\1MANI DOCUMENTI\2015_12decembris\Baltex_Group\Babite(AivarsMaurins)\[Baltex_Babite soc centrs_VCD4.xlsx]BK'!#REF!=3</xm:f>
            <x14:dxf>
              <fill>
                <patternFill>
                  <bgColor indexed="10"/>
                </patternFill>
              </fill>
            </x14:dxf>
          </x14:cfRule>
          <x14:cfRule type="expression" priority="12" stopIfTrue="1" id="{3A0ACF45-916D-4697-B317-542F79597BC6}">
            <xm:f>'\Dropbox\1MANI DOCUMENTI\2015_12decembris\Baltex_Group\Babite(AivarsMaurins)\[Baltex_Babite soc centrs_VCD4.xlsx]BK'!#REF!=2</xm:f>
            <x14:dxf>
              <fill>
                <patternFill>
                  <bgColor indexed="11"/>
                </patternFill>
              </fill>
            </x14:dxf>
          </x14:cfRule>
          <xm:sqref>I31</xm:sqref>
        </x14:conditionalFormatting>
        <x14:conditionalFormatting xmlns:xm="http://schemas.microsoft.com/office/excel/2006/main">
          <x14:cfRule type="expression" priority="9" stopIfTrue="1" id="{1AB17FB9-39FD-4F5F-83E3-FD26C4E4D4A1}">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I21:I22</xm:sqref>
        </x14:conditionalFormatting>
        <x14:conditionalFormatting xmlns:xm="http://schemas.microsoft.com/office/excel/2006/main">
          <x14:cfRule type="expression" priority="6" stopIfTrue="1" id="{DBFAF067-AA6E-4923-BA6A-4F5AB51AA779}">
            <xm:f>'\Dropbox\1MANI DOCUMENTI\2015_12decembris\Baltex_Group\Babite(AivarsMaurins)\[Baltex_Babite soc centrs_VCD4.xlsx]BK'!#REF!&gt;0</xm:f>
            <x14:dxf>
              <fill>
                <patternFill>
                  <bgColor indexed="10"/>
                </patternFill>
              </fill>
            </x14:dxf>
          </x14:cfRule>
          <x14:cfRule type="expression" priority="7" stopIfTrue="1" id="{6A4F5D40-5D9E-44E2-9ED2-C37FE0E3C980}">
            <xm:f>'\Dropbox\1MANI DOCUMENTI\2015_12decembris\Baltex_Group\Babite(AivarsMaurins)\[Baltex_Babite soc centrs_VCD4.xlsx]BK'!#REF!=3</xm:f>
            <x14:dxf>
              <fill>
                <patternFill>
                  <bgColor indexed="10"/>
                </patternFill>
              </fill>
            </x14:dxf>
          </x14:cfRule>
          <x14:cfRule type="expression" priority="8" stopIfTrue="1" id="{E340D02A-DA6D-4EC4-A16C-2DD307739888}">
            <xm:f>'\Dropbox\1MANI DOCUMENTI\2015_12decembris\Baltex_Group\Babite(AivarsMaurins)\[Baltex_Babite soc centrs_VCD4.xlsx]BK'!#REF!=2</xm:f>
            <x14:dxf>
              <fill>
                <patternFill>
                  <bgColor indexed="11"/>
                </patternFill>
              </fill>
            </x14:dxf>
          </x14:cfRule>
          <xm:sqref>I21:I22</xm:sqref>
        </x14:conditionalFormatting>
        <x14:conditionalFormatting xmlns:xm="http://schemas.microsoft.com/office/excel/2006/main">
          <x14:cfRule type="expression" priority="5" stopIfTrue="1" id="{58F172DE-B918-4F8D-BBCD-CF151A0F2EA2}">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I14</xm:sqref>
        </x14:conditionalFormatting>
        <x14:conditionalFormatting xmlns:xm="http://schemas.microsoft.com/office/excel/2006/main">
          <x14:cfRule type="expression" priority="2" stopIfTrue="1" id="{DF9AAC47-A7F7-4DED-AA91-5A4649F159BE}">
            <xm:f>'\Dropbox\1MANI DOCUMENTI\2015_12decembris\Baltex_Group\Babite(AivarsMaurins)\[Baltex_Babite soc centrs_VCD4.xlsx]BK'!#REF!&gt;0</xm:f>
            <x14:dxf>
              <fill>
                <patternFill>
                  <bgColor indexed="10"/>
                </patternFill>
              </fill>
            </x14:dxf>
          </x14:cfRule>
          <x14:cfRule type="expression" priority="3" stopIfTrue="1" id="{1332A9FF-6482-45BA-A5A2-FB48D8D1C840}">
            <xm:f>'\Dropbox\1MANI DOCUMENTI\2015_12decembris\Baltex_Group\Babite(AivarsMaurins)\[Baltex_Babite soc centrs_VCD4.xlsx]BK'!#REF!=3</xm:f>
            <x14:dxf>
              <fill>
                <patternFill>
                  <bgColor indexed="10"/>
                </patternFill>
              </fill>
            </x14:dxf>
          </x14:cfRule>
          <x14:cfRule type="expression" priority="4" stopIfTrue="1" id="{5B8320CB-AB8D-4556-A9D0-4AC477645266}">
            <xm:f>'\Dropbox\1MANI DOCUMENTI\2015_12decembris\Baltex_Group\Babite(AivarsMaurins)\[Baltex_Babite soc centrs_VCD4.xlsx]BK'!#REF!=2</xm:f>
            <x14:dxf>
              <fill>
                <patternFill>
                  <bgColor indexed="11"/>
                </patternFill>
              </fill>
            </x14:dxf>
          </x14:cfRule>
          <xm:sqref>I14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54"/>
  <sheetViews>
    <sheetView showZeros="0" view="pageBreakPreview" zoomScale="80" zoomScaleNormal="100" zoomScaleSheetLayoutView="80" workbookViewId="0">
      <selection activeCell="B13" sqref="B13:D13"/>
    </sheetView>
  </sheetViews>
  <sheetFormatPr defaultRowHeight="14.25" x14ac:dyDescent="0.2"/>
  <cols>
    <col min="1" max="1" width="9" style="49" customWidth="1"/>
    <col min="2" max="2" width="9.42578125" style="49" customWidth="1"/>
    <col min="3" max="3" width="43.85546875" style="130" customWidth="1"/>
    <col min="4" max="4" width="8.140625" style="49" customWidth="1"/>
    <col min="5" max="11" width="9.140625" style="49"/>
    <col min="12" max="12" width="11.5703125" style="49" customWidth="1"/>
    <col min="13" max="13" width="12.28515625" style="49" customWidth="1"/>
    <col min="14" max="14" width="12.7109375" style="49" customWidth="1"/>
    <col min="15" max="15" width="11.5703125" style="49" customWidth="1"/>
    <col min="16" max="16" width="12.85546875" style="49" customWidth="1"/>
    <col min="17" max="16384" width="9.140625" style="49"/>
  </cols>
  <sheetData>
    <row r="1" spans="1:16" s="41" customFormat="1" ht="15" x14ac:dyDescent="0.25">
      <c r="C1" s="127"/>
      <c r="E1" s="43"/>
      <c r="F1" s="43"/>
      <c r="G1" s="95" t="s">
        <v>37</v>
      </c>
      <c r="H1" s="122" t="s">
        <v>669</v>
      </c>
    </row>
    <row r="2" spans="1:16" s="41" customFormat="1" ht="15" x14ac:dyDescent="0.25">
      <c r="A2" s="504" t="str">
        <f>C13</f>
        <v>Dažādi darbi</v>
      </c>
      <c r="B2" s="504"/>
      <c r="C2" s="504"/>
      <c r="D2" s="504"/>
      <c r="E2" s="504"/>
      <c r="F2" s="504"/>
      <c r="G2" s="504"/>
      <c r="H2" s="504"/>
      <c r="I2" s="504"/>
      <c r="J2" s="504"/>
      <c r="K2" s="504"/>
      <c r="L2" s="504"/>
      <c r="M2" s="504"/>
      <c r="N2" s="504"/>
      <c r="O2" s="504"/>
      <c r="P2" s="504"/>
    </row>
    <row r="3" spans="1:16" ht="15" x14ac:dyDescent="0.2">
      <c r="A3" s="47"/>
      <c r="B3" s="47"/>
      <c r="C3" s="129" t="s">
        <v>38</v>
      </c>
      <c r="D3" s="505" t="s">
        <v>94</v>
      </c>
      <c r="E3" s="505"/>
      <c r="F3" s="505"/>
      <c r="G3" s="505"/>
      <c r="H3" s="505"/>
      <c r="I3" s="505"/>
      <c r="J3" s="505"/>
      <c r="K3" s="505"/>
      <c r="L3" s="505"/>
      <c r="M3" s="505"/>
      <c r="N3" s="505"/>
      <c r="O3" s="505"/>
      <c r="P3" s="505"/>
    </row>
    <row r="4" spans="1:16" ht="15" x14ac:dyDescent="0.2">
      <c r="A4" s="47"/>
      <c r="B4" s="47"/>
      <c r="C4" s="129" t="s">
        <v>39</v>
      </c>
      <c r="D4" s="505" t="s">
        <v>95</v>
      </c>
      <c r="E4" s="505"/>
      <c r="F4" s="505"/>
      <c r="G4" s="505"/>
      <c r="H4" s="505"/>
      <c r="I4" s="505"/>
      <c r="J4" s="505"/>
      <c r="K4" s="505"/>
      <c r="L4" s="505"/>
      <c r="M4" s="505"/>
      <c r="N4" s="505"/>
      <c r="O4" s="505"/>
      <c r="P4" s="505"/>
    </row>
    <row r="5" spans="1:16" ht="15" x14ac:dyDescent="0.2">
      <c r="A5" s="47"/>
      <c r="B5" s="47"/>
      <c r="C5" s="129" t="s">
        <v>40</v>
      </c>
      <c r="D5" s="505" t="s">
        <v>96</v>
      </c>
      <c r="E5" s="505"/>
      <c r="F5" s="505"/>
      <c r="G5" s="505"/>
      <c r="H5" s="505"/>
      <c r="I5" s="505"/>
      <c r="J5" s="505"/>
      <c r="K5" s="505"/>
      <c r="L5" s="505"/>
      <c r="M5" s="505"/>
      <c r="N5" s="505"/>
      <c r="O5" s="505"/>
      <c r="P5" s="505"/>
    </row>
    <row r="6" spans="1:16" x14ac:dyDescent="0.2">
      <c r="A6" s="47"/>
      <c r="B6" s="47"/>
      <c r="C6" s="129" t="s">
        <v>100</v>
      </c>
      <c r="D6" s="50" t="s">
        <v>97</v>
      </c>
      <c r="E6" s="51"/>
      <c r="F6" s="51"/>
      <c r="G6" s="51"/>
      <c r="H6" s="51"/>
      <c r="I6" s="51"/>
      <c r="J6" s="51"/>
      <c r="K6" s="51"/>
      <c r="L6" s="51"/>
      <c r="M6" s="51"/>
      <c r="N6" s="51"/>
      <c r="O6" s="51"/>
      <c r="P6" s="53"/>
    </row>
    <row r="7" spans="1:16" x14ac:dyDescent="0.2">
      <c r="A7" s="8" t="s">
        <v>745</v>
      </c>
      <c r="B7" s="96"/>
      <c r="D7" s="50"/>
      <c r="E7" s="50"/>
      <c r="F7" s="50"/>
      <c r="G7" s="50"/>
      <c r="H7" s="50"/>
      <c r="I7" s="50"/>
      <c r="J7" s="50"/>
      <c r="K7" s="51"/>
      <c r="L7" s="51"/>
      <c r="M7" s="51"/>
      <c r="N7" s="51"/>
      <c r="O7" s="47" t="s">
        <v>41</v>
      </c>
      <c r="P7" s="56">
        <f>P44</f>
        <v>0</v>
      </c>
    </row>
    <row r="8" spans="1:16" x14ac:dyDescent="0.2">
      <c r="A8" s="57"/>
      <c r="B8" s="57"/>
      <c r="D8" s="58"/>
      <c r="E8" s="51"/>
      <c r="F8" s="51"/>
      <c r="G8" s="51"/>
      <c r="H8" s="51"/>
      <c r="I8" s="51"/>
      <c r="J8" s="51"/>
      <c r="K8" s="51"/>
      <c r="N8" s="51"/>
      <c r="O8" s="51"/>
      <c r="P8" s="53"/>
    </row>
    <row r="9" spans="1:16" ht="15" customHeight="1" x14ac:dyDescent="0.2">
      <c r="A9" s="59"/>
      <c r="B9" s="59"/>
      <c r="J9" s="62"/>
      <c r="K9" s="62"/>
      <c r="L9" s="506" t="s">
        <v>736</v>
      </c>
      <c r="M9" s="506"/>
      <c r="N9" s="506"/>
      <c r="O9" s="506"/>
      <c r="P9" s="62"/>
    </row>
    <row r="10" spans="1:16" ht="15" x14ac:dyDescent="0.2">
      <c r="A10" s="59"/>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75" customHeight="1"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c r="C13" s="458" t="str">
        <f>kops1!C33</f>
        <v>Dažādi darbi</v>
      </c>
      <c r="D13" s="459"/>
      <c r="E13" s="67"/>
      <c r="F13" s="76">
        <v>0</v>
      </c>
      <c r="G13" s="76">
        <v>0</v>
      </c>
      <c r="H13" s="69"/>
      <c r="I13" s="70"/>
      <c r="J13" s="70"/>
      <c r="K13" s="70">
        <f t="shared" ref="K13" si="0">SUM(H13:J13)</f>
        <v>0</v>
      </c>
      <c r="L13" s="71">
        <f t="shared" ref="L13" si="1">ROUND(F13*E13,2)</f>
        <v>0</v>
      </c>
      <c r="M13" s="70">
        <f t="shared" ref="M13" si="2">ROUND(H13*E13,2)</f>
        <v>0</v>
      </c>
      <c r="N13" s="70">
        <f t="shared" ref="N13" si="3">ROUND(I13*E13,2)</f>
        <v>0</v>
      </c>
      <c r="O13" s="70">
        <f t="shared" ref="O13" si="4">ROUND(J13*E13,2)</f>
        <v>0</v>
      </c>
      <c r="P13" s="72">
        <f t="shared" ref="P13" si="5">SUM(M13:O13)</f>
        <v>0</v>
      </c>
    </row>
    <row r="14" spans="1:16" s="61" customFormat="1" ht="31.5" x14ac:dyDescent="0.2">
      <c r="A14" s="143">
        <v>0</v>
      </c>
      <c r="B14" s="144"/>
      <c r="C14" s="145" t="s">
        <v>722</v>
      </c>
      <c r="D14" s="146"/>
      <c r="E14" s="147"/>
      <c r="F14" s="148">
        <f t="shared" ref="F14" si="6">IFERROR(ROUND(H14/G14,2),0)</f>
        <v>0</v>
      </c>
      <c r="G14" s="148">
        <f t="shared" ref="G14" si="7">IF(H14&gt;0,5,0)</f>
        <v>0</v>
      </c>
      <c r="H14" s="149"/>
      <c r="I14" s="149"/>
      <c r="J14" s="149"/>
      <c r="K14" s="75">
        <f>SUM(H14:J14)</f>
        <v>0</v>
      </c>
      <c r="L14" s="76">
        <f>ROUND(F14*E14,2)</f>
        <v>0</v>
      </c>
      <c r="M14" s="75">
        <f>ROUND(H14*E14,2)</f>
        <v>0</v>
      </c>
      <c r="N14" s="75">
        <f>ROUND(I14*E14,2)</f>
        <v>0</v>
      </c>
      <c r="O14" s="75">
        <f>ROUND(J14*E14,2)</f>
        <v>0</v>
      </c>
      <c r="P14" s="77">
        <f>SUM(M14:O14)</f>
        <v>0</v>
      </c>
    </row>
    <row r="15" spans="1:16" s="61" customFormat="1" x14ac:dyDescent="0.2">
      <c r="A15" s="155">
        <v>0</v>
      </c>
      <c r="B15" s="156"/>
      <c r="C15" s="197" t="s">
        <v>723</v>
      </c>
      <c r="D15" s="158"/>
      <c r="E15" s="158"/>
      <c r="F15" s="159"/>
      <c r="G15" s="159"/>
      <c r="H15" s="161"/>
      <c r="I15" s="161"/>
      <c r="J15" s="161"/>
      <c r="K15" s="75">
        <f t="shared" ref="K15:K42" si="8">SUM(H15:J15)</f>
        <v>0</v>
      </c>
      <c r="L15" s="76">
        <f t="shared" ref="L15:L42" si="9">ROUND(F15*E15,2)</f>
        <v>0</v>
      </c>
      <c r="M15" s="75">
        <f t="shared" ref="M15:M42" si="10">ROUND(H15*E15,2)</f>
        <v>0</v>
      </c>
      <c r="N15" s="75">
        <f t="shared" ref="N15:N42" si="11">ROUND(I15*E15,2)</f>
        <v>0</v>
      </c>
      <c r="O15" s="75">
        <f t="shared" ref="O15:O42" si="12">ROUND(J15*E15,2)</f>
        <v>0</v>
      </c>
      <c r="P15" s="77">
        <f t="shared" ref="P15:P42" si="13">SUM(M15:O15)</f>
        <v>0</v>
      </c>
    </row>
    <row r="16" spans="1:16" s="61" customFormat="1" ht="25.5" x14ac:dyDescent="0.2">
      <c r="A16" s="155">
        <v>1</v>
      </c>
      <c r="B16" s="156" t="s">
        <v>211</v>
      </c>
      <c r="C16" s="173" t="s">
        <v>297</v>
      </c>
      <c r="D16" s="158" t="s">
        <v>83</v>
      </c>
      <c r="E16" s="164">
        <v>226</v>
      </c>
      <c r="F16" s="161"/>
      <c r="G16" s="159"/>
      <c r="H16" s="161"/>
      <c r="I16" s="161"/>
      <c r="J16" s="161"/>
      <c r="K16" s="75">
        <f t="shared" si="8"/>
        <v>0</v>
      </c>
      <c r="L16" s="76">
        <f t="shared" si="9"/>
        <v>0</v>
      </c>
      <c r="M16" s="75">
        <f t="shared" si="10"/>
        <v>0</v>
      </c>
      <c r="N16" s="75">
        <f t="shared" si="11"/>
        <v>0</v>
      </c>
      <c r="O16" s="75">
        <f t="shared" si="12"/>
        <v>0</v>
      </c>
      <c r="P16" s="77">
        <f t="shared" si="13"/>
        <v>0</v>
      </c>
    </row>
    <row r="17" spans="1:16" s="61" customFormat="1" ht="76.5" x14ac:dyDescent="0.2">
      <c r="A17" s="155">
        <v>2</v>
      </c>
      <c r="B17" s="156" t="s">
        <v>211</v>
      </c>
      <c r="C17" s="176" t="s">
        <v>298</v>
      </c>
      <c r="D17" s="158" t="s">
        <v>131</v>
      </c>
      <c r="E17" s="164">
        <f>58+30.7+2490.5+65.3+4.02+11.8</f>
        <v>2660.32</v>
      </c>
      <c r="F17" s="177"/>
      <c r="G17" s="159"/>
      <c r="H17" s="161"/>
      <c r="I17" s="161"/>
      <c r="J17" s="161"/>
      <c r="K17" s="75">
        <f t="shared" si="8"/>
        <v>0</v>
      </c>
      <c r="L17" s="76">
        <f t="shared" si="9"/>
        <v>0</v>
      </c>
      <c r="M17" s="75">
        <f t="shared" si="10"/>
        <v>0</v>
      </c>
      <c r="N17" s="75">
        <f t="shared" si="11"/>
        <v>0</v>
      </c>
      <c r="O17" s="75">
        <f t="shared" si="12"/>
        <v>0</v>
      </c>
      <c r="P17" s="77">
        <f t="shared" si="13"/>
        <v>0</v>
      </c>
    </row>
    <row r="18" spans="1:16" s="61" customFormat="1" x14ac:dyDescent="0.2">
      <c r="A18" s="155">
        <v>0</v>
      </c>
      <c r="B18" s="156"/>
      <c r="C18" s="178" t="s">
        <v>132</v>
      </c>
      <c r="D18" s="179" t="s">
        <v>131</v>
      </c>
      <c r="E18" s="180">
        <f>E17*1.15</f>
        <v>3059.3679999999999</v>
      </c>
      <c r="F18" s="159"/>
      <c r="G18" s="159"/>
      <c r="H18" s="161"/>
      <c r="I18" s="161"/>
      <c r="J18" s="161"/>
      <c r="K18" s="75">
        <f t="shared" si="8"/>
        <v>0</v>
      </c>
      <c r="L18" s="76">
        <f t="shared" si="9"/>
        <v>0</v>
      </c>
      <c r="M18" s="75">
        <f t="shared" si="10"/>
        <v>0</v>
      </c>
      <c r="N18" s="75">
        <f t="shared" si="11"/>
        <v>0</v>
      </c>
      <c r="O18" s="75">
        <f t="shared" si="12"/>
        <v>0</v>
      </c>
      <c r="P18" s="77">
        <f t="shared" si="13"/>
        <v>0</v>
      </c>
    </row>
    <row r="19" spans="1:16" s="61" customFormat="1" ht="25.5" x14ac:dyDescent="0.2">
      <c r="A19" s="155">
        <v>0</v>
      </c>
      <c r="B19" s="156"/>
      <c r="C19" s="181" t="s">
        <v>133</v>
      </c>
      <c r="D19" s="158" t="s">
        <v>66</v>
      </c>
      <c r="E19" s="182">
        <v>1</v>
      </c>
      <c r="F19" s="159"/>
      <c r="G19" s="159"/>
      <c r="H19" s="161"/>
      <c r="I19" s="161"/>
      <c r="J19" s="161"/>
      <c r="K19" s="75">
        <f t="shared" si="8"/>
        <v>0</v>
      </c>
      <c r="L19" s="76">
        <f t="shared" si="9"/>
        <v>0</v>
      </c>
      <c r="M19" s="75">
        <f t="shared" si="10"/>
        <v>0</v>
      </c>
      <c r="N19" s="75">
        <f t="shared" si="11"/>
        <v>0</v>
      </c>
      <c r="O19" s="75">
        <f t="shared" si="12"/>
        <v>0</v>
      </c>
      <c r="P19" s="77">
        <f t="shared" si="13"/>
        <v>0</v>
      </c>
    </row>
    <row r="20" spans="1:16" s="61" customFormat="1" ht="25.5" x14ac:dyDescent="0.2">
      <c r="A20" s="155">
        <v>3</v>
      </c>
      <c r="B20" s="156" t="s">
        <v>211</v>
      </c>
      <c r="C20" s="176" t="s">
        <v>186</v>
      </c>
      <c r="D20" s="179" t="s">
        <v>78</v>
      </c>
      <c r="E20" s="164">
        <v>21.05</v>
      </c>
      <c r="F20" s="159"/>
      <c r="G20" s="159"/>
      <c r="H20" s="161"/>
      <c r="I20" s="161"/>
      <c r="J20" s="161"/>
      <c r="K20" s="75">
        <f t="shared" si="8"/>
        <v>0</v>
      </c>
      <c r="L20" s="76">
        <f t="shared" si="9"/>
        <v>0</v>
      </c>
      <c r="M20" s="75">
        <f t="shared" si="10"/>
        <v>0</v>
      </c>
      <c r="N20" s="75">
        <f t="shared" si="11"/>
        <v>0</v>
      </c>
      <c r="O20" s="75">
        <f t="shared" si="12"/>
        <v>0</v>
      </c>
      <c r="P20" s="77">
        <f t="shared" si="13"/>
        <v>0</v>
      </c>
    </row>
    <row r="21" spans="1:16" s="61" customFormat="1" x14ac:dyDescent="0.2">
      <c r="A21" s="155">
        <v>0</v>
      </c>
      <c r="B21" s="156"/>
      <c r="C21" s="183" t="s">
        <v>135</v>
      </c>
      <c r="D21" s="179" t="s">
        <v>78</v>
      </c>
      <c r="E21" s="184">
        <f>E20*1.05</f>
        <v>22.102500000000003</v>
      </c>
      <c r="F21" s="185"/>
      <c r="G21" s="159"/>
      <c r="H21" s="161"/>
      <c r="I21" s="161"/>
      <c r="J21" s="161"/>
      <c r="K21" s="75">
        <f t="shared" si="8"/>
        <v>0</v>
      </c>
      <c r="L21" s="76">
        <f t="shared" si="9"/>
        <v>0</v>
      </c>
      <c r="M21" s="75">
        <f t="shared" si="10"/>
        <v>0</v>
      </c>
      <c r="N21" s="75">
        <f t="shared" si="11"/>
        <v>0</v>
      </c>
      <c r="O21" s="75">
        <f t="shared" si="12"/>
        <v>0</v>
      </c>
      <c r="P21" s="77">
        <f t="shared" si="13"/>
        <v>0</v>
      </c>
    </row>
    <row r="22" spans="1:16" s="61" customFormat="1" x14ac:dyDescent="0.2">
      <c r="A22" s="155">
        <v>0</v>
      </c>
      <c r="B22" s="156"/>
      <c r="C22" s="183" t="s">
        <v>136</v>
      </c>
      <c r="D22" s="179" t="s">
        <v>137</v>
      </c>
      <c r="E22" s="184">
        <f>E20*0.25</f>
        <v>5.2625000000000002</v>
      </c>
      <c r="F22" s="185"/>
      <c r="G22" s="159"/>
      <c r="H22" s="161"/>
      <c r="I22" s="154"/>
      <c r="J22" s="161"/>
      <c r="K22" s="75">
        <f t="shared" si="8"/>
        <v>0</v>
      </c>
      <c r="L22" s="76">
        <f t="shared" si="9"/>
        <v>0</v>
      </c>
      <c r="M22" s="75">
        <f t="shared" si="10"/>
        <v>0</v>
      </c>
      <c r="N22" s="75">
        <f t="shared" si="11"/>
        <v>0</v>
      </c>
      <c r="O22" s="75">
        <f t="shared" si="12"/>
        <v>0</v>
      </c>
      <c r="P22" s="77">
        <f t="shared" si="13"/>
        <v>0</v>
      </c>
    </row>
    <row r="23" spans="1:16" s="61" customFormat="1" x14ac:dyDescent="0.2">
      <c r="A23" s="155">
        <v>0</v>
      </c>
      <c r="B23" s="188"/>
      <c r="C23" s="306" t="s">
        <v>771</v>
      </c>
      <c r="D23" s="308"/>
      <c r="E23" s="308"/>
      <c r="F23" s="309"/>
      <c r="G23" s="309"/>
      <c r="H23" s="310"/>
      <c r="I23" s="310"/>
      <c r="J23" s="310"/>
      <c r="K23" s="75">
        <f t="shared" si="8"/>
        <v>0</v>
      </c>
      <c r="L23" s="76">
        <f t="shared" si="9"/>
        <v>0</v>
      </c>
      <c r="M23" s="75">
        <f t="shared" si="10"/>
        <v>0</v>
      </c>
      <c r="N23" s="75">
        <f t="shared" si="11"/>
        <v>0</v>
      </c>
      <c r="O23" s="75">
        <f t="shared" si="12"/>
        <v>0</v>
      </c>
      <c r="P23" s="77">
        <f t="shared" si="13"/>
        <v>0</v>
      </c>
    </row>
    <row r="24" spans="1:16" s="61" customFormat="1" ht="25.5" x14ac:dyDescent="0.2">
      <c r="A24" s="155">
        <v>4</v>
      </c>
      <c r="B24" s="156" t="s">
        <v>211</v>
      </c>
      <c r="C24" s="341" t="s">
        <v>114</v>
      </c>
      <c r="D24" s="308" t="s">
        <v>115</v>
      </c>
      <c r="E24" s="309">
        <v>20.100000000000001</v>
      </c>
      <c r="F24" s="342"/>
      <c r="G24" s="309"/>
      <c r="H24" s="310"/>
      <c r="I24" s="310"/>
      <c r="J24" s="343"/>
      <c r="K24" s="75">
        <f t="shared" si="8"/>
        <v>0</v>
      </c>
      <c r="L24" s="76">
        <f t="shared" si="9"/>
        <v>0</v>
      </c>
      <c r="M24" s="75">
        <f t="shared" si="10"/>
        <v>0</v>
      </c>
      <c r="N24" s="75">
        <f t="shared" si="11"/>
        <v>0</v>
      </c>
      <c r="O24" s="75">
        <f t="shared" si="12"/>
        <v>0</v>
      </c>
      <c r="P24" s="77">
        <f t="shared" si="13"/>
        <v>0</v>
      </c>
    </row>
    <row r="25" spans="1:16" s="61" customFormat="1" x14ac:dyDescent="0.2">
      <c r="A25" s="155">
        <v>5</v>
      </c>
      <c r="B25" s="156" t="s">
        <v>211</v>
      </c>
      <c r="C25" s="341" t="s">
        <v>116</v>
      </c>
      <c r="D25" s="308" t="s">
        <v>115</v>
      </c>
      <c r="E25" s="309">
        <v>16.080000000000002</v>
      </c>
      <c r="F25" s="344"/>
      <c r="G25" s="309"/>
      <c r="H25" s="310"/>
      <c r="I25" s="310"/>
      <c r="J25" s="343"/>
      <c r="K25" s="75">
        <f t="shared" si="8"/>
        <v>0</v>
      </c>
      <c r="L25" s="76">
        <f t="shared" si="9"/>
        <v>0</v>
      </c>
      <c r="M25" s="75">
        <f t="shared" si="10"/>
        <v>0</v>
      </c>
      <c r="N25" s="75">
        <f t="shared" si="11"/>
        <v>0</v>
      </c>
      <c r="O25" s="75">
        <f t="shared" si="12"/>
        <v>0</v>
      </c>
      <c r="P25" s="77">
        <f t="shared" si="13"/>
        <v>0</v>
      </c>
    </row>
    <row r="26" spans="1:16" s="61" customFormat="1" ht="25.5" x14ac:dyDescent="0.2">
      <c r="A26" s="155">
        <v>6</v>
      </c>
      <c r="B26" s="156" t="s">
        <v>211</v>
      </c>
      <c r="C26" s="341" t="s">
        <v>425</v>
      </c>
      <c r="D26" s="308" t="s">
        <v>115</v>
      </c>
      <c r="E26" s="309">
        <v>12.06</v>
      </c>
      <c r="F26" s="342"/>
      <c r="G26" s="309"/>
      <c r="H26" s="310"/>
      <c r="I26" s="310"/>
      <c r="J26" s="343"/>
      <c r="K26" s="75">
        <f t="shared" si="8"/>
        <v>0</v>
      </c>
      <c r="L26" s="76">
        <f t="shared" si="9"/>
        <v>0</v>
      </c>
      <c r="M26" s="75">
        <f t="shared" si="10"/>
        <v>0</v>
      </c>
      <c r="N26" s="75">
        <f t="shared" si="11"/>
        <v>0</v>
      </c>
      <c r="O26" s="75">
        <f t="shared" si="12"/>
        <v>0</v>
      </c>
      <c r="P26" s="77">
        <f t="shared" si="13"/>
        <v>0</v>
      </c>
    </row>
    <row r="27" spans="1:16" s="61" customFormat="1" ht="25.5" x14ac:dyDescent="0.2">
      <c r="A27" s="155">
        <v>7</v>
      </c>
      <c r="B27" s="156" t="s">
        <v>211</v>
      </c>
      <c r="C27" s="345" t="s">
        <v>426</v>
      </c>
      <c r="D27" s="308" t="s">
        <v>115</v>
      </c>
      <c r="E27" s="309">
        <v>8.0400000000000009</v>
      </c>
      <c r="F27" s="342"/>
      <c r="G27" s="309"/>
      <c r="H27" s="310"/>
      <c r="I27" s="310"/>
      <c r="J27" s="343"/>
      <c r="K27" s="75">
        <f t="shared" si="8"/>
        <v>0</v>
      </c>
      <c r="L27" s="76">
        <f t="shared" si="9"/>
        <v>0</v>
      </c>
      <c r="M27" s="75">
        <f t="shared" si="10"/>
        <v>0</v>
      </c>
      <c r="N27" s="75">
        <f t="shared" si="11"/>
        <v>0</v>
      </c>
      <c r="O27" s="75">
        <f t="shared" si="12"/>
        <v>0</v>
      </c>
      <c r="P27" s="77">
        <f t="shared" si="13"/>
        <v>0</v>
      </c>
    </row>
    <row r="28" spans="1:16" s="61" customFormat="1" ht="25.5" x14ac:dyDescent="0.2">
      <c r="A28" s="155">
        <v>8</v>
      </c>
      <c r="B28" s="156" t="s">
        <v>211</v>
      </c>
      <c r="C28" s="312" t="s">
        <v>128</v>
      </c>
      <c r="D28" s="308" t="s">
        <v>83</v>
      </c>
      <c r="E28" s="309">
        <v>32.160000000000004</v>
      </c>
      <c r="F28" s="310"/>
      <c r="G28" s="309"/>
      <c r="H28" s="310"/>
      <c r="I28" s="310"/>
      <c r="J28" s="310"/>
      <c r="K28" s="75">
        <f t="shared" si="8"/>
        <v>0</v>
      </c>
      <c r="L28" s="76">
        <f t="shared" si="9"/>
        <v>0</v>
      </c>
      <c r="M28" s="75">
        <f t="shared" si="10"/>
        <v>0</v>
      </c>
      <c r="N28" s="75">
        <f t="shared" si="11"/>
        <v>0</v>
      </c>
      <c r="O28" s="75">
        <f t="shared" si="12"/>
        <v>0</v>
      </c>
      <c r="P28" s="77">
        <f t="shared" si="13"/>
        <v>0</v>
      </c>
    </row>
    <row r="29" spans="1:16" s="61" customFormat="1" ht="33.75" customHeight="1" x14ac:dyDescent="0.2">
      <c r="A29" s="155">
        <v>9</v>
      </c>
      <c r="B29" s="156" t="s">
        <v>211</v>
      </c>
      <c r="C29" s="311" t="s">
        <v>127</v>
      </c>
      <c r="D29" s="346" t="s">
        <v>83</v>
      </c>
      <c r="E29" s="347">
        <v>2.4119999999999999</v>
      </c>
      <c r="F29" s="310"/>
      <c r="G29" s="309"/>
      <c r="H29" s="310"/>
      <c r="I29" s="310"/>
      <c r="J29" s="310"/>
      <c r="K29" s="75">
        <f t="shared" si="8"/>
        <v>0</v>
      </c>
      <c r="L29" s="76">
        <f t="shared" si="9"/>
        <v>0</v>
      </c>
      <c r="M29" s="75">
        <f t="shared" si="10"/>
        <v>0</v>
      </c>
      <c r="N29" s="75">
        <f t="shared" si="11"/>
        <v>0</v>
      </c>
      <c r="O29" s="75">
        <f t="shared" si="12"/>
        <v>0</v>
      </c>
      <c r="P29" s="77">
        <f t="shared" si="13"/>
        <v>0</v>
      </c>
    </row>
    <row r="30" spans="1:16" s="61" customFormat="1" ht="76.5" x14ac:dyDescent="0.2">
      <c r="A30" s="155">
        <v>10</v>
      </c>
      <c r="B30" s="156" t="s">
        <v>211</v>
      </c>
      <c r="C30" s="312" t="s">
        <v>130</v>
      </c>
      <c r="D30" s="308" t="s">
        <v>131</v>
      </c>
      <c r="E30" s="309">
        <v>294.10320000000002</v>
      </c>
      <c r="F30" s="313"/>
      <c r="G30" s="309"/>
      <c r="H30" s="310"/>
      <c r="I30" s="310"/>
      <c r="J30" s="310"/>
      <c r="K30" s="75">
        <f t="shared" si="8"/>
        <v>0</v>
      </c>
      <c r="L30" s="76">
        <f t="shared" si="9"/>
        <v>0</v>
      </c>
      <c r="M30" s="75">
        <f t="shared" si="10"/>
        <v>0</v>
      </c>
      <c r="N30" s="75">
        <f t="shared" si="11"/>
        <v>0</v>
      </c>
      <c r="O30" s="75">
        <f t="shared" si="12"/>
        <v>0</v>
      </c>
      <c r="P30" s="77">
        <f t="shared" si="13"/>
        <v>0</v>
      </c>
    </row>
    <row r="31" spans="1:16" s="61" customFormat="1" x14ac:dyDescent="0.2">
      <c r="A31" s="155">
        <v>0</v>
      </c>
      <c r="B31" s="188"/>
      <c r="C31" s="314" t="s">
        <v>132</v>
      </c>
      <c r="D31" s="315" t="s">
        <v>131</v>
      </c>
      <c r="E31" s="316">
        <f>E30*1.15</f>
        <v>338.21868000000001</v>
      </c>
      <c r="F31" s="309"/>
      <c r="G31" s="309"/>
      <c r="H31" s="310"/>
      <c r="I31" s="310"/>
      <c r="J31" s="310"/>
      <c r="K31" s="75">
        <f t="shared" si="8"/>
        <v>0</v>
      </c>
      <c r="L31" s="76">
        <f t="shared" si="9"/>
        <v>0</v>
      </c>
      <c r="M31" s="75">
        <f t="shared" si="10"/>
        <v>0</v>
      </c>
      <c r="N31" s="75">
        <f t="shared" si="11"/>
        <v>0</v>
      </c>
      <c r="O31" s="75">
        <f t="shared" si="12"/>
        <v>0</v>
      </c>
      <c r="P31" s="77">
        <f t="shared" si="13"/>
        <v>0</v>
      </c>
    </row>
    <row r="32" spans="1:16" s="61" customFormat="1" ht="25.5" x14ac:dyDescent="0.2">
      <c r="A32" s="155">
        <v>0</v>
      </c>
      <c r="B32" s="188"/>
      <c r="C32" s="317" t="s">
        <v>133</v>
      </c>
      <c r="D32" s="308" t="s">
        <v>66</v>
      </c>
      <c r="E32" s="308">
        <v>1</v>
      </c>
      <c r="F32" s="309"/>
      <c r="G32" s="309"/>
      <c r="H32" s="310"/>
      <c r="I32" s="310"/>
      <c r="J32" s="310"/>
      <c r="K32" s="75">
        <f t="shared" si="8"/>
        <v>0</v>
      </c>
      <c r="L32" s="76">
        <f t="shared" si="9"/>
        <v>0</v>
      </c>
      <c r="M32" s="75">
        <f t="shared" si="10"/>
        <v>0</v>
      </c>
      <c r="N32" s="75">
        <f t="shared" si="11"/>
        <v>0</v>
      </c>
      <c r="O32" s="75">
        <f t="shared" si="12"/>
        <v>0</v>
      </c>
      <c r="P32" s="77">
        <f t="shared" si="13"/>
        <v>0</v>
      </c>
    </row>
    <row r="33" spans="1:16" s="61" customFormat="1" ht="30" x14ac:dyDescent="0.2">
      <c r="A33" s="155">
        <v>11</v>
      </c>
      <c r="B33" s="156" t="s">
        <v>211</v>
      </c>
      <c r="C33" s="338" t="s">
        <v>170</v>
      </c>
      <c r="D33" s="315" t="s">
        <v>78</v>
      </c>
      <c r="E33" s="309">
        <v>5.46</v>
      </c>
      <c r="F33" s="309"/>
      <c r="G33" s="309"/>
      <c r="H33" s="310"/>
      <c r="I33" s="310"/>
      <c r="J33" s="310"/>
      <c r="K33" s="75">
        <f t="shared" si="8"/>
        <v>0</v>
      </c>
      <c r="L33" s="76">
        <f t="shared" si="9"/>
        <v>0</v>
      </c>
      <c r="M33" s="75">
        <f t="shared" si="10"/>
        <v>0</v>
      </c>
      <c r="N33" s="75">
        <f t="shared" si="11"/>
        <v>0</v>
      </c>
      <c r="O33" s="75">
        <f t="shared" si="12"/>
        <v>0</v>
      </c>
      <c r="P33" s="77">
        <f t="shared" si="13"/>
        <v>0</v>
      </c>
    </row>
    <row r="34" spans="1:16" s="61" customFormat="1" ht="15" x14ac:dyDescent="0.25">
      <c r="A34" s="155">
        <v>0</v>
      </c>
      <c r="B34" s="188"/>
      <c r="C34" s="326" t="s">
        <v>171</v>
      </c>
      <c r="D34" s="315" t="s">
        <v>78</v>
      </c>
      <c r="E34" s="319">
        <f>E33*1.05</f>
        <v>5.7330000000000005</v>
      </c>
      <c r="F34" s="320"/>
      <c r="G34" s="309"/>
      <c r="H34" s="310"/>
      <c r="I34" s="310"/>
      <c r="J34" s="310"/>
      <c r="K34" s="75">
        <f t="shared" si="8"/>
        <v>0</v>
      </c>
      <c r="L34" s="76">
        <f t="shared" si="9"/>
        <v>0</v>
      </c>
      <c r="M34" s="75">
        <f t="shared" si="10"/>
        <v>0</v>
      </c>
      <c r="N34" s="75">
        <f t="shared" si="11"/>
        <v>0</v>
      </c>
      <c r="O34" s="75">
        <f t="shared" si="12"/>
        <v>0</v>
      </c>
      <c r="P34" s="77">
        <f t="shared" si="13"/>
        <v>0</v>
      </c>
    </row>
    <row r="35" spans="1:16" s="61" customFormat="1" x14ac:dyDescent="0.2">
      <c r="A35" s="155">
        <v>0</v>
      </c>
      <c r="B35" s="188"/>
      <c r="C35" s="318" t="s">
        <v>136</v>
      </c>
      <c r="D35" s="315" t="s">
        <v>137</v>
      </c>
      <c r="E35" s="319">
        <f>E33*0.25</f>
        <v>1.365</v>
      </c>
      <c r="F35" s="320"/>
      <c r="G35" s="309"/>
      <c r="H35" s="310"/>
      <c r="I35" s="321"/>
      <c r="J35" s="310"/>
      <c r="K35" s="75">
        <f t="shared" si="8"/>
        <v>0</v>
      </c>
      <c r="L35" s="76">
        <f t="shared" si="9"/>
        <v>0</v>
      </c>
      <c r="M35" s="75">
        <f t="shared" si="10"/>
        <v>0</v>
      </c>
      <c r="N35" s="75">
        <f t="shared" si="11"/>
        <v>0</v>
      </c>
      <c r="O35" s="75">
        <f t="shared" si="12"/>
        <v>0</v>
      </c>
      <c r="P35" s="77">
        <f t="shared" si="13"/>
        <v>0</v>
      </c>
    </row>
    <row r="36" spans="1:16" s="61" customFormat="1" ht="25.5" x14ac:dyDescent="0.2">
      <c r="A36" s="155">
        <v>12</v>
      </c>
      <c r="B36" s="156" t="s">
        <v>211</v>
      </c>
      <c r="C36" s="312" t="s">
        <v>138</v>
      </c>
      <c r="D36" s="315" t="s">
        <v>78</v>
      </c>
      <c r="E36" s="309">
        <v>0.92</v>
      </c>
      <c r="F36" s="309"/>
      <c r="G36" s="309"/>
      <c r="H36" s="310"/>
      <c r="I36" s="310"/>
      <c r="J36" s="310"/>
      <c r="K36" s="75">
        <f t="shared" si="8"/>
        <v>0</v>
      </c>
      <c r="L36" s="76">
        <f t="shared" si="9"/>
        <v>0</v>
      </c>
      <c r="M36" s="75">
        <f t="shared" si="10"/>
        <v>0</v>
      </c>
      <c r="N36" s="75">
        <f t="shared" si="11"/>
        <v>0</v>
      </c>
      <c r="O36" s="75">
        <f t="shared" si="12"/>
        <v>0</v>
      </c>
      <c r="P36" s="77">
        <f t="shared" si="13"/>
        <v>0</v>
      </c>
    </row>
    <row r="37" spans="1:16" s="61" customFormat="1" x14ac:dyDescent="0.2">
      <c r="A37" s="155">
        <v>0</v>
      </c>
      <c r="B37" s="188"/>
      <c r="C37" s="318" t="s">
        <v>139</v>
      </c>
      <c r="D37" s="315" t="s">
        <v>78</v>
      </c>
      <c r="E37" s="319">
        <f>E36*1.05</f>
        <v>0.96600000000000008</v>
      </c>
      <c r="F37" s="320"/>
      <c r="G37" s="309"/>
      <c r="H37" s="310"/>
      <c r="I37" s="310"/>
      <c r="J37" s="310"/>
      <c r="K37" s="75">
        <f t="shared" si="8"/>
        <v>0</v>
      </c>
      <c r="L37" s="76">
        <f t="shared" si="9"/>
        <v>0</v>
      </c>
      <c r="M37" s="75">
        <f t="shared" si="10"/>
        <v>0</v>
      </c>
      <c r="N37" s="75">
        <f t="shared" si="11"/>
        <v>0</v>
      </c>
      <c r="O37" s="75">
        <f t="shared" si="12"/>
        <v>0</v>
      </c>
      <c r="P37" s="77">
        <f t="shared" si="13"/>
        <v>0</v>
      </c>
    </row>
    <row r="38" spans="1:16" s="61" customFormat="1" x14ac:dyDescent="0.2">
      <c r="A38" s="155">
        <v>0</v>
      </c>
      <c r="B38" s="188"/>
      <c r="C38" s="318" t="s">
        <v>136</v>
      </c>
      <c r="D38" s="315" t="s">
        <v>137</v>
      </c>
      <c r="E38" s="319">
        <f>E36*0.25</f>
        <v>0.23</v>
      </c>
      <c r="F38" s="320"/>
      <c r="G38" s="309"/>
      <c r="H38" s="310"/>
      <c r="I38" s="321"/>
      <c r="J38" s="310"/>
      <c r="K38" s="75">
        <f t="shared" si="8"/>
        <v>0</v>
      </c>
      <c r="L38" s="76">
        <f t="shared" si="9"/>
        <v>0</v>
      </c>
      <c r="M38" s="75">
        <f t="shared" si="10"/>
        <v>0</v>
      </c>
      <c r="N38" s="75">
        <f t="shared" si="11"/>
        <v>0</v>
      </c>
      <c r="O38" s="75">
        <f t="shared" si="12"/>
        <v>0</v>
      </c>
      <c r="P38" s="77">
        <f t="shared" si="13"/>
        <v>0</v>
      </c>
    </row>
    <row r="39" spans="1:16" s="61" customFormat="1" ht="102" x14ac:dyDescent="0.2">
      <c r="A39" s="155">
        <v>13</v>
      </c>
      <c r="B39" s="156" t="s">
        <v>211</v>
      </c>
      <c r="C39" s="327" t="s">
        <v>427</v>
      </c>
      <c r="D39" s="308" t="s">
        <v>131</v>
      </c>
      <c r="E39" s="308">
        <v>167</v>
      </c>
      <c r="F39" s="308"/>
      <c r="G39" s="309"/>
      <c r="H39" s="310"/>
      <c r="I39" s="310"/>
      <c r="J39" s="310"/>
      <c r="K39" s="75">
        <f t="shared" si="8"/>
        <v>0</v>
      </c>
      <c r="L39" s="76">
        <f t="shared" si="9"/>
        <v>0</v>
      </c>
      <c r="M39" s="75">
        <f t="shared" si="10"/>
        <v>0</v>
      </c>
      <c r="N39" s="75">
        <f t="shared" si="11"/>
        <v>0</v>
      </c>
      <c r="O39" s="75">
        <f t="shared" si="12"/>
        <v>0</v>
      </c>
      <c r="P39" s="77">
        <f t="shared" si="13"/>
        <v>0</v>
      </c>
    </row>
    <row r="40" spans="1:16" s="61" customFormat="1" x14ac:dyDescent="0.2">
      <c r="A40" s="155">
        <v>0</v>
      </c>
      <c r="B40" s="188"/>
      <c r="C40" s="350" t="s">
        <v>188</v>
      </c>
      <c r="D40" s="308" t="s">
        <v>131</v>
      </c>
      <c r="E40" s="315">
        <f>E39*1.1</f>
        <v>183.70000000000002</v>
      </c>
      <c r="F40" s="315"/>
      <c r="G40" s="309"/>
      <c r="H40" s="310"/>
      <c r="I40" s="310"/>
      <c r="J40" s="310"/>
      <c r="K40" s="75">
        <f t="shared" si="8"/>
        <v>0</v>
      </c>
      <c r="L40" s="76">
        <f t="shared" si="9"/>
        <v>0</v>
      </c>
      <c r="M40" s="75">
        <f t="shared" si="10"/>
        <v>0</v>
      </c>
      <c r="N40" s="75">
        <f t="shared" si="11"/>
        <v>0</v>
      </c>
      <c r="O40" s="75">
        <f t="shared" si="12"/>
        <v>0</v>
      </c>
      <c r="P40" s="77">
        <f t="shared" si="13"/>
        <v>0</v>
      </c>
    </row>
    <row r="41" spans="1:16" s="61" customFormat="1" x14ac:dyDescent="0.2">
      <c r="A41" s="155">
        <v>0</v>
      </c>
      <c r="B41" s="188"/>
      <c r="C41" s="351" t="s">
        <v>189</v>
      </c>
      <c r="D41" s="308" t="s">
        <v>66</v>
      </c>
      <c r="E41" s="315">
        <v>1</v>
      </c>
      <c r="F41" s="315"/>
      <c r="G41" s="309"/>
      <c r="H41" s="310"/>
      <c r="I41" s="310"/>
      <c r="J41" s="310"/>
      <c r="K41" s="75">
        <f t="shared" si="8"/>
        <v>0</v>
      </c>
      <c r="L41" s="76">
        <f t="shared" si="9"/>
        <v>0</v>
      </c>
      <c r="M41" s="75">
        <f t="shared" si="10"/>
        <v>0</v>
      </c>
      <c r="N41" s="75">
        <f t="shared" si="11"/>
        <v>0</v>
      </c>
      <c r="O41" s="75">
        <f t="shared" si="12"/>
        <v>0</v>
      </c>
      <c r="P41" s="77">
        <f t="shared" si="13"/>
        <v>0</v>
      </c>
    </row>
    <row r="42" spans="1:16" s="61" customFormat="1" ht="25.5" x14ac:dyDescent="0.2">
      <c r="A42" s="155">
        <v>14</v>
      </c>
      <c r="B42" s="156" t="s">
        <v>211</v>
      </c>
      <c r="C42" s="327" t="s">
        <v>428</v>
      </c>
      <c r="D42" s="339" t="s">
        <v>59</v>
      </c>
      <c r="E42" s="339">
        <v>4</v>
      </c>
      <c r="F42" s="308"/>
      <c r="G42" s="309"/>
      <c r="H42" s="310"/>
      <c r="I42" s="310"/>
      <c r="J42" s="310"/>
      <c r="K42" s="75">
        <f t="shared" si="8"/>
        <v>0</v>
      </c>
      <c r="L42" s="76">
        <f t="shared" si="9"/>
        <v>0</v>
      </c>
      <c r="M42" s="75">
        <f t="shared" si="10"/>
        <v>0</v>
      </c>
      <c r="N42" s="75">
        <f t="shared" si="11"/>
        <v>0</v>
      </c>
      <c r="O42" s="75">
        <f t="shared" si="12"/>
        <v>0</v>
      </c>
      <c r="P42" s="77">
        <f t="shared" si="13"/>
        <v>0</v>
      </c>
    </row>
    <row r="43" spans="1:16" x14ac:dyDescent="0.2">
      <c r="A43" s="78"/>
      <c r="B43" s="131"/>
      <c r="C43" s="80"/>
      <c r="D43" s="81"/>
      <c r="E43" s="82"/>
      <c r="F43" s="82">
        <v>0</v>
      </c>
      <c r="G43" s="82">
        <v>0</v>
      </c>
      <c r="H43" s="83"/>
      <c r="I43" s="82"/>
      <c r="J43" s="82"/>
      <c r="K43" s="82"/>
      <c r="L43" s="82"/>
      <c r="M43" s="82"/>
      <c r="N43" s="82"/>
      <c r="O43" s="82"/>
      <c r="P43" s="84"/>
    </row>
    <row r="44" spans="1:16" ht="15.75" customHeight="1" x14ac:dyDescent="0.2">
      <c r="A44" s="85"/>
      <c r="B44" s="85"/>
      <c r="C44" s="509" t="s">
        <v>74</v>
      </c>
      <c r="D44" s="510"/>
      <c r="E44" s="510"/>
      <c r="F44" s="510"/>
      <c r="G44" s="510"/>
      <c r="H44" s="510"/>
      <c r="I44" s="510"/>
      <c r="J44" s="510"/>
      <c r="K44" s="510"/>
      <c r="L44" s="87">
        <f>SUM(L13:L43)</f>
        <v>0</v>
      </c>
      <c r="M44" s="87">
        <f>SUM(M13:M43)</f>
        <v>0</v>
      </c>
      <c r="N44" s="87">
        <f>SUM(N13:N43)</f>
        <v>0</v>
      </c>
      <c r="O44" s="87">
        <f>SUM(O13:O43)</f>
        <v>0</v>
      </c>
      <c r="P44" s="87">
        <f>SUM(P13:P43)</f>
        <v>0</v>
      </c>
    </row>
    <row r="45" spans="1:16" s="88" customFormat="1" collapsed="1" x14ac:dyDescent="0.2">
      <c r="I45" s="89"/>
    </row>
    <row r="46" spans="1:16" s="2" customFormat="1" ht="12.75" customHeight="1" x14ac:dyDescent="0.2">
      <c r="B46" s="90" t="s">
        <v>75</v>
      </c>
    </row>
    <row r="47" spans="1:16" s="2" customFormat="1" ht="45" customHeight="1" x14ac:dyDescent="0.2">
      <c r="A47"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47" s="511"/>
      <c r="C47" s="511"/>
      <c r="D47" s="511"/>
      <c r="E47" s="511"/>
      <c r="F47" s="511"/>
      <c r="G47" s="511"/>
      <c r="H47" s="511"/>
      <c r="I47" s="511"/>
      <c r="J47" s="511"/>
      <c r="K47" s="511"/>
      <c r="L47" s="511"/>
      <c r="M47" s="511"/>
      <c r="N47" s="511"/>
      <c r="O47" s="511"/>
      <c r="P47" s="511"/>
    </row>
    <row r="48" spans="1:16" s="2" customFormat="1" ht="86.25" customHeight="1" x14ac:dyDescent="0.2">
      <c r="A48" s="512"/>
      <c r="B48" s="512"/>
      <c r="C48" s="512"/>
      <c r="D48" s="512"/>
      <c r="E48" s="512"/>
      <c r="F48" s="512"/>
      <c r="G48" s="512"/>
      <c r="H48" s="512"/>
      <c r="I48" s="512"/>
      <c r="J48" s="512"/>
      <c r="K48" s="512"/>
      <c r="L48" s="512"/>
      <c r="M48" s="512"/>
      <c r="N48" s="512"/>
      <c r="O48" s="512"/>
      <c r="P48" s="512"/>
    </row>
    <row r="49" spans="2:16" s="2" customFormat="1" ht="12.75" customHeight="1" x14ac:dyDescent="0.2">
      <c r="B49" s="91"/>
    </row>
    <row r="50" spans="2:16" s="2" customFormat="1" ht="12.75" customHeight="1" x14ac:dyDescent="0.2">
      <c r="B50" s="91"/>
    </row>
    <row r="51" spans="2:16" s="88" customFormat="1" x14ac:dyDescent="0.2">
      <c r="B51" s="88" t="s">
        <v>36</v>
      </c>
      <c r="L51" s="92" t="s">
        <v>98</v>
      </c>
      <c r="M51" s="92"/>
      <c r="N51" s="92"/>
      <c r="O51" s="92"/>
      <c r="P51" s="92"/>
    </row>
    <row r="52" spans="2:16" s="88" customFormat="1" ht="14.25" customHeight="1" x14ac:dyDescent="0.2">
      <c r="C52" s="93"/>
      <c r="L52" s="93"/>
      <c r="M52" s="513"/>
      <c r="N52" s="513"/>
      <c r="O52" s="92"/>
      <c r="P52" s="92"/>
    </row>
    <row r="53" spans="2:16" s="88" customFormat="1" x14ac:dyDescent="0.2">
      <c r="C53" s="94"/>
      <c r="L53" s="94"/>
      <c r="M53" s="507"/>
      <c r="N53" s="507"/>
      <c r="O53" s="92"/>
      <c r="P53" s="92"/>
    </row>
    <row r="54" spans="2:16" s="88" customFormat="1" collapsed="1" x14ac:dyDescent="0.2">
      <c r="B54" s="89"/>
      <c r="F54" s="89"/>
      <c r="G54" s="89"/>
    </row>
  </sheetData>
  <mergeCells count="17">
    <mergeCell ref="A2:P2"/>
    <mergeCell ref="D3:P3"/>
    <mergeCell ref="D4:P4"/>
    <mergeCell ref="D5:P5"/>
    <mergeCell ref="L9:O9"/>
    <mergeCell ref="M53:N53"/>
    <mergeCell ref="F11:K11"/>
    <mergeCell ref="L11:P11"/>
    <mergeCell ref="C44:K44"/>
    <mergeCell ref="A47:P47"/>
    <mergeCell ref="A48:P48"/>
    <mergeCell ref="M52:N52"/>
    <mergeCell ref="A11:A12"/>
    <mergeCell ref="B11:B12"/>
    <mergeCell ref="C11:C12"/>
    <mergeCell ref="D11:D12"/>
    <mergeCell ref="E11:E12"/>
  </mergeCells>
  <printOptions horizontalCentered="1"/>
  <pageMargins left="0.27559055118110237" right="0.27559055118110237" top="0.74803149606299213" bottom="0.74803149606299213" header="0.31496062992125984" footer="0.31496062992125984"/>
  <pageSetup paperSize="9" scale="7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38"/>
  <sheetViews>
    <sheetView showZeros="0" view="pageBreakPreview" zoomScale="80" zoomScaleNormal="80" zoomScaleSheetLayoutView="80" workbookViewId="0">
      <selection activeCell="B13" sqref="B13:D13"/>
    </sheetView>
  </sheetViews>
  <sheetFormatPr defaultRowHeight="14.25" x14ac:dyDescent="0.2"/>
  <cols>
    <col min="1" max="1" width="9" style="49" customWidth="1"/>
    <col min="2" max="2" width="9.42578125" style="61" customWidth="1"/>
    <col min="3" max="3" width="40.28515625" style="49" customWidth="1"/>
    <col min="4" max="4" width="8.140625" style="49" customWidth="1"/>
    <col min="5" max="5" width="9.140625" style="49"/>
    <col min="6" max="7" width="9.140625" style="61"/>
    <col min="8" max="11" width="9.140625" style="49"/>
    <col min="12" max="12" width="14.42578125" style="49" customWidth="1"/>
    <col min="13" max="13" width="12.28515625" style="49" customWidth="1"/>
    <col min="14" max="14" width="12.7109375" style="49" customWidth="1"/>
    <col min="15" max="15" width="13.42578125" style="49" customWidth="1"/>
    <col min="16" max="16" width="12.85546875" style="49" customWidth="1"/>
    <col min="17" max="16384" width="9.140625" style="49"/>
  </cols>
  <sheetData>
    <row r="1" spans="1:16" s="41" customFormat="1" ht="15" x14ac:dyDescent="0.25">
      <c r="B1" s="42"/>
      <c r="E1" s="43"/>
      <c r="F1" s="44"/>
      <c r="G1" s="45" t="s">
        <v>37</v>
      </c>
      <c r="H1" s="46" t="str">
        <f>kops1!B21</f>
        <v>1,1</v>
      </c>
    </row>
    <row r="2" spans="1:16" s="41" customFormat="1" ht="15" x14ac:dyDescent="0.25">
      <c r="A2" s="504" t="str">
        <f>C13</f>
        <v>Būvlaukuma sagatavošanas un uzturēšanas izmaksas</v>
      </c>
      <c r="B2" s="504"/>
      <c r="C2" s="504"/>
      <c r="D2" s="504"/>
      <c r="E2" s="504"/>
      <c r="F2" s="504"/>
      <c r="G2" s="504"/>
      <c r="H2" s="504"/>
      <c r="I2" s="504"/>
      <c r="J2" s="504"/>
      <c r="K2" s="504"/>
      <c r="L2" s="504"/>
      <c r="M2" s="504"/>
      <c r="N2" s="504"/>
      <c r="O2" s="504"/>
      <c r="P2" s="504"/>
    </row>
    <row r="3" spans="1:16" ht="15" x14ac:dyDescent="0.2">
      <c r="A3" s="47"/>
      <c r="B3" s="48"/>
      <c r="C3" s="47" t="s">
        <v>38</v>
      </c>
      <c r="D3" s="505" t="s">
        <v>94</v>
      </c>
      <c r="E3" s="505"/>
      <c r="F3" s="505"/>
      <c r="G3" s="505"/>
      <c r="H3" s="505"/>
      <c r="I3" s="505"/>
      <c r="J3" s="505"/>
      <c r="K3" s="505"/>
      <c r="L3" s="505"/>
      <c r="M3" s="505"/>
      <c r="N3" s="505"/>
      <c r="O3" s="505"/>
      <c r="P3" s="505"/>
    </row>
    <row r="4" spans="1:16" ht="15" x14ac:dyDescent="0.2">
      <c r="A4" s="47"/>
      <c r="B4" s="48"/>
      <c r="C4" s="47" t="s">
        <v>39</v>
      </c>
      <c r="D4" s="505" t="s">
        <v>95</v>
      </c>
      <c r="E4" s="505"/>
      <c r="F4" s="505"/>
      <c r="G4" s="505"/>
      <c r="H4" s="505"/>
      <c r="I4" s="505"/>
      <c r="J4" s="505"/>
      <c r="K4" s="505"/>
      <c r="L4" s="505"/>
      <c r="M4" s="505"/>
      <c r="N4" s="505"/>
      <c r="O4" s="505"/>
      <c r="P4" s="505"/>
    </row>
    <row r="5" spans="1:16" ht="15" x14ac:dyDescent="0.2">
      <c r="A5" s="47"/>
      <c r="B5" s="48"/>
      <c r="C5" s="47" t="s">
        <v>40</v>
      </c>
      <c r="D5" s="505" t="s">
        <v>96</v>
      </c>
      <c r="E5" s="505"/>
      <c r="F5" s="505"/>
      <c r="G5" s="505"/>
      <c r="H5" s="505"/>
      <c r="I5" s="505"/>
      <c r="J5" s="505"/>
      <c r="K5" s="505"/>
      <c r="L5" s="505"/>
      <c r="M5" s="505"/>
      <c r="N5" s="505"/>
      <c r="O5" s="505"/>
      <c r="P5" s="505"/>
    </row>
    <row r="6" spans="1:16" x14ac:dyDescent="0.2">
      <c r="A6" s="47"/>
      <c r="B6" s="48"/>
      <c r="C6" s="47" t="s">
        <v>100</v>
      </c>
      <c r="D6" s="50" t="s">
        <v>97</v>
      </c>
      <c r="E6" s="51"/>
      <c r="F6" s="52"/>
      <c r="G6" s="52"/>
      <c r="H6" s="51"/>
      <c r="I6" s="51"/>
      <c r="J6" s="51"/>
      <c r="K6" s="51"/>
      <c r="L6" s="51"/>
      <c r="M6" s="51"/>
      <c r="N6" s="51"/>
      <c r="O6" s="51"/>
      <c r="P6" s="53"/>
    </row>
    <row r="7" spans="1:16" x14ac:dyDescent="0.2">
      <c r="A7" s="8" t="s">
        <v>745</v>
      </c>
      <c r="B7" s="54"/>
      <c r="D7" s="50"/>
      <c r="E7" s="50"/>
      <c r="F7" s="55"/>
      <c r="G7" s="55"/>
      <c r="H7" s="50"/>
      <c r="I7" s="50"/>
      <c r="J7" s="50"/>
      <c r="K7" s="51"/>
      <c r="L7" s="51"/>
      <c r="M7" s="51"/>
      <c r="N7" s="51"/>
      <c r="O7" s="47" t="s">
        <v>41</v>
      </c>
      <c r="P7" s="56">
        <f>P28</f>
        <v>0</v>
      </c>
    </row>
    <row r="8" spans="1:16" x14ac:dyDescent="0.2">
      <c r="A8" s="57"/>
      <c r="B8" s="48"/>
      <c r="D8" s="58"/>
      <c r="E8" s="51"/>
      <c r="F8" s="52"/>
      <c r="G8" s="52"/>
      <c r="H8" s="51"/>
      <c r="I8" s="51"/>
      <c r="J8" s="51"/>
      <c r="K8" s="51"/>
      <c r="N8" s="51"/>
      <c r="O8" s="51"/>
      <c r="P8" s="53"/>
    </row>
    <row r="9" spans="1:16" ht="15" customHeight="1" x14ac:dyDescent="0.2">
      <c r="A9" s="59"/>
      <c r="B9" s="60"/>
      <c r="J9" s="62"/>
      <c r="K9" s="62"/>
      <c r="L9" s="506" t="s">
        <v>736</v>
      </c>
      <c r="M9" s="506"/>
      <c r="N9" s="506"/>
      <c r="O9" s="506"/>
      <c r="P9" s="62"/>
    </row>
    <row r="10" spans="1:16" ht="15" x14ac:dyDescent="0.2">
      <c r="A10" s="59"/>
      <c r="B10" s="60"/>
    </row>
    <row r="11" spans="1:16" ht="14.25" customHeight="1" x14ac:dyDescent="0.2">
      <c r="A11" s="514" t="s">
        <v>6</v>
      </c>
      <c r="B11" s="515" t="s">
        <v>42</v>
      </c>
      <c r="C11" s="517" t="s">
        <v>43</v>
      </c>
      <c r="D11" s="518" t="s">
        <v>44</v>
      </c>
      <c r="E11" s="514" t="s">
        <v>45</v>
      </c>
      <c r="F11" s="508" t="s">
        <v>46</v>
      </c>
      <c r="G11" s="508"/>
      <c r="H11" s="508"/>
      <c r="I11" s="508"/>
      <c r="J11" s="508"/>
      <c r="K11" s="508"/>
      <c r="L11" s="508" t="s">
        <v>47</v>
      </c>
      <c r="M11" s="508"/>
      <c r="N11" s="508"/>
      <c r="O11" s="508"/>
      <c r="P11" s="508"/>
    </row>
    <row r="12" spans="1:16" ht="73.5" customHeight="1" x14ac:dyDescent="0.2">
      <c r="A12" s="514"/>
      <c r="B12" s="516"/>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35.25" customHeight="1" x14ac:dyDescent="0.2">
      <c r="A13" s="64"/>
      <c r="B13" s="457"/>
      <c r="C13" s="458" t="str">
        <f>kops1!C21</f>
        <v>Būvlaukuma sagatavošanas un uzturēšanas izmaksas</v>
      </c>
      <c r="D13" s="459"/>
      <c r="E13" s="67"/>
      <c r="F13" s="68"/>
      <c r="G13" s="69"/>
      <c r="H13" s="69"/>
      <c r="I13" s="70"/>
      <c r="J13" s="70"/>
      <c r="K13" s="70">
        <f t="shared" ref="K13" si="0">SUM(H13:J13)</f>
        <v>0</v>
      </c>
      <c r="L13" s="71">
        <f t="shared" ref="L13:L26" si="1">ROUND(F13*E13,2)</f>
        <v>0</v>
      </c>
      <c r="M13" s="70">
        <f t="shared" ref="M13:M26" si="2">ROUND(H13*E13,2)</f>
        <v>0</v>
      </c>
      <c r="N13" s="70">
        <f t="shared" ref="N13:N26" si="3">ROUND(I13*E13,2)</f>
        <v>0</v>
      </c>
      <c r="O13" s="70">
        <f t="shared" ref="O13:O26" si="4">ROUND(J13*E13,2)</f>
        <v>0</v>
      </c>
      <c r="P13" s="72">
        <f t="shared" ref="P13:P26" si="5">SUM(M13:O13)</f>
        <v>0</v>
      </c>
    </row>
    <row r="14" spans="1:16" s="61" customFormat="1" ht="42.75" x14ac:dyDescent="0.2">
      <c r="A14" s="137">
        <v>1</v>
      </c>
      <c r="B14" s="73" t="s">
        <v>55</v>
      </c>
      <c r="C14" s="138" t="s">
        <v>56</v>
      </c>
      <c r="D14" s="139" t="s">
        <v>57</v>
      </c>
      <c r="E14" s="140">
        <v>640</v>
      </c>
      <c r="F14" s="132"/>
      <c r="G14" s="132"/>
      <c r="H14" s="69"/>
      <c r="I14" s="69"/>
      <c r="J14" s="69"/>
      <c r="K14" s="75">
        <f t="shared" ref="K14:K26" si="6">SUM(H14:J14)</f>
        <v>0</v>
      </c>
      <c r="L14" s="76">
        <f t="shared" si="1"/>
        <v>0</v>
      </c>
      <c r="M14" s="75">
        <f t="shared" si="2"/>
        <v>0</v>
      </c>
      <c r="N14" s="75">
        <f t="shared" si="3"/>
        <v>0</v>
      </c>
      <c r="O14" s="75">
        <f t="shared" si="4"/>
        <v>0</v>
      </c>
      <c r="P14" s="77">
        <f t="shared" si="5"/>
        <v>0</v>
      </c>
    </row>
    <row r="15" spans="1:16" s="61" customFormat="1" ht="28.5" x14ac:dyDescent="0.2">
      <c r="A15" s="137">
        <v>2</v>
      </c>
      <c r="B15" s="73" t="s">
        <v>55</v>
      </c>
      <c r="C15" s="138" t="s">
        <v>58</v>
      </c>
      <c r="D15" s="139" t="s">
        <v>59</v>
      </c>
      <c r="E15" s="140">
        <v>2</v>
      </c>
      <c r="F15" s="132"/>
      <c r="G15" s="132"/>
      <c r="H15" s="69"/>
      <c r="I15" s="69"/>
      <c r="J15" s="69"/>
      <c r="K15" s="75">
        <f t="shared" si="6"/>
        <v>0</v>
      </c>
      <c r="L15" s="76">
        <f t="shared" si="1"/>
        <v>0</v>
      </c>
      <c r="M15" s="75">
        <f t="shared" si="2"/>
        <v>0</v>
      </c>
      <c r="N15" s="75">
        <f t="shared" si="3"/>
        <v>0</v>
      </c>
      <c r="O15" s="75">
        <f t="shared" si="4"/>
        <v>0</v>
      </c>
      <c r="P15" s="77">
        <f t="shared" si="5"/>
        <v>0</v>
      </c>
    </row>
    <row r="16" spans="1:16" s="61" customFormat="1" x14ac:dyDescent="0.2">
      <c r="A16" s="137">
        <v>3</v>
      </c>
      <c r="B16" s="73" t="s">
        <v>55</v>
      </c>
      <c r="C16" s="138" t="s">
        <v>60</v>
      </c>
      <c r="D16" s="139" t="s">
        <v>59</v>
      </c>
      <c r="E16" s="140">
        <v>2</v>
      </c>
      <c r="F16" s="132"/>
      <c r="G16" s="132"/>
      <c r="H16" s="69"/>
      <c r="I16" s="69"/>
      <c r="J16" s="69"/>
      <c r="K16" s="75">
        <f t="shared" si="6"/>
        <v>0</v>
      </c>
      <c r="L16" s="76">
        <f t="shared" si="1"/>
        <v>0</v>
      </c>
      <c r="M16" s="75">
        <f t="shared" si="2"/>
        <v>0</v>
      </c>
      <c r="N16" s="75">
        <f t="shared" si="3"/>
        <v>0</v>
      </c>
      <c r="O16" s="75">
        <f t="shared" si="4"/>
        <v>0</v>
      </c>
      <c r="P16" s="77">
        <f t="shared" si="5"/>
        <v>0</v>
      </c>
    </row>
    <row r="17" spans="1:16" s="61" customFormat="1" ht="28.5" x14ac:dyDescent="0.2">
      <c r="A17" s="137">
        <v>4</v>
      </c>
      <c r="B17" s="73" t="s">
        <v>55</v>
      </c>
      <c r="C17" s="138" t="s">
        <v>61</v>
      </c>
      <c r="D17" s="139" t="s">
        <v>62</v>
      </c>
      <c r="E17" s="140">
        <v>2</v>
      </c>
      <c r="F17" s="132"/>
      <c r="G17" s="132"/>
      <c r="H17" s="69"/>
      <c r="I17" s="69"/>
      <c r="J17" s="69"/>
      <c r="K17" s="75">
        <f t="shared" si="6"/>
        <v>0</v>
      </c>
      <c r="L17" s="76">
        <f t="shared" si="1"/>
        <v>0</v>
      </c>
      <c r="M17" s="75">
        <f t="shared" si="2"/>
        <v>0</v>
      </c>
      <c r="N17" s="75">
        <f t="shared" si="3"/>
        <v>0</v>
      </c>
      <c r="O17" s="75">
        <f t="shared" si="4"/>
        <v>0</v>
      </c>
      <c r="P17" s="77">
        <f t="shared" si="5"/>
        <v>0</v>
      </c>
    </row>
    <row r="18" spans="1:16" s="61" customFormat="1" ht="28.5" x14ac:dyDescent="0.2">
      <c r="A18" s="137">
        <v>5</v>
      </c>
      <c r="B18" s="73" t="s">
        <v>55</v>
      </c>
      <c r="C18" s="138" t="s">
        <v>63</v>
      </c>
      <c r="D18" s="139" t="s">
        <v>62</v>
      </c>
      <c r="E18" s="140">
        <v>1</v>
      </c>
      <c r="F18" s="132"/>
      <c r="G18" s="132"/>
      <c r="H18" s="69"/>
      <c r="I18" s="69"/>
      <c r="J18" s="69"/>
      <c r="K18" s="75">
        <f t="shared" si="6"/>
        <v>0</v>
      </c>
      <c r="L18" s="76">
        <f t="shared" si="1"/>
        <v>0</v>
      </c>
      <c r="M18" s="75">
        <f t="shared" si="2"/>
        <v>0</v>
      </c>
      <c r="N18" s="75">
        <f t="shared" si="3"/>
        <v>0</v>
      </c>
      <c r="O18" s="75">
        <f t="shared" si="4"/>
        <v>0</v>
      </c>
      <c r="P18" s="77">
        <f t="shared" si="5"/>
        <v>0</v>
      </c>
    </row>
    <row r="19" spans="1:16" s="61" customFormat="1" ht="28.5" x14ac:dyDescent="0.2">
      <c r="A19" s="137">
        <v>6</v>
      </c>
      <c r="B19" s="73" t="s">
        <v>55</v>
      </c>
      <c r="C19" s="138" t="s">
        <v>64</v>
      </c>
      <c r="D19" s="139" t="s">
        <v>62</v>
      </c>
      <c r="E19" s="140">
        <v>1</v>
      </c>
      <c r="F19" s="132"/>
      <c r="G19" s="132"/>
      <c r="H19" s="69"/>
      <c r="I19" s="69"/>
      <c r="J19" s="69"/>
      <c r="K19" s="75">
        <f t="shared" si="6"/>
        <v>0</v>
      </c>
      <c r="L19" s="76">
        <f t="shared" si="1"/>
        <v>0</v>
      </c>
      <c r="M19" s="75">
        <f t="shared" si="2"/>
        <v>0</v>
      </c>
      <c r="N19" s="75">
        <f t="shared" si="3"/>
        <v>0</v>
      </c>
      <c r="O19" s="75">
        <f t="shared" si="4"/>
        <v>0</v>
      </c>
      <c r="P19" s="77">
        <f t="shared" si="5"/>
        <v>0</v>
      </c>
    </row>
    <row r="20" spans="1:16" s="61" customFormat="1" x14ac:dyDescent="0.2">
      <c r="A20" s="137">
        <v>7</v>
      </c>
      <c r="B20" s="73" t="s">
        <v>55</v>
      </c>
      <c r="C20" s="138" t="s">
        <v>65</v>
      </c>
      <c r="D20" s="139" t="s">
        <v>66</v>
      </c>
      <c r="E20" s="140">
        <v>1</v>
      </c>
      <c r="F20" s="132"/>
      <c r="G20" s="132"/>
      <c r="H20" s="69"/>
      <c r="I20" s="69"/>
      <c r="J20" s="69"/>
      <c r="K20" s="75">
        <f t="shared" si="6"/>
        <v>0</v>
      </c>
      <c r="L20" s="76">
        <f t="shared" si="1"/>
        <v>0</v>
      </c>
      <c r="M20" s="75">
        <f t="shared" si="2"/>
        <v>0</v>
      </c>
      <c r="N20" s="75">
        <f t="shared" si="3"/>
        <v>0</v>
      </c>
      <c r="O20" s="75">
        <f t="shared" si="4"/>
        <v>0</v>
      </c>
      <c r="P20" s="77">
        <f t="shared" si="5"/>
        <v>0</v>
      </c>
    </row>
    <row r="21" spans="1:16" s="61" customFormat="1" ht="28.5" x14ac:dyDescent="0.2">
      <c r="A21" s="137">
        <v>8</v>
      </c>
      <c r="B21" s="73" t="s">
        <v>55</v>
      </c>
      <c r="C21" s="138" t="s">
        <v>67</v>
      </c>
      <c r="D21" s="139" t="s">
        <v>62</v>
      </c>
      <c r="E21" s="140">
        <v>1</v>
      </c>
      <c r="F21" s="132"/>
      <c r="G21" s="132"/>
      <c r="H21" s="69"/>
      <c r="I21" s="69"/>
      <c r="J21" s="69"/>
      <c r="K21" s="75">
        <f t="shared" si="6"/>
        <v>0</v>
      </c>
      <c r="L21" s="76">
        <f t="shared" si="1"/>
        <v>0</v>
      </c>
      <c r="M21" s="75">
        <f t="shared" si="2"/>
        <v>0</v>
      </c>
      <c r="N21" s="75">
        <f t="shared" si="3"/>
        <v>0</v>
      </c>
      <c r="O21" s="75">
        <f t="shared" si="4"/>
        <v>0</v>
      </c>
      <c r="P21" s="77">
        <f t="shared" si="5"/>
        <v>0</v>
      </c>
    </row>
    <row r="22" spans="1:16" s="61" customFormat="1" ht="28.5" x14ac:dyDescent="0.2">
      <c r="A22" s="137">
        <v>9</v>
      </c>
      <c r="B22" s="73" t="s">
        <v>55</v>
      </c>
      <c r="C22" s="138" t="s">
        <v>68</v>
      </c>
      <c r="D22" s="139" t="s">
        <v>62</v>
      </c>
      <c r="E22" s="140">
        <v>1</v>
      </c>
      <c r="F22" s="132"/>
      <c r="G22" s="132"/>
      <c r="H22" s="69"/>
      <c r="I22" s="69"/>
      <c r="J22" s="69"/>
      <c r="K22" s="75">
        <f t="shared" si="6"/>
        <v>0</v>
      </c>
      <c r="L22" s="76">
        <f t="shared" si="1"/>
        <v>0</v>
      </c>
      <c r="M22" s="75">
        <f t="shared" si="2"/>
        <v>0</v>
      </c>
      <c r="N22" s="75">
        <f t="shared" si="3"/>
        <v>0</v>
      </c>
      <c r="O22" s="75">
        <f t="shared" si="4"/>
        <v>0</v>
      </c>
      <c r="P22" s="77">
        <f t="shared" si="5"/>
        <v>0</v>
      </c>
    </row>
    <row r="23" spans="1:16" s="61" customFormat="1" ht="28.5" x14ac:dyDescent="0.2">
      <c r="A23" s="137">
        <v>10</v>
      </c>
      <c r="B23" s="73" t="s">
        <v>55</v>
      </c>
      <c r="C23" s="138" t="s">
        <v>69</v>
      </c>
      <c r="D23" s="139" t="s">
        <v>62</v>
      </c>
      <c r="E23" s="140">
        <v>2</v>
      </c>
      <c r="F23" s="132"/>
      <c r="G23" s="132"/>
      <c r="H23" s="69"/>
      <c r="I23" s="69"/>
      <c r="J23" s="69"/>
      <c r="K23" s="75">
        <f t="shared" si="6"/>
        <v>0</v>
      </c>
      <c r="L23" s="76">
        <f t="shared" si="1"/>
        <v>0</v>
      </c>
      <c r="M23" s="75">
        <f t="shared" si="2"/>
        <v>0</v>
      </c>
      <c r="N23" s="75">
        <f t="shared" si="3"/>
        <v>0</v>
      </c>
      <c r="O23" s="75">
        <f t="shared" si="4"/>
        <v>0</v>
      </c>
      <c r="P23" s="77">
        <f t="shared" si="5"/>
        <v>0</v>
      </c>
    </row>
    <row r="24" spans="1:16" s="61" customFormat="1" ht="42.75" x14ac:dyDescent="0.2">
      <c r="A24" s="137">
        <v>11</v>
      </c>
      <c r="B24" s="73" t="s">
        <v>55</v>
      </c>
      <c r="C24" s="138" t="s">
        <v>70</v>
      </c>
      <c r="D24" s="139" t="s">
        <v>66</v>
      </c>
      <c r="E24" s="140">
        <v>1</v>
      </c>
      <c r="F24" s="132"/>
      <c r="G24" s="132"/>
      <c r="H24" s="69"/>
      <c r="I24" s="69"/>
      <c r="J24" s="69"/>
      <c r="K24" s="75">
        <f t="shared" si="6"/>
        <v>0</v>
      </c>
      <c r="L24" s="76">
        <f t="shared" si="1"/>
        <v>0</v>
      </c>
      <c r="M24" s="75">
        <f t="shared" si="2"/>
        <v>0</v>
      </c>
      <c r="N24" s="75">
        <f t="shared" si="3"/>
        <v>0</v>
      </c>
      <c r="O24" s="75">
        <f t="shared" si="4"/>
        <v>0</v>
      </c>
      <c r="P24" s="77">
        <f t="shared" si="5"/>
        <v>0</v>
      </c>
    </row>
    <row r="25" spans="1:16" s="61" customFormat="1" ht="28.5" x14ac:dyDescent="0.2">
      <c r="A25" s="137">
        <v>12</v>
      </c>
      <c r="B25" s="73" t="s">
        <v>55</v>
      </c>
      <c r="C25" s="138" t="s">
        <v>71</v>
      </c>
      <c r="D25" s="139" t="s">
        <v>66</v>
      </c>
      <c r="E25" s="140">
        <v>1</v>
      </c>
      <c r="F25" s="132"/>
      <c r="G25" s="132"/>
      <c r="H25" s="69"/>
      <c r="I25" s="69"/>
      <c r="J25" s="69"/>
      <c r="K25" s="75">
        <f t="shared" si="6"/>
        <v>0</v>
      </c>
      <c r="L25" s="76">
        <f t="shared" si="1"/>
        <v>0</v>
      </c>
      <c r="M25" s="75">
        <f t="shared" si="2"/>
        <v>0</v>
      </c>
      <c r="N25" s="75">
        <f t="shared" si="3"/>
        <v>0</v>
      </c>
      <c r="O25" s="75">
        <f t="shared" si="4"/>
        <v>0</v>
      </c>
      <c r="P25" s="77">
        <f t="shared" si="5"/>
        <v>0</v>
      </c>
    </row>
    <row r="26" spans="1:16" s="61" customFormat="1" x14ac:dyDescent="0.2">
      <c r="A26" s="137">
        <v>13</v>
      </c>
      <c r="B26" s="73" t="s">
        <v>55</v>
      </c>
      <c r="C26" s="138" t="s">
        <v>72</v>
      </c>
      <c r="D26" s="139" t="s">
        <v>73</v>
      </c>
      <c r="E26" s="140">
        <v>1</v>
      </c>
      <c r="F26" s="132"/>
      <c r="G26" s="132"/>
      <c r="H26" s="69"/>
      <c r="I26" s="69"/>
      <c r="J26" s="69"/>
      <c r="K26" s="75">
        <f t="shared" si="6"/>
        <v>0</v>
      </c>
      <c r="L26" s="76">
        <f t="shared" si="1"/>
        <v>0</v>
      </c>
      <c r="M26" s="75">
        <f t="shared" si="2"/>
        <v>0</v>
      </c>
      <c r="N26" s="75">
        <f t="shared" si="3"/>
        <v>0</v>
      </c>
      <c r="O26" s="75">
        <f t="shared" si="4"/>
        <v>0</v>
      </c>
      <c r="P26" s="77">
        <f t="shared" si="5"/>
        <v>0</v>
      </c>
    </row>
    <row r="27" spans="1:16" x14ac:dyDescent="0.2">
      <c r="A27" s="78"/>
      <c r="B27" s="79"/>
      <c r="C27" s="80"/>
      <c r="D27" s="81"/>
      <c r="E27" s="82"/>
      <c r="F27" s="83">
        <v>0</v>
      </c>
      <c r="G27" s="83">
        <v>0</v>
      </c>
      <c r="H27" s="83"/>
      <c r="I27" s="82"/>
      <c r="J27" s="82"/>
      <c r="K27" s="82"/>
      <c r="L27" s="82"/>
      <c r="M27" s="82"/>
      <c r="N27" s="82"/>
      <c r="O27" s="82"/>
      <c r="P27" s="84"/>
    </row>
    <row r="28" spans="1:16" ht="15" customHeight="1" x14ac:dyDescent="0.2">
      <c r="A28" s="85"/>
      <c r="B28" s="86"/>
      <c r="C28" s="509" t="s">
        <v>74</v>
      </c>
      <c r="D28" s="510"/>
      <c r="E28" s="510"/>
      <c r="F28" s="510"/>
      <c r="G28" s="510"/>
      <c r="H28" s="510"/>
      <c r="I28" s="510"/>
      <c r="J28" s="510"/>
      <c r="K28" s="510"/>
      <c r="L28" s="87">
        <f>SUM(L13:L27)</f>
        <v>0</v>
      </c>
      <c r="M28" s="87">
        <f>SUM(M13:M27)</f>
        <v>0</v>
      </c>
      <c r="N28" s="87">
        <f>SUM(N13:N27)</f>
        <v>0</v>
      </c>
      <c r="O28" s="87">
        <f>SUM(O13:O27)</f>
        <v>0</v>
      </c>
      <c r="P28" s="87">
        <f>SUM(P13:P27)</f>
        <v>0</v>
      </c>
    </row>
    <row r="29" spans="1:16" s="88" customFormat="1" x14ac:dyDescent="0.2">
      <c r="I29" s="89"/>
    </row>
    <row r="30" spans="1:16" s="2" customFormat="1" ht="12.75" customHeight="1" x14ac:dyDescent="0.2">
      <c r="B30" s="90" t="s">
        <v>75</v>
      </c>
    </row>
    <row r="31" spans="1:16" s="2" customFormat="1" ht="45" customHeight="1" x14ac:dyDescent="0.2">
      <c r="A31" s="511" t="s">
        <v>76</v>
      </c>
      <c r="B31" s="511"/>
      <c r="C31" s="511"/>
      <c r="D31" s="511"/>
      <c r="E31" s="511"/>
      <c r="F31" s="511"/>
      <c r="G31" s="511"/>
      <c r="H31" s="511"/>
      <c r="I31" s="511"/>
      <c r="J31" s="511"/>
      <c r="K31" s="511"/>
      <c r="L31" s="511"/>
      <c r="M31" s="511"/>
      <c r="N31" s="511"/>
      <c r="O31" s="511"/>
      <c r="P31" s="511"/>
    </row>
    <row r="32" spans="1:16" s="2" customFormat="1" ht="90.75" customHeight="1" x14ac:dyDescent="0.2">
      <c r="A32" s="512"/>
      <c r="B32" s="512"/>
      <c r="C32" s="512"/>
      <c r="D32" s="512"/>
      <c r="E32" s="512"/>
      <c r="F32" s="512"/>
      <c r="G32" s="512"/>
      <c r="H32" s="512"/>
      <c r="I32" s="512"/>
      <c r="J32" s="512"/>
      <c r="K32" s="512"/>
      <c r="L32" s="512"/>
      <c r="M32" s="512"/>
      <c r="N32" s="512"/>
      <c r="O32" s="512"/>
      <c r="P32" s="512"/>
    </row>
    <row r="33" spans="2:16" s="2" customFormat="1" ht="12.75" customHeight="1" x14ac:dyDescent="0.2">
      <c r="B33" s="91"/>
    </row>
    <row r="34" spans="2:16" s="2" customFormat="1" ht="12.75" customHeight="1" x14ac:dyDescent="0.2">
      <c r="B34" s="91"/>
    </row>
    <row r="35" spans="2:16" s="88" customFormat="1" x14ac:dyDescent="0.2">
      <c r="B35" s="88" t="s">
        <v>36</v>
      </c>
      <c r="L35" s="92" t="s">
        <v>98</v>
      </c>
      <c r="M35" s="92"/>
      <c r="N35" s="92"/>
      <c r="O35" s="92"/>
      <c r="P35" s="92"/>
    </row>
    <row r="36" spans="2:16" s="88" customFormat="1" ht="14.25" customHeight="1" x14ac:dyDescent="0.2">
      <c r="C36" s="36"/>
      <c r="L36" s="36"/>
      <c r="M36" s="513"/>
      <c r="N36" s="513"/>
      <c r="O36" s="92"/>
      <c r="P36" s="92"/>
    </row>
    <row r="37" spans="2:16" s="88" customFormat="1" x14ac:dyDescent="0.2">
      <c r="C37" s="39"/>
      <c r="L37" s="39"/>
      <c r="M37" s="507"/>
      <c r="N37" s="507"/>
      <c r="O37" s="92"/>
      <c r="P37" s="92"/>
    </row>
    <row r="38" spans="2:16" s="88" customFormat="1" collapsed="1" x14ac:dyDescent="0.2">
      <c r="B38" s="89"/>
      <c r="F38" s="89"/>
      <c r="G38" s="89"/>
    </row>
  </sheetData>
  <mergeCells count="17">
    <mergeCell ref="M37:N37"/>
    <mergeCell ref="F11:K11"/>
    <mergeCell ref="L11:P11"/>
    <mergeCell ref="C28:K28"/>
    <mergeCell ref="A31:P31"/>
    <mergeCell ref="A32:P32"/>
    <mergeCell ref="M36:N36"/>
    <mergeCell ref="A11:A12"/>
    <mergeCell ref="B11:B12"/>
    <mergeCell ref="C11:C12"/>
    <mergeCell ref="D11:D12"/>
    <mergeCell ref="E11:E12"/>
    <mergeCell ref="A2:P2"/>
    <mergeCell ref="D3:P3"/>
    <mergeCell ref="D4:P4"/>
    <mergeCell ref="D5:P5"/>
    <mergeCell ref="L9:O9"/>
  </mergeCells>
  <printOptions horizontalCentered="1"/>
  <pageMargins left="0.27559055118110237" right="0.27559055118110237" top="0.74803149606299213" bottom="0.74803149606299213" header="0.31496062992125984" footer="0.31496062992125984"/>
  <pageSetup paperSize="9" scale="72"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5" stopIfTrue="1" id="{B8155091-9F2D-4760-B8BF-8F9E28D284B6}">
            <xm:f>'\Users\DATORS\Documents\karklins\[23 11 2015 Baltex_Ropazi(darbnica)_15.11_1.3.xls]1,1'!#REF!&gt;0</xm:f>
            <x14:dxf>
              <fill>
                <patternFill>
                  <bgColor indexed="10"/>
                </patternFill>
              </fill>
            </x14:dxf>
          </x14:cfRule>
          <x14:cfRule type="expression" priority="6" stopIfTrue="1" id="{ECF12723-9DB0-4DC4-BE9C-87D44B3301B2}">
            <xm:f>'\Users\DATORS\Documents\karklins\[23 11 2015 Baltex_Ropazi(darbnica)_15.11_1.3.xls]1,1'!#REF!=3</xm:f>
            <x14:dxf>
              <fill>
                <patternFill>
                  <bgColor indexed="10"/>
                </patternFill>
              </fill>
            </x14:dxf>
          </x14:cfRule>
          <x14:cfRule type="expression" priority="7" stopIfTrue="1" id="{3841DDD2-B4F1-42CC-AF89-4C21436E027F}">
            <xm:f>'\Users\DATORS\Documents\karklins\[23 11 2015 Baltex_Ropazi(darbnica)_15.11_1.3.xls]1,1'!#REF!=2</xm:f>
            <x14:dxf>
              <fill>
                <patternFill>
                  <bgColor indexed="11"/>
                </patternFill>
              </fill>
            </x14:dxf>
          </x14:cfRule>
          <xm:sqref>I14</xm:sqref>
        </x14:conditionalFormatting>
        <x14:conditionalFormatting xmlns:xm="http://schemas.microsoft.com/office/excel/2006/main">
          <x14:cfRule type="expression" priority="8" stopIfTrue="1" id="{D672F686-08CF-4B71-A9B8-8CFBF82E188A}">
            <xm:f>I14='\Users\DATORS\Documents\karklins\[23 11 2015 Baltex_Ropazi(darbnica)_15.11_1.3.xls]1,1'!#REF!=FALSE</xm:f>
            <x14:dxf>
              <fill>
                <patternFill>
                  <bgColor indexed="29"/>
                </patternFill>
              </fill>
            </x14:dxf>
          </x14:cfRule>
          <xm:sqref>I14:I15 I17:I26</xm:sqref>
        </x14:conditionalFormatting>
        <x14:conditionalFormatting xmlns:xm="http://schemas.microsoft.com/office/excel/2006/main">
          <x14:cfRule type="expression" priority="9" stopIfTrue="1" id="{36B3E96C-FB1E-4494-A22B-56AB3B491D07}">
            <xm:f>'\Users\DATORS\Documents\karklins\[23 11 2015 Baltex_Ropazi(darbnica)_15.11_1.3.xls]1,1'!#REF!&gt;0</xm:f>
            <x14:dxf>
              <fill>
                <patternFill>
                  <bgColor indexed="10"/>
                </patternFill>
              </fill>
            </x14:dxf>
          </x14:cfRule>
          <x14:cfRule type="expression" priority="10" stopIfTrue="1" id="{A6AA1DBA-0BA6-4DBD-8CB1-0CC08DA35D52}">
            <xm:f>'\Users\DATORS\Documents\karklins\[23 11 2015 Baltex_Ropazi(darbnica)_15.11_1.3.xls]1,1'!#REF!=3</xm:f>
            <x14:dxf>
              <fill>
                <patternFill>
                  <bgColor indexed="10"/>
                </patternFill>
              </fill>
            </x14:dxf>
          </x14:cfRule>
          <x14:cfRule type="expression" priority="11" stopIfTrue="1" id="{45F2A8B3-79D0-44DF-B684-E40189B8FFC9}">
            <xm:f>'\Users\DATORS\Documents\karklins\[23 11 2015 Baltex_Ropazi(darbnica)_15.11_1.3.xls]1,1'!#REF!=2</xm:f>
            <x14:dxf>
              <fill>
                <patternFill>
                  <bgColor indexed="11"/>
                </patternFill>
              </fill>
            </x14:dxf>
          </x14:cfRule>
          <xm:sqref>I15 I17:I26</xm:sqref>
        </x14:conditionalFormatting>
        <x14:conditionalFormatting xmlns:xm="http://schemas.microsoft.com/office/excel/2006/main">
          <x14:cfRule type="expression" priority="1" stopIfTrue="1" id="{0AC860E5-F6AF-4227-8E55-D107A866CB1A}">
            <xm:f>I16='\Users\DATORS\Documents\karklins\[23 11 2015 Baltex_Ropazi(darbnica)_15.11_1.3.xls]1,1'!#REF!=FALSE</xm:f>
            <x14:dxf>
              <fill>
                <patternFill>
                  <bgColor indexed="29"/>
                </patternFill>
              </fill>
            </x14:dxf>
          </x14:cfRule>
          <xm:sqref>I16</xm:sqref>
        </x14:conditionalFormatting>
        <x14:conditionalFormatting xmlns:xm="http://schemas.microsoft.com/office/excel/2006/main">
          <x14:cfRule type="expression" priority="2" stopIfTrue="1" id="{15A23226-85D7-45C7-84BB-628154F94706}">
            <xm:f>'\Users\DATORS\Documents\karklins\[23 11 2015 Baltex_Ropazi(darbnica)_15.11_1.3.xls]1,1'!#REF!&gt;0</xm:f>
            <x14:dxf>
              <fill>
                <patternFill>
                  <bgColor indexed="10"/>
                </patternFill>
              </fill>
            </x14:dxf>
          </x14:cfRule>
          <x14:cfRule type="expression" priority="3" stopIfTrue="1" id="{694B1008-7F87-4072-A642-C4AD88DF08FB}">
            <xm:f>'\Users\DATORS\Documents\karklins\[23 11 2015 Baltex_Ropazi(darbnica)_15.11_1.3.xls]1,1'!#REF!=3</xm:f>
            <x14:dxf>
              <fill>
                <patternFill>
                  <bgColor indexed="10"/>
                </patternFill>
              </fill>
            </x14:dxf>
          </x14:cfRule>
          <x14:cfRule type="expression" priority="4" stopIfTrue="1" id="{F8038E8D-56C0-4DEC-A0EE-11D338F55A41}">
            <xm:f>'\Users\DATORS\Documents\karklins\[23 11 2015 Baltex_Ropazi(darbnica)_15.11_1.3.xls]1,1'!#REF!=2</xm:f>
            <x14:dxf>
              <fill>
                <patternFill>
                  <bgColor indexed="11"/>
                </patternFill>
              </fill>
            </x14:dxf>
          </x14:cfRule>
          <xm:sqref>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41"/>
  <sheetViews>
    <sheetView showZeros="0" view="pageBreakPreview" zoomScale="90" zoomScaleNormal="100" zoomScaleSheetLayoutView="90" workbookViewId="0">
      <selection activeCell="B13" sqref="B13:E13"/>
    </sheetView>
  </sheetViews>
  <sheetFormatPr defaultRowHeight="14.25" x14ac:dyDescent="0.2"/>
  <cols>
    <col min="1" max="1" width="9" style="49" customWidth="1"/>
    <col min="2" max="2" width="9.42578125" style="49" customWidth="1"/>
    <col min="3" max="3" width="40.28515625" style="49" customWidth="1"/>
    <col min="4" max="4" width="8.140625" style="49" customWidth="1"/>
    <col min="5" max="8" width="9.140625" style="49"/>
    <col min="9" max="9" width="9.140625" style="61"/>
    <col min="10" max="11" width="9.140625" style="49"/>
    <col min="12" max="12" width="11.5703125" style="49" customWidth="1"/>
    <col min="13" max="13" width="12.28515625" style="49" customWidth="1"/>
    <col min="14" max="14" width="12.7109375" style="49" customWidth="1"/>
    <col min="15" max="15" width="11.5703125" style="49" customWidth="1"/>
    <col min="16" max="16" width="12.85546875" style="49" customWidth="1"/>
    <col min="17" max="16384" width="9.140625" style="49"/>
  </cols>
  <sheetData>
    <row r="1" spans="1:16" s="41" customFormat="1" ht="15" x14ac:dyDescent="0.25">
      <c r="E1" s="43"/>
      <c r="F1" s="43"/>
      <c r="G1" s="95" t="s">
        <v>37</v>
      </c>
      <c r="H1" s="46" t="str">
        <f>kops1!B22</f>
        <v>1,2</v>
      </c>
      <c r="I1" s="42"/>
    </row>
    <row r="2" spans="1:16" s="41" customFormat="1" ht="15" x14ac:dyDescent="0.25">
      <c r="A2" s="504" t="str">
        <f>C13</f>
        <v>Demontāžas darbi</v>
      </c>
      <c r="B2" s="504"/>
      <c r="C2" s="504"/>
      <c r="D2" s="504"/>
      <c r="E2" s="504"/>
      <c r="F2" s="504"/>
      <c r="G2" s="504"/>
      <c r="H2" s="504"/>
      <c r="I2" s="504"/>
      <c r="J2" s="504"/>
      <c r="K2" s="504"/>
      <c r="L2" s="504"/>
      <c r="M2" s="504"/>
      <c r="N2" s="504"/>
      <c r="O2" s="504"/>
      <c r="P2" s="504"/>
    </row>
    <row r="3" spans="1:16" ht="15" x14ac:dyDescent="0.2">
      <c r="A3" s="47"/>
      <c r="B3" s="47"/>
      <c r="C3" s="47" t="s">
        <v>38</v>
      </c>
      <c r="D3" s="505" t="s">
        <v>94</v>
      </c>
      <c r="E3" s="505"/>
      <c r="F3" s="505"/>
      <c r="G3" s="505"/>
      <c r="H3" s="505"/>
      <c r="I3" s="505"/>
      <c r="J3" s="505"/>
      <c r="K3" s="505"/>
      <c r="L3" s="505"/>
      <c r="M3" s="505"/>
      <c r="N3" s="505"/>
      <c r="O3" s="505"/>
      <c r="P3" s="505"/>
    </row>
    <row r="4" spans="1:16" ht="15" x14ac:dyDescent="0.2">
      <c r="A4" s="47"/>
      <c r="B4" s="47"/>
      <c r="C4" s="47" t="s">
        <v>39</v>
      </c>
      <c r="D4" s="505" t="s">
        <v>95</v>
      </c>
      <c r="E4" s="505"/>
      <c r="F4" s="505"/>
      <c r="G4" s="505"/>
      <c r="H4" s="505"/>
      <c r="I4" s="505"/>
      <c r="J4" s="505"/>
      <c r="K4" s="505"/>
      <c r="L4" s="505"/>
      <c r="M4" s="505"/>
      <c r="N4" s="505"/>
      <c r="O4" s="505"/>
      <c r="P4" s="505"/>
    </row>
    <row r="5" spans="1:16" ht="15" x14ac:dyDescent="0.2">
      <c r="A5" s="47"/>
      <c r="B5" s="47"/>
      <c r="C5" s="47" t="s">
        <v>40</v>
      </c>
      <c r="D5" s="505" t="s">
        <v>96</v>
      </c>
      <c r="E5" s="505"/>
      <c r="F5" s="505"/>
      <c r="G5" s="505"/>
      <c r="H5" s="505"/>
      <c r="I5" s="505"/>
      <c r="J5" s="505"/>
      <c r="K5" s="505"/>
      <c r="L5" s="505"/>
      <c r="M5" s="505"/>
      <c r="N5" s="505"/>
      <c r="O5" s="505"/>
      <c r="P5" s="505"/>
    </row>
    <row r="6" spans="1:16" x14ac:dyDescent="0.2">
      <c r="A6" s="47"/>
      <c r="B6" s="47"/>
      <c r="C6" s="47" t="s">
        <v>100</v>
      </c>
      <c r="D6" s="50" t="s">
        <v>97</v>
      </c>
      <c r="E6" s="51"/>
      <c r="F6" s="51"/>
      <c r="G6" s="51"/>
      <c r="H6" s="51"/>
      <c r="I6" s="52"/>
      <c r="J6" s="51"/>
      <c r="K6" s="51"/>
      <c r="L6" s="51"/>
      <c r="M6" s="51"/>
      <c r="N6" s="51"/>
      <c r="O6" s="51"/>
      <c r="P6" s="53"/>
    </row>
    <row r="7" spans="1:16" x14ac:dyDescent="0.2">
      <c r="A7" s="8" t="s">
        <v>745</v>
      </c>
      <c r="B7" s="96"/>
      <c r="D7" s="50"/>
      <c r="E7" s="50"/>
      <c r="F7" s="50"/>
      <c r="G7" s="50"/>
      <c r="H7" s="50"/>
      <c r="I7" s="55"/>
      <c r="J7" s="50"/>
      <c r="K7" s="51"/>
      <c r="L7" s="51"/>
      <c r="M7" s="51"/>
      <c r="N7" s="51"/>
      <c r="O7" s="47" t="s">
        <v>41</v>
      </c>
      <c r="P7" s="56">
        <f>P31</f>
        <v>0</v>
      </c>
    </row>
    <row r="8" spans="1:16" x14ac:dyDescent="0.2">
      <c r="A8" s="57"/>
      <c r="B8" s="57"/>
      <c r="D8" s="58"/>
      <c r="E8" s="51"/>
      <c r="F8" s="51"/>
      <c r="G8" s="51"/>
      <c r="H8" s="51"/>
      <c r="I8" s="52"/>
      <c r="J8" s="51"/>
      <c r="K8" s="51"/>
      <c r="N8" s="51"/>
      <c r="O8" s="51"/>
      <c r="P8" s="53"/>
    </row>
    <row r="9" spans="1:16" ht="15" customHeight="1" x14ac:dyDescent="0.2">
      <c r="A9" s="59"/>
      <c r="B9" s="59"/>
      <c r="J9" s="62"/>
      <c r="K9" s="62"/>
      <c r="L9" s="506" t="s">
        <v>736</v>
      </c>
      <c r="M9" s="506"/>
      <c r="N9" s="506"/>
      <c r="O9" s="506"/>
      <c r="P9" s="62"/>
    </row>
    <row r="10" spans="1:16" ht="15" x14ac:dyDescent="0.2">
      <c r="A10" s="59"/>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97"/>
      <c r="B13" s="98">
        <v>0</v>
      </c>
      <c r="C13" s="458" t="str">
        <f>kops1!C22</f>
        <v>Demontāžas darbi</v>
      </c>
      <c r="D13" s="460"/>
      <c r="E13" s="460"/>
      <c r="F13" s="99">
        <v>0</v>
      </c>
      <c r="G13" s="100">
        <v>0</v>
      </c>
      <c r="H13" s="101">
        <v>0</v>
      </c>
      <c r="I13" s="100">
        <v>0</v>
      </c>
      <c r="J13" s="100">
        <v>0</v>
      </c>
      <c r="K13" s="100">
        <f t="shared" ref="K13" si="0">SUM(H13:J13)</f>
        <v>0</v>
      </c>
      <c r="L13" s="99">
        <f t="shared" ref="L13:L25" si="1">ROUND(F13*E13,2)</f>
        <v>0</v>
      </c>
      <c r="M13" s="100">
        <f t="shared" ref="M13:M25" si="2">ROUND(H13*E13,2)</f>
        <v>0</v>
      </c>
      <c r="N13" s="100">
        <f t="shared" ref="N13:N25" si="3">ROUND(I13*E13,2)</f>
        <v>0</v>
      </c>
      <c r="O13" s="100">
        <f t="shared" ref="O13:O25" si="4">ROUND(J13*E13,2)</f>
        <v>0</v>
      </c>
      <c r="P13" s="102">
        <f t="shared" ref="P13:P25" si="5">SUM(M13:O13)</f>
        <v>0</v>
      </c>
    </row>
    <row r="14" spans="1:16" s="61" customFormat="1" x14ac:dyDescent="0.2">
      <c r="A14" s="141">
        <v>1</v>
      </c>
      <c r="B14" s="133" t="s">
        <v>55</v>
      </c>
      <c r="C14" s="142" t="s">
        <v>77</v>
      </c>
      <c r="D14" s="134" t="s">
        <v>78</v>
      </c>
      <c r="E14" s="134">
        <v>435.4</v>
      </c>
      <c r="F14" s="136"/>
      <c r="G14" s="136"/>
      <c r="H14" s="135"/>
      <c r="I14" s="135"/>
      <c r="J14" s="103"/>
      <c r="K14" s="75">
        <f t="shared" ref="K14:K25" si="6">SUM(H14:J14)</f>
        <v>0</v>
      </c>
      <c r="L14" s="76">
        <f t="shared" si="1"/>
        <v>0</v>
      </c>
      <c r="M14" s="75">
        <f t="shared" si="2"/>
        <v>0</v>
      </c>
      <c r="N14" s="75">
        <f t="shared" si="3"/>
        <v>0</v>
      </c>
      <c r="O14" s="75">
        <f t="shared" si="4"/>
        <v>0</v>
      </c>
      <c r="P14" s="77">
        <f t="shared" si="5"/>
        <v>0</v>
      </c>
    </row>
    <row r="15" spans="1:16" s="61" customFormat="1" ht="28.5" x14ac:dyDescent="0.2">
      <c r="A15" s="141">
        <v>2</v>
      </c>
      <c r="B15" s="133" t="s">
        <v>55</v>
      </c>
      <c r="C15" s="142" t="s">
        <v>79</v>
      </c>
      <c r="D15" s="134" t="s">
        <v>78</v>
      </c>
      <c r="E15" s="134">
        <v>170</v>
      </c>
      <c r="F15" s="136"/>
      <c r="G15" s="136"/>
      <c r="H15" s="135"/>
      <c r="I15" s="104"/>
      <c r="J15" s="103"/>
      <c r="K15" s="75">
        <f t="shared" si="6"/>
        <v>0</v>
      </c>
      <c r="L15" s="76">
        <f t="shared" si="1"/>
        <v>0</v>
      </c>
      <c r="M15" s="75">
        <f t="shared" si="2"/>
        <v>0</v>
      </c>
      <c r="N15" s="75">
        <f t="shared" si="3"/>
        <v>0</v>
      </c>
      <c r="O15" s="75">
        <f t="shared" si="4"/>
        <v>0</v>
      </c>
      <c r="P15" s="77">
        <f t="shared" si="5"/>
        <v>0</v>
      </c>
    </row>
    <row r="16" spans="1:16" s="61" customFormat="1" ht="28.5" x14ac:dyDescent="0.2">
      <c r="A16" s="141">
        <v>3</v>
      </c>
      <c r="B16" s="133" t="s">
        <v>55</v>
      </c>
      <c r="C16" s="142" t="s">
        <v>80</v>
      </c>
      <c r="D16" s="134" t="s">
        <v>78</v>
      </c>
      <c r="E16" s="134">
        <v>100</v>
      </c>
      <c r="F16" s="136"/>
      <c r="G16" s="136"/>
      <c r="H16" s="135"/>
      <c r="I16" s="104"/>
      <c r="J16" s="103"/>
      <c r="K16" s="75">
        <f t="shared" si="6"/>
        <v>0</v>
      </c>
      <c r="L16" s="76">
        <f t="shared" si="1"/>
        <v>0</v>
      </c>
      <c r="M16" s="75">
        <f t="shared" si="2"/>
        <v>0</v>
      </c>
      <c r="N16" s="75">
        <f t="shared" si="3"/>
        <v>0</v>
      </c>
      <c r="O16" s="75">
        <f t="shared" si="4"/>
        <v>0</v>
      </c>
      <c r="P16" s="77">
        <f t="shared" si="5"/>
        <v>0</v>
      </c>
    </row>
    <row r="17" spans="1:16" s="61" customFormat="1" ht="30.75" customHeight="1" x14ac:dyDescent="0.2">
      <c r="A17" s="141">
        <v>4</v>
      </c>
      <c r="B17" s="133" t="s">
        <v>55</v>
      </c>
      <c r="C17" s="142" t="s">
        <v>81</v>
      </c>
      <c r="D17" s="134" t="s">
        <v>78</v>
      </c>
      <c r="E17" s="134">
        <v>170</v>
      </c>
      <c r="F17" s="136"/>
      <c r="G17" s="136"/>
      <c r="H17" s="135"/>
      <c r="I17" s="104"/>
      <c r="J17" s="103"/>
      <c r="K17" s="75">
        <f t="shared" si="6"/>
        <v>0</v>
      </c>
      <c r="L17" s="76">
        <f t="shared" si="1"/>
        <v>0</v>
      </c>
      <c r="M17" s="75">
        <f t="shared" si="2"/>
        <v>0</v>
      </c>
      <c r="N17" s="75">
        <f t="shared" si="3"/>
        <v>0</v>
      </c>
      <c r="O17" s="75">
        <f t="shared" si="4"/>
        <v>0</v>
      </c>
      <c r="P17" s="77">
        <f t="shared" si="5"/>
        <v>0</v>
      </c>
    </row>
    <row r="18" spans="1:16" s="61" customFormat="1" x14ac:dyDescent="0.2">
      <c r="A18" s="141">
        <v>5</v>
      </c>
      <c r="B18" s="133" t="s">
        <v>55</v>
      </c>
      <c r="C18" s="142" t="s">
        <v>82</v>
      </c>
      <c r="D18" s="134" t="s">
        <v>83</v>
      </c>
      <c r="E18" s="134">
        <v>360</v>
      </c>
      <c r="F18" s="136"/>
      <c r="G18" s="136"/>
      <c r="H18" s="135"/>
      <c r="I18" s="104"/>
      <c r="J18" s="103"/>
      <c r="K18" s="75">
        <f t="shared" si="6"/>
        <v>0</v>
      </c>
      <c r="L18" s="76">
        <f t="shared" si="1"/>
        <v>0</v>
      </c>
      <c r="M18" s="75">
        <f t="shared" si="2"/>
        <v>0</v>
      </c>
      <c r="N18" s="75">
        <f t="shared" si="3"/>
        <v>0</v>
      </c>
      <c r="O18" s="75">
        <f t="shared" si="4"/>
        <v>0</v>
      </c>
      <c r="P18" s="77">
        <f t="shared" si="5"/>
        <v>0</v>
      </c>
    </row>
    <row r="19" spans="1:16" s="61" customFormat="1" x14ac:dyDescent="0.2">
      <c r="A19" s="141">
        <v>6</v>
      </c>
      <c r="B19" s="133" t="s">
        <v>55</v>
      </c>
      <c r="C19" s="142" t="s">
        <v>84</v>
      </c>
      <c r="D19" s="134" t="s">
        <v>83</v>
      </c>
      <c r="E19" s="134">
        <v>1450</v>
      </c>
      <c r="F19" s="136"/>
      <c r="G19" s="136"/>
      <c r="H19" s="135"/>
      <c r="I19" s="135"/>
      <c r="J19" s="103"/>
      <c r="K19" s="75">
        <f t="shared" si="6"/>
        <v>0</v>
      </c>
      <c r="L19" s="76">
        <f t="shared" si="1"/>
        <v>0</v>
      </c>
      <c r="M19" s="75">
        <f t="shared" si="2"/>
        <v>0</v>
      </c>
      <c r="N19" s="75">
        <f t="shared" si="3"/>
        <v>0</v>
      </c>
      <c r="O19" s="75">
        <f t="shared" si="4"/>
        <v>0</v>
      </c>
      <c r="P19" s="77">
        <f t="shared" si="5"/>
        <v>0</v>
      </c>
    </row>
    <row r="20" spans="1:16" s="61" customFormat="1" x14ac:dyDescent="0.2">
      <c r="A20" s="141">
        <v>7</v>
      </c>
      <c r="B20" s="133" t="s">
        <v>55</v>
      </c>
      <c r="C20" s="142" t="s">
        <v>85</v>
      </c>
      <c r="D20" s="134" t="s">
        <v>78</v>
      </c>
      <c r="E20" s="134">
        <v>3.4</v>
      </c>
      <c r="F20" s="136"/>
      <c r="G20" s="136"/>
      <c r="H20" s="135"/>
      <c r="I20" s="135"/>
      <c r="J20" s="103"/>
      <c r="K20" s="75">
        <f t="shared" si="6"/>
        <v>0</v>
      </c>
      <c r="L20" s="76">
        <f t="shared" si="1"/>
        <v>0</v>
      </c>
      <c r="M20" s="75">
        <f t="shared" si="2"/>
        <v>0</v>
      </c>
      <c r="N20" s="75">
        <f t="shared" si="3"/>
        <v>0</v>
      </c>
      <c r="O20" s="75">
        <f t="shared" si="4"/>
        <v>0</v>
      </c>
      <c r="P20" s="77">
        <f t="shared" si="5"/>
        <v>0</v>
      </c>
    </row>
    <row r="21" spans="1:16" s="61" customFormat="1" x14ac:dyDescent="0.2">
      <c r="A21" s="141">
        <v>8</v>
      </c>
      <c r="B21" s="133" t="s">
        <v>55</v>
      </c>
      <c r="C21" s="142" t="s">
        <v>86</v>
      </c>
      <c r="D21" s="134" t="s">
        <v>78</v>
      </c>
      <c r="E21" s="134">
        <v>2.5</v>
      </c>
      <c r="F21" s="136"/>
      <c r="G21" s="136"/>
      <c r="H21" s="135"/>
      <c r="I21" s="104"/>
      <c r="J21" s="103"/>
      <c r="K21" s="75">
        <f t="shared" si="6"/>
        <v>0</v>
      </c>
      <c r="L21" s="76">
        <f t="shared" si="1"/>
        <v>0</v>
      </c>
      <c r="M21" s="75">
        <f t="shared" si="2"/>
        <v>0</v>
      </c>
      <c r="N21" s="75">
        <f t="shared" si="3"/>
        <v>0</v>
      </c>
      <c r="O21" s="75">
        <f t="shared" si="4"/>
        <v>0</v>
      </c>
      <c r="P21" s="77">
        <f t="shared" si="5"/>
        <v>0</v>
      </c>
    </row>
    <row r="22" spans="1:16" s="61" customFormat="1" x14ac:dyDescent="0.2">
      <c r="A22" s="141">
        <v>9</v>
      </c>
      <c r="B22" s="133" t="s">
        <v>55</v>
      </c>
      <c r="C22" s="142" t="s">
        <v>87</v>
      </c>
      <c r="D22" s="134" t="s">
        <v>78</v>
      </c>
      <c r="E22" s="134">
        <v>30</v>
      </c>
      <c r="F22" s="136"/>
      <c r="G22" s="136"/>
      <c r="H22" s="135"/>
      <c r="I22" s="104"/>
      <c r="J22" s="103"/>
      <c r="K22" s="75">
        <f t="shared" si="6"/>
        <v>0</v>
      </c>
      <c r="L22" s="76">
        <f t="shared" si="1"/>
        <v>0</v>
      </c>
      <c r="M22" s="75">
        <f t="shared" si="2"/>
        <v>0</v>
      </c>
      <c r="N22" s="75">
        <f t="shared" si="3"/>
        <v>0</v>
      </c>
      <c r="O22" s="75">
        <f t="shared" si="4"/>
        <v>0</v>
      </c>
      <c r="P22" s="77">
        <f t="shared" si="5"/>
        <v>0</v>
      </c>
    </row>
    <row r="23" spans="1:16" s="61" customFormat="1" x14ac:dyDescent="0.2">
      <c r="A23" s="141">
        <v>10</v>
      </c>
      <c r="B23" s="133" t="s">
        <v>55</v>
      </c>
      <c r="C23" s="142" t="s">
        <v>88</v>
      </c>
      <c r="D23" s="134" t="s">
        <v>83</v>
      </c>
      <c r="E23" s="134">
        <v>1630</v>
      </c>
      <c r="F23" s="136"/>
      <c r="G23" s="136"/>
      <c r="H23" s="135"/>
      <c r="I23" s="104"/>
      <c r="J23" s="103"/>
      <c r="K23" s="75">
        <f t="shared" si="6"/>
        <v>0</v>
      </c>
      <c r="L23" s="76">
        <f t="shared" si="1"/>
        <v>0</v>
      </c>
      <c r="M23" s="75">
        <f t="shared" si="2"/>
        <v>0</v>
      </c>
      <c r="N23" s="75">
        <f t="shared" si="3"/>
        <v>0</v>
      </c>
      <c r="O23" s="75">
        <f t="shared" si="4"/>
        <v>0</v>
      </c>
      <c r="P23" s="77">
        <f t="shared" si="5"/>
        <v>0</v>
      </c>
    </row>
    <row r="24" spans="1:16" s="61" customFormat="1" x14ac:dyDescent="0.2">
      <c r="A24" s="141">
        <v>11</v>
      </c>
      <c r="B24" s="133" t="s">
        <v>55</v>
      </c>
      <c r="C24" s="142" t="s">
        <v>89</v>
      </c>
      <c r="D24" s="134" t="s">
        <v>83</v>
      </c>
      <c r="E24" s="134">
        <f>285+230</f>
        <v>515</v>
      </c>
      <c r="F24" s="136"/>
      <c r="G24" s="136"/>
      <c r="H24" s="135"/>
      <c r="I24" s="104"/>
      <c r="J24" s="103"/>
      <c r="K24" s="75">
        <f t="shared" si="6"/>
        <v>0</v>
      </c>
      <c r="L24" s="76">
        <f t="shared" si="1"/>
        <v>0</v>
      </c>
      <c r="M24" s="75">
        <f t="shared" si="2"/>
        <v>0</v>
      </c>
      <c r="N24" s="75">
        <f t="shared" si="3"/>
        <v>0</v>
      </c>
      <c r="O24" s="75">
        <f t="shared" si="4"/>
        <v>0</v>
      </c>
      <c r="P24" s="77">
        <f t="shared" si="5"/>
        <v>0</v>
      </c>
    </row>
    <row r="25" spans="1:16" s="61" customFormat="1" ht="42.75" x14ac:dyDescent="0.2">
      <c r="A25" s="141">
        <v>12</v>
      </c>
      <c r="B25" s="133" t="s">
        <v>55</v>
      </c>
      <c r="C25" s="142" t="s">
        <v>101</v>
      </c>
      <c r="D25" s="134" t="s">
        <v>78</v>
      </c>
      <c r="E25" s="134">
        <v>40</v>
      </c>
      <c r="F25" s="136"/>
      <c r="G25" s="136"/>
      <c r="H25" s="135"/>
      <c r="I25" s="104"/>
      <c r="J25" s="103"/>
      <c r="K25" s="75">
        <f t="shared" si="6"/>
        <v>0</v>
      </c>
      <c r="L25" s="76">
        <f t="shared" si="1"/>
        <v>0</v>
      </c>
      <c r="M25" s="75">
        <f t="shared" si="2"/>
        <v>0</v>
      </c>
      <c r="N25" s="75">
        <f t="shared" si="3"/>
        <v>0</v>
      </c>
      <c r="O25" s="75">
        <f t="shared" si="4"/>
        <v>0</v>
      </c>
      <c r="P25" s="77">
        <f t="shared" si="5"/>
        <v>0</v>
      </c>
    </row>
    <row r="26" spans="1:16" s="61" customFormat="1" ht="57" x14ac:dyDescent="0.2">
      <c r="A26" s="141">
        <v>13</v>
      </c>
      <c r="B26" s="133" t="s">
        <v>55</v>
      </c>
      <c r="C26" s="142" t="s">
        <v>102</v>
      </c>
      <c r="D26" s="134" t="s">
        <v>78</v>
      </c>
      <c r="E26" s="134">
        <v>1670</v>
      </c>
      <c r="F26" s="136"/>
      <c r="G26" s="136"/>
      <c r="H26" s="135"/>
      <c r="I26" s="104"/>
      <c r="J26" s="103"/>
      <c r="K26" s="75">
        <f t="shared" ref="K26:K28" si="7">SUM(H26:J26)</f>
        <v>0</v>
      </c>
      <c r="L26" s="76">
        <f t="shared" ref="L26:L28" si="8">ROUND(F26*E26,2)</f>
        <v>0</v>
      </c>
      <c r="M26" s="75">
        <f t="shared" ref="M26:M28" si="9">ROUND(H26*E26,2)</f>
        <v>0</v>
      </c>
      <c r="N26" s="75">
        <f t="shared" ref="N26:N28" si="10">ROUND(I26*E26,2)</f>
        <v>0</v>
      </c>
      <c r="O26" s="75">
        <f t="shared" ref="O26:O28" si="11">ROUND(J26*E26,2)</f>
        <v>0</v>
      </c>
      <c r="P26" s="77">
        <f t="shared" ref="P26:P28" si="12">SUM(M26:O26)</f>
        <v>0</v>
      </c>
    </row>
    <row r="27" spans="1:16" s="61" customFormat="1" x14ac:dyDescent="0.2">
      <c r="A27" s="141">
        <v>14</v>
      </c>
      <c r="B27" s="133" t="s">
        <v>55</v>
      </c>
      <c r="C27" s="142" t="s">
        <v>90</v>
      </c>
      <c r="D27" s="134" t="s">
        <v>59</v>
      </c>
      <c r="E27" s="373">
        <f>E26/6</f>
        <v>278.33333333333331</v>
      </c>
      <c r="F27" s="136"/>
      <c r="G27" s="136"/>
      <c r="H27" s="135"/>
      <c r="I27" s="104"/>
      <c r="J27" s="103"/>
      <c r="K27" s="75">
        <f t="shared" si="7"/>
        <v>0</v>
      </c>
      <c r="L27" s="76">
        <f t="shared" si="8"/>
        <v>0</v>
      </c>
      <c r="M27" s="75">
        <f t="shared" si="9"/>
        <v>0</v>
      </c>
      <c r="N27" s="75">
        <f t="shared" si="10"/>
        <v>0</v>
      </c>
      <c r="O27" s="75">
        <f t="shared" si="11"/>
        <v>0</v>
      </c>
      <c r="P27" s="77">
        <f t="shared" si="12"/>
        <v>0</v>
      </c>
    </row>
    <row r="28" spans="1:16" s="61" customFormat="1" x14ac:dyDescent="0.2">
      <c r="A28" s="141">
        <v>15</v>
      </c>
      <c r="B28" s="133" t="s">
        <v>55</v>
      </c>
      <c r="C28" s="142" t="s">
        <v>91</v>
      </c>
      <c r="D28" s="134" t="s">
        <v>92</v>
      </c>
      <c r="E28" s="134">
        <v>78</v>
      </c>
      <c r="F28" s="136"/>
      <c r="G28" s="136"/>
      <c r="H28" s="135"/>
      <c r="I28" s="104"/>
      <c r="J28" s="103"/>
      <c r="K28" s="75">
        <f t="shared" si="7"/>
        <v>0</v>
      </c>
      <c r="L28" s="76">
        <f t="shared" si="8"/>
        <v>0</v>
      </c>
      <c r="M28" s="75">
        <f t="shared" si="9"/>
        <v>0</v>
      </c>
      <c r="N28" s="75">
        <f t="shared" si="10"/>
        <v>0</v>
      </c>
      <c r="O28" s="75">
        <f t="shared" si="11"/>
        <v>0</v>
      </c>
      <c r="P28" s="77">
        <f t="shared" si="12"/>
        <v>0</v>
      </c>
    </row>
    <row r="29" spans="1:16" ht="15" x14ac:dyDescent="0.2">
      <c r="A29" s="105"/>
      <c r="B29" s="105"/>
      <c r="C29" s="106"/>
      <c r="D29" s="107"/>
      <c r="E29" s="106"/>
      <c r="F29" s="106"/>
      <c r="G29" s="106"/>
      <c r="H29" s="106"/>
      <c r="I29" s="108"/>
      <c r="J29" s="106"/>
      <c r="K29" s="106" t="s">
        <v>30</v>
      </c>
      <c r="L29" s="109">
        <f>SUM(L13:L28)</f>
        <v>0</v>
      </c>
      <c r="M29" s="109">
        <f>SUM(M13:M28)</f>
        <v>0</v>
      </c>
      <c r="N29" s="109">
        <f>SUM(N13:N28)</f>
        <v>0</v>
      </c>
      <c r="O29" s="109">
        <f>SUM(O13:O28)</f>
        <v>0</v>
      </c>
      <c r="P29" s="109">
        <f>SUM(P13:P28)</f>
        <v>0</v>
      </c>
    </row>
    <row r="30" spans="1:16" ht="15" customHeight="1" x14ac:dyDescent="0.2">
      <c r="A30" s="110"/>
      <c r="B30" s="110"/>
      <c r="C30" s="519" t="s">
        <v>93</v>
      </c>
      <c r="D30" s="520"/>
      <c r="E30" s="520"/>
      <c r="F30" s="520"/>
      <c r="G30" s="520"/>
      <c r="H30" s="520"/>
      <c r="I30" s="520"/>
      <c r="J30" s="520"/>
      <c r="K30" s="520"/>
      <c r="L30" s="111"/>
      <c r="M30" s="112"/>
      <c r="N30" s="112">
        <f>ROUND(N29*L30,2)</f>
        <v>0</v>
      </c>
      <c r="O30" s="112">
        <f>O29*L30</f>
        <v>0</v>
      </c>
      <c r="P30" s="113">
        <f>SUM(N30:O30)</f>
        <v>0</v>
      </c>
    </row>
    <row r="31" spans="1:16" ht="15" customHeight="1" x14ac:dyDescent="0.2">
      <c r="A31" s="85"/>
      <c r="B31" s="85"/>
      <c r="C31" s="509" t="s">
        <v>74</v>
      </c>
      <c r="D31" s="510"/>
      <c r="E31" s="510"/>
      <c r="F31" s="510"/>
      <c r="G31" s="510"/>
      <c r="H31" s="510"/>
      <c r="I31" s="510"/>
      <c r="J31" s="510"/>
      <c r="K31" s="510"/>
      <c r="L31" s="87">
        <f>L29</f>
        <v>0</v>
      </c>
      <c r="M31" s="87">
        <f>SUM(M29:M30)</f>
        <v>0</v>
      </c>
      <c r="N31" s="87">
        <f>SUM(N29:N30)</f>
        <v>0</v>
      </c>
      <c r="O31" s="87">
        <f t="shared" ref="O31" si="13">SUM(O29:O30)</f>
        <v>0</v>
      </c>
      <c r="P31" s="87">
        <f>SUM(P29:P30)</f>
        <v>0</v>
      </c>
    </row>
    <row r="32" spans="1:16" s="88" customFormat="1" x14ac:dyDescent="0.2">
      <c r="I32" s="89"/>
    </row>
    <row r="33" spans="1:16" s="2" customFormat="1" ht="12.75" customHeight="1" x14ac:dyDescent="0.2">
      <c r="B33" s="90" t="str">
        <f>'1,1'!B30</f>
        <v>Piezīmes:</v>
      </c>
    </row>
    <row r="34" spans="1:16" s="2" customFormat="1" ht="45" customHeight="1" x14ac:dyDescent="0.2">
      <c r="A34"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34" s="511"/>
      <c r="C34" s="511"/>
      <c r="D34" s="511"/>
      <c r="E34" s="511"/>
      <c r="F34" s="511"/>
      <c r="G34" s="511"/>
      <c r="H34" s="511"/>
      <c r="I34" s="511"/>
      <c r="J34" s="511"/>
      <c r="K34" s="511"/>
      <c r="L34" s="511"/>
      <c r="M34" s="511"/>
      <c r="N34" s="511"/>
      <c r="O34" s="511"/>
      <c r="P34" s="511"/>
    </row>
    <row r="35" spans="1:16" s="2" customFormat="1" ht="79.5" customHeight="1" x14ac:dyDescent="0.2">
      <c r="A35" s="512"/>
      <c r="B35" s="512"/>
      <c r="C35" s="512"/>
      <c r="D35" s="512"/>
      <c r="E35" s="512"/>
      <c r="F35" s="512"/>
      <c r="G35" s="512"/>
      <c r="H35" s="512"/>
      <c r="I35" s="512"/>
      <c r="J35" s="512"/>
      <c r="K35" s="512"/>
      <c r="L35" s="512"/>
      <c r="M35" s="512"/>
      <c r="N35" s="512"/>
      <c r="O35" s="512"/>
      <c r="P35" s="512"/>
    </row>
    <row r="36" spans="1:16" s="2" customFormat="1" ht="12.75" customHeight="1" x14ac:dyDescent="0.2">
      <c r="B36" s="91"/>
    </row>
    <row r="37" spans="1:16" s="2" customFormat="1" ht="12.75" customHeight="1" x14ac:dyDescent="0.2">
      <c r="B37" s="91"/>
    </row>
    <row r="38" spans="1:16" s="88" customFormat="1" x14ac:dyDescent="0.2">
      <c r="B38" s="88" t="s">
        <v>36</v>
      </c>
      <c r="L38" s="92" t="s">
        <v>98</v>
      </c>
      <c r="M38" s="92"/>
      <c r="N38" s="92"/>
      <c r="O38" s="92"/>
      <c r="P38" s="92"/>
    </row>
    <row r="39" spans="1:16" s="88" customFormat="1" ht="14.25" customHeight="1" x14ac:dyDescent="0.2">
      <c r="C39" s="36"/>
      <c r="L39" s="36"/>
      <c r="M39" s="513"/>
      <c r="N39" s="513"/>
      <c r="O39" s="92"/>
      <c r="P39" s="92"/>
    </row>
    <row r="40" spans="1:16" s="88" customFormat="1" x14ac:dyDescent="0.2">
      <c r="C40" s="39"/>
      <c r="L40" s="39"/>
      <c r="M40" s="507"/>
      <c r="N40" s="507"/>
      <c r="O40" s="92"/>
      <c r="P40" s="92"/>
    </row>
    <row r="41" spans="1:16" s="88" customFormat="1" collapsed="1" x14ac:dyDescent="0.2">
      <c r="B41" s="89"/>
      <c r="F41" s="89"/>
      <c r="G41" s="89"/>
    </row>
  </sheetData>
  <mergeCells count="18">
    <mergeCell ref="M39:N39"/>
    <mergeCell ref="M40:N40"/>
    <mergeCell ref="F11:K11"/>
    <mergeCell ref="L11:P11"/>
    <mergeCell ref="C30:K30"/>
    <mergeCell ref="C31:K31"/>
    <mergeCell ref="A34:P34"/>
    <mergeCell ref="A35:P35"/>
    <mergeCell ref="A11:A12"/>
    <mergeCell ref="B11:B12"/>
    <mergeCell ref="C11:C12"/>
    <mergeCell ref="D11:D12"/>
    <mergeCell ref="E11:E12"/>
    <mergeCell ref="A2:P2"/>
    <mergeCell ref="D3:P3"/>
    <mergeCell ref="D4:P4"/>
    <mergeCell ref="D5:P5"/>
    <mergeCell ref="L9:O9"/>
  </mergeCells>
  <printOptions horizontalCentered="1"/>
  <pageMargins left="0.27559055118110237" right="0.27559055118110237" top="0.74803149606299213" bottom="0.74803149606299213" header="0.31496062992125984" footer="0.31496062992125984"/>
  <pageSetup paperSize="9" scale="72"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50"/>
  <sheetViews>
    <sheetView showZeros="0" view="pageBreakPreview" zoomScale="80" zoomScaleNormal="100" zoomScaleSheetLayoutView="80" workbookViewId="0">
      <selection activeCell="B13" sqref="B13:F13"/>
    </sheetView>
  </sheetViews>
  <sheetFormatPr defaultRowHeight="14.25" x14ac:dyDescent="0.2"/>
  <cols>
    <col min="1" max="1" width="9" style="49" customWidth="1"/>
    <col min="2" max="2" width="10.5703125" style="49" customWidth="1"/>
    <col min="3" max="3" width="40.28515625" style="49" customWidth="1"/>
    <col min="4" max="4" width="8.140625" style="49" customWidth="1"/>
    <col min="5" max="8" width="9.140625" style="49"/>
    <col min="9" max="9" width="9.140625" style="61"/>
    <col min="10" max="11" width="9.140625" style="49"/>
    <col min="12" max="12" width="13.42578125" style="49" customWidth="1"/>
    <col min="13" max="13" width="12.28515625" style="49" customWidth="1"/>
    <col min="14" max="14" width="12.7109375" style="49" customWidth="1"/>
    <col min="15" max="15" width="13" style="49" customWidth="1"/>
    <col min="16" max="16" width="12.85546875" style="49" customWidth="1"/>
    <col min="17" max="16384" width="9.140625" style="49"/>
  </cols>
  <sheetData>
    <row r="1" spans="1:16" s="41" customFormat="1" ht="15" x14ac:dyDescent="0.25">
      <c r="E1" s="43"/>
      <c r="F1" s="43"/>
      <c r="G1" s="95" t="s">
        <v>37</v>
      </c>
      <c r="H1" s="46" t="str">
        <f>kops1!$B$23</f>
        <v>1,3</v>
      </c>
      <c r="I1" s="42"/>
    </row>
    <row r="2" spans="1:16" s="41" customFormat="1" ht="15" x14ac:dyDescent="0.25">
      <c r="A2" s="504" t="str">
        <f>C13</f>
        <v>Zemes darbi</v>
      </c>
      <c r="B2" s="504"/>
      <c r="C2" s="504"/>
      <c r="D2" s="504"/>
      <c r="E2" s="504"/>
      <c r="F2" s="504"/>
      <c r="G2" s="504"/>
      <c r="H2" s="504"/>
      <c r="I2" s="504"/>
      <c r="J2" s="504"/>
      <c r="K2" s="504"/>
      <c r="L2" s="504"/>
      <c r="M2" s="504"/>
      <c r="N2" s="504"/>
      <c r="O2" s="504"/>
      <c r="P2" s="504"/>
    </row>
    <row r="3" spans="1:16" ht="15" x14ac:dyDescent="0.2">
      <c r="A3" s="47"/>
      <c r="B3" s="47"/>
      <c r="C3" s="47" t="s">
        <v>38</v>
      </c>
      <c r="D3" s="505" t="s">
        <v>94</v>
      </c>
      <c r="E3" s="505"/>
      <c r="F3" s="505"/>
      <c r="G3" s="505"/>
      <c r="H3" s="505"/>
      <c r="I3" s="505"/>
      <c r="J3" s="505"/>
      <c r="K3" s="505"/>
      <c r="L3" s="505"/>
      <c r="M3" s="505"/>
      <c r="N3" s="505"/>
      <c r="O3" s="505"/>
      <c r="P3" s="505"/>
    </row>
    <row r="4" spans="1:16" ht="15" x14ac:dyDescent="0.2">
      <c r="A4" s="47"/>
      <c r="B4" s="47"/>
      <c r="C4" s="47" t="s">
        <v>39</v>
      </c>
      <c r="D4" s="505" t="s">
        <v>95</v>
      </c>
      <c r="E4" s="505"/>
      <c r="F4" s="505"/>
      <c r="G4" s="505"/>
      <c r="H4" s="505"/>
      <c r="I4" s="505"/>
      <c r="J4" s="505"/>
      <c r="K4" s="505"/>
      <c r="L4" s="505"/>
      <c r="M4" s="505"/>
      <c r="N4" s="505"/>
      <c r="O4" s="505"/>
      <c r="P4" s="505"/>
    </row>
    <row r="5" spans="1:16" ht="15" x14ac:dyDescent="0.2">
      <c r="A5" s="47"/>
      <c r="B5" s="47"/>
      <c r="C5" s="47" t="s">
        <v>40</v>
      </c>
      <c r="D5" s="505" t="s">
        <v>96</v>
      </c>
      <c r="E5" s="505"/>
      <c r="F5" s="505"/>
      <c r="G5" s="505"/>
      <c r="H5" s="505"/>
      <c r="I5" s="505"/>
      <c r="J5" s="505"/>
      <c r="K5" s="505"/>
      <c r="L5" s="505"/>
      <c r="M5" s="505"/>
      <c r="N5" s="505"/>
      <c r="O5" s="505"/>
      <c r="P5" s="505"/>
    </row>
    <row r="6" spans="1:16" x14ac:dyDescent="0.2">
      <c r="A6" s="47"/>
      <c r="B6" s="47"/>
      <c r="C6" s="47" t="s">
        <v>100</v>
      </c>
      <c r="D6" s="50" t="s">
        <v>97</v>
      </c>
      <c r="E6" s="51"/>
      <c r="F6" s="51"/>
      <c r="G6" s="51"/>
      <c r="H6" s="51"/>
      <c r="I6" s="52"/>
      <c r="J6" s="51"/>
      <c r="K6" s="51"/>
      <c r="L6" s="51"/>
      <c r="M6" s="51"/>
      <c r="N6" s="51"/>
      <c r="O6" s="51"/>
      <c r="P6" s="53"/>
    </row>
    <row r="7" spans="1:16" x14ac:dyDescent="0.2">
      <c r="A7" s="8" t="s">
        <v>745</v>
      </c>
      <c r="B7" s="96"/>
      <c r="D7" s="50"/>
      <c r="E7" s="50"/>
      <c r="F7" s="50"/>
      <c r="G7" s="50"/>
      <c r="H7" s="50"/>
      <c r="I7" s="55"/>
      <c r="J7" s="50"/>
      <c r="K7" s="51"/>
      <c r="L7" s="51"/>
      <c r="M7" s="51"/>
      <c r="N7" s="51"/>
      <c r="O7" s="47" t="s">
        <v>41</v>
      </c>
      <c r="P7" s="56">
        <f>P40</f>
        <v>0</v>
      </c>
    </row>
    <row r="8" spans="1:16" x14ac:dyDescent="0.2">
      <c r="A8" s="57"/>
      <c r="B8" s="57"/>
      <c r="D8" s="58"/>
      <c r="E8" s="51"/>
      <c r="F8" s="51"/>
      <c r="G8" s="51"/>
      <c r="H8" s="51"/>
      <c r="I8" s="52"/>
      <c r="J8" s="51"/>
      <c r="K8" s="51"/>
      <c r="N8" s="51"/>
      <c r="O8" s="51"/>
      <c r="P8" s="53"/>
    </row>
    <row r="9" spans="1:16" ht="15" customHeight="1" x14ac:dyDescent="0.2">
      <c r="A9" s="59"/>
      <c r="B9" s="59"/>
      <c r="J9" s="62"/>
      <c r="K9" s="62"/>
      <c r="L9" s="506" t="s">
        <v>736</v>
      </c>
      <c r="M9" s="506"/>
      <c r="N9" s="506"/>
      <c r="O9" s="506"/>
      <c r="P9" s="62"/>
    </row>
    <row r="10" spans="1:16" ht="15" x14ac:dyDescent="0.2">
      <c r="A10" s="59"/>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v>0</v>
      </c>
      <c r="C13" s="458" t="str">
        <f>kops1!C23</f>
        <v>Zemes darbi</v>
      </c>
      <c r="D13" s="459"/>
      <c r="E13" s="459"/>
      <c r="F13" s="461">
        <v>0</v>
      </c>
      <c r="G13" s="70">
        <v>0</v>
      </c>
      <c r="H13" s="69">
        <v>0</v>
      </c>
      <c r="I13" s="70">
        <v>0</v>
      </c>
      <c r="J13" s="70">
        <v>0</v>
      </c>
      <c r="K13" s="70">
        <f t="shared" ref="K13" si="0">SUM(H13:J13)</f>
        <v>0</v>
      </c>
      <c r="L13" s="71">
        <f t="shared" ref="L13" si="1">ROUND(F13*E13,2)</f>
        <v>0</v>
      </c>
      <c r="M13" s="70">
        <f t="shared" ref="M13" si="2">ROUND(H13*E13,2)</f>
        <v>0</v>
      </c>
      <c r="N13" s="70">
        <f t="shared" ref="N13" si="3">ROUND(I13*E13,2)</f>
        <v>0</v>
      </c>
      <c r="O13" s="70">
        <f t="shared" ref="O13" si="4">ROUND(J13*E13,2)</f>
        <v>0</v>
      </c>
      <c r="P13" s="72">
        <f t="shared" ref="P13" si="5">SUM(M13:O13)</f>
        <v>0</v>
      </c>
    </row>
    <row r="14" spans="1:16" s="61" customFormat="1" ht="31.5" x14ac:dyDescent="0.2">
      <c r="A14" s="143"/>
      <c r="B14" s="144"/>
      <c r="C14" s="145" t="s">
        <v>112</v>
      </c>
      <c r="D14" s="146"/>
      <c r="E14" s="147"/>
      <c r="F14" s="148">
        <f t="shared" ref="F14" si="6">IFERROR(ROUND(H14/G14,2),0)</f>
        <v>0</v>
      </c>
      <c r="G14" s="148">
        <f t="shared" ref="G14" si="7">IF(H14&gt;0,5,0)</f>
        <v>0</v>
      </c>
      <c r="H14" s="149"/>
      <c r="I14" s="149"/>
      <c r="J14" s="149"/>
      <c r="K14" s="75">
        <f>SUM(H14:J14)</f>
        <v>0</v>
      </c>
      <c r="L14" s="76">
        <f>ROUND(F14*E14,2)</f>
        <v>0</v>
      </c>
      <c r="M14" s="75">
        <f>ROUND(H14*E14,2)</f>
        <v>0</v>
      </c>
      <c r="N14" s="75">
        <f>ROUND(I14*E14,2)</f>
        <v>0</v>
      </c>
      <c r="O14" s="75">
        <f>ROUND(J14*E14,2)</f>
        <v>0</v>
      </c>
      <c r="P14" s="77">
        <f>SUM(M14:O14)</f>
        <v>0</v>
      </c>
    </row>
    <row r="15" spans="1:16" s="61" customFormat="1" x14ac:dyDescent="0.2">
      <c r="A15" s="150"/>
      <c r="B15" s="151"/>
      <c r="C15" s="152" t="s">
        <v>20</v>
      </c>
      <c r="D15" s="152"/>
      <c r="E15" s="153"/>
      <c r="F15" s="153"/>
      <c r="G15" s="153"/>
      <c r="H15" s="154"/>
      <c r="I15" s="154"/>
      <c r="J15" s="154"/>
      <c r="K15" s="75">
        <f t="shared" ref="K15:K36" si="8">SUM(H15:J15)</f>
        <v>0</v>
      </c>
      <c r="L15" s="76">
        <f t="shared" ref="L15:L36" si="9">ROUND(F15*E15,2)</f>
        <v>0</v>
      </c>
      <c r="M15" s="75">
        <f t="shared" ref="M15:M36" si="10">ROUND(H15*E15,2)</f>
        <v>0</v>
      </c>
      <c r="N15" s="75">
        <f t="shared" ref="N15:N36" si="11">ROUND(I15*E15,2)</f>
        <v>0</v>
      </c>
      <c r="O15" s="75">
        <f t="shared" ref="O15:O36" si="12">ROUND(J15*E15,2)</f>
        <v>0</v>
      </c>
      <c r="P15" s="77">
        <f t="shared" ref="P15:P36" si="13">SUM(M15:O15)</f>
        <v>0</v>
      </c>
    </row>
    <row r="16" spans="1:16" s="61" customFormat="1" ht="25.5" x14ac:dyDescent="0.2">
      <c r="A16" s="155">
        <v>1</v>
      </c>
      <c r="B16" s="156" t="s">
        <v>113</v>
      </c>
      <c r="C16" s="157" t="s">
        <v>114</v>
      </c>
      <c r="D16" s="158" t="s">
        <v>115</v>
      </c>
      <c r="E16" s="159">
        <v>326</v>
      </c>
      <c r="F16" s="160"/>
      <c r="G16" s="159"/>
      <c r="H16" s="161"/>
      <c r="I16" s="161"/>
      <c r="J16" s="162"/>
      <c r="K16" s="75">
        <f t="shared" si="8"/>
        <v>0</v>
      </c>
      <c r="L16" s="76">
        <f t="shared" si="9"/>
        <v>0</v>
      </c>
      <c r="M16" s="75">
        <f t="shared" si="10"/>
        <v>0</v>
      </c>
      <c r="N16" s="75">
        <f t="shared" si="11"/>
        <v>0</v>
      </c>
      <c r="O16" s="75">
        <f t="shared" si="12"/>
        <v>0</v>
      </c>
      <c r="P16" s="77">
        <f t="shared" si="13"/>
        <v>0</v>
      </c>
    </row>
    <row r="17" spans="1:16" s="61" customFormat="1" x14ac:dyDescent="0.2">
      <c r="A17" s="155">
        <v>2</v>
      </c>
      <c r="B17" s="156" t="s">
        <v>113</v>
      </c>
      <c r="C17" s="157" t="s">
        <v>116</v>
      </c>
      <c r="D17" s="158" t="s">
        <v>115</v>
      </c>
      <c r="E17" s="159">
        <v>265</v>
      </c>
      <c r="F17" s="163"/>
      <c r="G17" s="159"/>
      <c r="H17" s="161"/>
      <c r="I17" s="161"/>
      <c r="J17" s="162"/>
      <c r="K17" s="75">
        <f t="shared" si="8"/>
        <v>0</v>
      </c>
      <c r="L17" s="76">
        <f t="shared" si="9"/>
        <v>0</v>
      </c>
      <c r="M17" s="75">
        <f t="shared" si="10"/>
        <v>0</v>
      </c>
      <c r="N17" s="75">
        <f t="shared" si="11"/>
        <v>0</v>
      </c>
      <c r="O17" s="75">
        <f t="shared" si="12"/>
        <v>0</v>
      </c>
      <c r="P17" s="77">
        <f t="shared" si="13"/>
        <v>0</v>
      </c>
    </row>
    <row r="18" spans="1:16" s="61" customFormat="1" ht="25.5" x14ac:dyDescent="0.2">
      <c r="A18" s="155">
        <v>3</v>
      </c>
      <c r="B18" s="156" t="s">
        <v>113</v>
      </c>
      <c r="C18" s="157" t="s">
        <v>117</v>
      </c>
      <c r="D18" s="158" t="s">
        <v>115</v>
      </c>
      <c r="E18" s="164">
        <v>386</v>
      </c>
      <c r="F18" s="160"/>
      <c r="G18" s="159"/>
      <c r="H18" s="161"/>
      <c r="I18" s="161"/>
      <c r="J18" s="162"/>
      <c r="K18" s="75">
        <f t="shared" si="8"/>
        <v>0</v>
      </c>
      <c r="L18" s="76">
        <f t="shared" si="9"/>
        <v>0</v>
      </c>
      <c r="M18" s="75">
        <f t="shared" si="10"/>
        <v>0</v>
      </c>
      <c r="N18" s="75">
        <f t="shared" si="11"/>
        <v>0</v>
      </c>
      <c r="O18" s="75">
        <f t="shared" si="12"/>
        <v>0</v>
      </c>
      <c r="P18" s="77">
        <f t="shared" si="13"/>
        <v>0</v>
      </c>
    </row>
    <row r="19" spans="1:16" s="61" customFormat="1" ht="25.5" x14ac:dyDescent="0.2">
      <c r="A19" s="155">
        <v>4</v>
      </c>
      <c r="B19" s="156" t="s">
        <v>113</v>
      </c>
      <c r="C19" s="165" t="s">
        <v>118</v>
      </c>
      <c r="D19" s="158" t="s">
        <v>115</v>
      </c>
      <c r="E19" s="164">
        <v>30</v>
      </c>
      <c r="F19" s="160"/>
      <c r="G19" s="159"/>
      <c r="H19" s="161"/>
      <c r="I19" s="161"/>
      <c r="J19" s="162"/>
      <c r="K19" s="75">
        <f t="shared" si="8"/>
        <v>0</v>
      </c>
      <c r="L19" s="76">
        <f t="shared" si="9"/>
        <v>0</v>
      </c>
      <c r="M19" s="75">
        <f t="shared" si="10"/>
        <v>0</v>
      </c>
      <c r="N19" s="75">
        <f t="shared" si="11"/>
        <v>0</v>
      </c>
      <c r="O19" s="75">
        <f t="shared" si="12"/>
        <v>0</v>
      </c>
      <c r="P19" s="77">
        <f t="shared" si="13"/>
        <v>0</v>
      </c>
    </row>
    <row r="20" spans="1:16" s="61" customFormat="1" x14ac:dyDescent="0.2">
      <c r="A20" s="155">
        <v>5</v>
      </c>
      <c r="B20" s="156" t="s">
        <v>113</v>
      </c>
      <c r="C20" s="165" t="s">
        <v>119</v>
      </c>
      <c r="D20" s="158" t="s">
        <v>115</v>
      </c>
      <c r="E20" s="159">
        <v>466</v>
      </c>
      <c r="F20" s="160"/>
      <c r="G20" s="159"/>
      <c r="H20" s="161"/>
      <c r="I20" s="161"/>
      <c r="J20" s="162"/>
      <c r="K20" s="75">
        <f t="shared" si="8"/>
        <v>0</v>
      </c>
      <c r="L20" s="76">
        <f t="shared" si="9"/>
        <v>0</v>
      </c>
      <c r="M20" s="75">
        <f t="shared" si="10"/>
        <v>0</v>
      </c>
      <c r="N20" s="75">
        <f t="shared" si="11"/>
        <v>0</v>
      </c>
      <c r="O20" s="75">
        <f t="shared" si="12"/>
        <v>0</v>
      </c>
      <c r="P20" s="77">
        <f t="shared" si="13"/>
        <v>0</v>
      </c>
    </row>
    <row r="21" spans="1:16" s="61" customFormat="1" x14ac:dyDescent="0.2">
      <c r="A21" s="155">
        <v>6</v>
      </c>
      <c r="B21" s="156" t="s">
        <v>113</v>
      </c>
      <c r="C21" s="166" t="s">
        <v>120</v>
      </c>
      <c r="D21" s="158" t="s">
        <v>121</v>
      </c>
      <c r="E21" s="164">
        <v>20</v>
      </c>
      <c r="F21" s="164"/>
      <c r="G21" s="164"/>
      <c r="H21" s="167"/>
      <c r="I21" s="167"/>
      <c r="J21" s="167"/>
      <c r="K21" s="75">
        <f t="shared" si="8"/>
        <v>0</v>
      </c>
      <c r="L21" s="76">
        <f t="shared" si="9"/>
        <v>0</v>
      </c>
      <c r="M21" s="75">
        <f t="shared" si="10"/>
        <v>0</v>
      </c>
      <c r="N21" s="75">
        <f t="shared" si="11"/>
        <v>0</v>
      </c>
      <c r="O21" s="75">
        <f t="shared" si="12"/>
        <v>0</v>
      </c>
      <c r="P21" s="77">
        <f t="shared" si="13"/>
        <v>0</v>
      </c>
    </row>
    <row r="22" spans="1:16" s="61" customFormat="1" x14ac:dyDescent="0.2">
      <c r="A22" s="155">
        <v>7</v>
      </c>
      <c r="B22" s="156" t="s">
        <v>113</v>
      </c>
      <c r="C22" s="166" t="s">
        <v>122</v>
      </c>
      <c r="D22" s="158" t="s">
        <v>78</v>
      </c>
      <c r="E22" s="309">
        <v>10</v>
      </c>
      <c r="F22" s="160"/>
      <c r="G22" s="159"/>
      <c r="H22" s="161"/>
      <c r="I22" s="161"/>
      <c r="J22" s="162"/>
      <c r="K22" s="75">
        <f t="shared" si="8"/>
        <v>0</v>
      </c>
      <c r="L22" s="76">
        <f t="shared" si="9"/>
        <v>0</v>
      </c>
      <c r="M22" s="75">
        <f t="shared" si="10"/>
        <v>0</v>
      </c>
      <c r="N22" s="75">
        <f t="shared" si="11"/>
        <v>0</v>
      </c>
      <c r="O22" s="75">
        <f t="shared" si="12"/>
        <v>0</v>
      </c>
      <c r="P22" s="77">
        <f t="shared" si="13"/>
        <v>0</v>
      </c>
    </row>
    <row r="23" spans="1:16" s="61" customFormat="1" ht="31.5" x14ac:dyDescent="0.2">
      <c r="A23" s="143">
        <v>0</v>
      </c>
      <c r="B23" s="144"/>
      <c r="C23" s="168" t="s">
        <v>123</v>
      </c>
      <c r="D23" s="146"/>
      <c r="E23" s="332"/>
      <c r="F23" s="148"/>
      <c r="G23" s="148"/>
      <c r="H23" s="149"/>
      <c r="I23" s="149"/>
      <c r="J23" s="149"/>
      <c r="K23" s="75">
        <f t="shared" si="8"/>
        <v>0</v>
      </c>
      <c r="L23" s="76">
        <f t="shared" si="9"/>
        <v>0</v>
      </c>
      <c r="M23" s="75">
        <f t="shared" si="10"/>
        <v>0</v>
      </c>
      <c r="N23" s="75">
        <f t="shared" si="11"/>
        <v>0</v>
      </c>
      <c r="O23" s="75">
        <f t="shared" si="12"/>
        <v>0</v>
      </c>
      <c r="P23" s="77">
        <f t="shared" si="13"/>
        <v>0</v>
      </c>
    </row>
    <row r="24" spans="1:16" s="61" customFormat="1" x14ac:dyDescent="0.2">
      <c r="A24" s="150">
        <v>0</v>
      </c>
      <c r="B24" s="151"/>
      <c r="C24" s="152" t="s">
        <v>20</v>
      </c>
      <c r="D24" s="152"/>
      <c r="E24" s="353"/>
      <c r="F24" s="153"/>
      <c r="G24" s="153"/>
      <c r="H24" s="154"/>
      <c r="I24" s="154"/>
      <c r="J24" s="154"/>
      <c r="K24" s="75">
        <f t="shared" si="8"/>
        <v>0</v>
      </c>
      <c r="L24" s="76">
        <f t="shared" si="9"/>
        <v>0</v>
      </c>
      <c r="M24" s="75">
        <f t="shared" si="10"/>
        <v>0</v>
      </c>
      <c r="N24" s="75">
        <f t="shared" si="11"/>
        <v>0</v>
      </c>
      <c r="O24" s="75">
        <f t="shared" si="12"/>
        <v>0</v>
      </c>
      <c r="P24" s="77">
        <f t="shared" si="13"/>
        <v>0</v>
      </c>
    </row>
    <row r="25" spans="1:16" s="61" customFormat="1" ht="25.5" x14ac:dyDescent="0.2">
      <c r="A25" s="155">
        <v>8</v>
      </c>
      <c r="B25" s="156" t="s">
        <v>113</v>
      </c>
      <c r="C25" s="157" t="s">
        <v>114</v>
      </c>
      <c r="D25" s="158" t="s">
        <v>115</v>
      </c>
      <c r="E25" s="309">
        <v>1830</v>
      </c>
      <c r="F25" s="160"/>
      <c r="G25" s="159"/>
      <c r="H25" s="161"/>
      <c r="I25" s="161"/>
      <c r="J25" s="162"/>
      <c r="K25" s="75">
        <f t="shared" si="8"/>
        <v>0</v>
      </c>
      <c r="L25" s="76">
        <f t="shared" si="9"/>
        <v>0</v>
      </c>
      <c r="M25" s="75">
        <f t="shared" si="10"/>
        <v>0</v>
      </c>
      <c r="N25" s="75">
        <f t="shared" si="11"/>
        <v>0</v>
      </c>
      <c r="O25" s="75">
        <f t="shared" si="12"/>
        <v>0</v>
      </c>
      <c r="P25" s="77">
        <f t="shared" si="13"/>
        <v>0</v>
      </c>
    </row>
    <row r="26" spans="1:16" s="61" customFormat="1" x14ac:dyDescent="0.2">
      <c r="A26" s="155">
        <v>9</v>
      </c>
      <c r="B26" s="156" t="s">
        <v>113</v>
      </c>
      <c r="C26" s="157" t="s">
        <v>116</v>
      </c>
      <c r="D26" s="158" t="s">
        <v>115</v>
      </c>
      <c r="E26" s="309">
        <v>322</v>
      </c>
      <c r="F26" s="163"/>
      <c r="G26" s="159"/>
      <c r="H26" s="161"/>
      <c r="I26" s="161"/>
      <c r="J26" s="162"/>
      <c r="K26" s="75">
        <f t="shared" si="8"/>
        <v>0</v>
      </c>
      <c r="L26" s="76">
        <f t="shared" si="9"/>
        <v>0</v>
      </c>
      <c r="M26" s="75">
        <f t="shared" si="10"/>
        <v>0</v>
      </c>
      <c r="N26" s="75">
        <f t="shared" si="11"/>
        <v>0</v>
      </c>
      <c r="O26" s="75">
        <f t="shared" si="12"/>
        <v>0</v>
      </c>
      <c r="P26" s="77">
        <f t="shared" si="13"/>
        <v>0</v>
      </c>
    </row>
    <row r="27" spans="1:16" s="61" customFormat="1" ht="25.5" x14ac:dyDescent="0.2">
      <c r="A27" s="155">
        <v>10</v>
      </c>
      <c r="B27" s="156" t="s">
        <v>113</v>
      </c>
      <c r="C27" s="157" t="s">
        <v>117</v>
      </c>
      <c r="D27" s="158" t="s">
        <v>115</v>
      </c>
      <c r="E27" s="309">
        <v>1952</v>
      </c>
      <c r="F27" s="160"/>
      <c r="G27" s="159"/>
      <c r="H27" s="161"/>
      <c r="I27" s="161"/>
      <c r="J27" s="162"/>
      <c r="K27" s="75">
        <f t="shared" si="8"/>
        <v>0</v>
      </c>
      <c r="L27" s="76">
        <f t="shared" si="9"/>
        <v>0</v>
      </c>
      <c r="M27" s="75">
        <f t="shared" si="10"/>
        <v>0</v>
      </c>
      <c r="N27" s="75">
        <f t="shared" si="11"/>
        <v>0</v>
      </c>
      <c r="O27" s="75">
        <f t="shared" si="12"/>
        <v>0</v>
      </c>
      <c r="P27" s="77">
        <f t="shared" si="13"/>
        <v>0</v>
      </c>
    </row>
    <row r="28" spans="1:16" s="61" customFormat="1" ht="25.5" x14ac:dyDescent="0.2">
      <c r="A28" s="155">
        <v>11</v>
      </c>
      <c r="B28" s="156" t="s">
        <v>113</v>
      </c>
      <c r="C28" s="165" t="s">
        <v>118</v>
      </c>
      <c r="D28" s="158" t="s">
        <v>115</v>
      </c>
      <c r="E28" s="309">
        <v>140</v>
      </c>
      <c r="F28" s="160"/>
      <c r="G28" s="159"/>
      <c r="H28" s="161"/>
      <c r="I28" s="161"/>
      <c r="J28" s="162"/>
      <c r="K28" s="75">
        <f t="shared" si="8"/>
        <v>0</v>
      </c>
      <c r="L28" s="76">
        <f t="shared" si="9"/>
        <v>0</v>
      </c>
      <c r="M28" s="75">
        <f t="shared" si="10"/>
        <v>0</v>
      </c>
      <c r="N28" s="75">
        <f t="shared" si="11"/>
        <v>0</v>
      </c>
      <c r="O28" s="75">
        <f t="shared" si="12"/>
        <v>0</v>
      </c>
      <c r="P28" s="77">
        <f t="shared" si="13"/>
        <v>0</v>
      </c>
    </row>
    <row r="29" spans="1:16" s="61" customFormat="1" x14ac:dyDescent="0.2">
      <c r="A29" s="155">
        <v>12</v>
      </c>
      <c r="B29" s="156" t="s">
        <v>113</v>
      </c>
      <c r="C29" s="165" t="s">
        <v>119</v>
      </c>
      <c r="D29" s="158" t="s">
        <v>115</v>
      </c>
      <c r="E29" s="309">
        <v>2152</v>
      </c>
      <c r="F29" s="160"/>
      <c r="G29" s="159"/>
      <c r="H29" s="161"/>
      <c r="I29" s="161"/>
      <c r="J29" s="162"/>
      <c r="K29" s="75">
        <f t="shared" si="8"/>
        <v>0</v>
      </c>
      <c r="L29" s="76">
        <f t="shared" si="9"/>
        <v>0</v>
      </c>
      <c r="M29" s="75">
        <f t="shared" si="10"/>
        <v>0</v>
      </c>
      <c r="N29" s="75">
        <f t="shared" si="11"/>
        <v>0</v>
      </c>
      <c r="O29" s="75">
        <f t="shared" si="12"/>
        <v>0</v>
      </c>
      <c r="P29" s="77">
        <f t="shared" si="13"/>
        <v>0</v>
      </c>
    </row>
    <row r="30" spans="1:16" s="61" customFormat="1" x14ac:dyDescent="0.2">
      <c r="A30" s="155">
        <v>13</v>
      </c>
      <c r="B30" s="156" t="s">
        <v>113</v>
      </c>
      <c r="C30" s="166" t="s">
        <v>120</v>
      </c>
      <c r="D30" s="158" t="s">
        <v>121</v>
      </c>
      <c r="E30" s="309">
        <v>30</v>
      </c>
      <c r="F30" s="164"/>
      <c r="G30" s="164"/>
      <c r="H30" s="167"/>
      <c r="I30" s="167"/>
      <c r="J30" s="167"/>
      <c r="K30" s="75">
        <f t="shared" si="8"/>
        <v>0</v>
      </c>
      <c r="L30" s="76">
        <f t="shared" si="9"/>
        <v>0</v>
      </c>
      <c r="M30" s="75">
        <f t="shared" si="10"/>
        <v>0</v>
      </c>
      <c r="N30" s="75">
        <f t="shared" si="11"/>
        <v>0</v>
      </c>
      <c r="O30" s="75">
        <f t="shared" si="12"/>
        <v>0</v>
      </c>
      <c r="P30" s="77">
        <f t="shared" si="13"/>
        <v>0</v>
      </c>
    </row>
    <row r="31" spans="1:16" s="61" customFormat="1" x14ac:dyDescent="0.2">
      <c r="A31" s="155">
        <v>14</v>
      </c>
      <c r="B31" s="156" t="s">
        <v>113</v>
      </c>
      <c r="C31" s="166" t="s">
        <v>122</v>
      </c>
      <c r="D31" s="158" t="s">
        <v>78</v>
      </c>
      <c r="E31" s="309">
        <v>10</v>
      </c>
      <c r="F31" s="160"/>
      <c r="G31" s="159"/>
      <c r="H31" s="161"/>
      <c r="I31" s="161"/>
      <c r="J31" s="162"/>
      <c r="K31" s="75">
        <f t="shared" si="8"/>
        <v>0</v>
      </c>
      <c r="L31" s="76">
        <f t="shared" si="9"/>
        <v>0</v>
      </c>
      <c r="M31" s="75">
        <f t="shared" si="10"/>
        <v>0</v>
      </c>
      <c r="N31" s="75">
        <f t="shared" si="11"/>
        <v>0</v>
      </c>
      <c r="O31" s="75">
        <f t="shared" si="12"/>
        <v>0</v>
      </c>
      <c r="P31" s="77">
        <f t="shared" si="13"/>
        <v>0</v>
      </c>
    </row>
    <row r="32" spans="1:16" s="61" customFormat="1" ht="31.5" x14ac:dyDescent="0.2">
      <c r="A32" s="143">
        <v>0</v>
      </c>
      <c r="B32" s="144"/>
      <c r="C32" s="169" t="s">
        <v>124</v>
      </c>
      <c r="D32" s="146"/>
      <c r="E32" s="332"/>
      <c r="F32" s="148"/>
      <c r="G32" s="148"/>
      <c r="H32" s="149"/>
      <c r="I32" s="149"/>
      <c r="J32" s="149"/>
      <c r="K32" s="75">
        <f t="shared" si="8"/>
        <v>0</v>
      </c>
      <c r="L32" s="76">
        <f t="shared" si="9"/>
        <v>0</v>
      </c>
      <c r="M32" s="75">
        <f t="shared" si="10"/>
        <v>0</v>
      </c>
      <c r="N32" s="75">
        <f t="shared" si="11"/>
        <v>0</v>
      </c>
      <c r="O32" s="75">
        <f t="shared" si="12"/>
        <v>0</v>
      </c>
      <c r="P32" s="77">
        <f t="shared" si="13"/>
        <v>0</v>
      </c>
    </row>
    <row r="33" spans="1:16" s="61" customFormat="1" x14ac:dyDescent="0.2">
      <c r="A33" s="150">
        <v>0</v>
      </c>
      <c r="B33" s="151"/>
      <c r="C33" s="152" t="s">
        <v>20</v>
      </c>
      <c r="D33" s="152"/>
      <c r="E33" s="153"/>
      <c r="F33" s="153"/>
      <c r="G33" s="153"/>
      <c r="H33" s="154"/>
      <c r="I33" s="154"/>
      <c r="J33" s="154"/>
      <c r="K33" s="75">
        <f t="shared" si="8"/>
        <v>0</v>
      </c>
      <c r="L33" s="76">
        <f t="shared" si="9"/>
        <v>0</v>
      </c>
      <c r="M33" s="75">
        <f t="shared" si="10"/>
        <v>0</v>
      </c>
      <c r="N33" s="75">
        <f t="shared" si="11"/>
        <v>0</v>
      </c>
      <c r="O33" s="75">
        <f t="shared" si="12"/>
        <v>0</v>
      </c>
      <c r="P33" s="77">
        <f t="shared" si="13"/>
        <v>0</v>
      </c>
    </row>
    <row r="34" spans="1:16" s="61" customFormat="1" x14ac:dyDescent="0.2">
      <c r="A34" s="155">
        <v>15</v>
      </c>
      <c r="B34" s="156" t="s">
        <v>113</v>
      </c>
      <c r="C34" s="157" t="s">
        <v>116</v>
      </c>
      <c r="D34" s="158" t="s">
        <v>115</v>
      </c>
      <c r="E34" s="159">
        <v>10</v>
      </c>
      <c r="F34" s="163"/>
      <c r="G34" s="159"/>
      <c r="H34" s="161"/>
      <c r="I34" s="161"/>
      <c r="J34" s="162"/>
      <c r="K34" s="75">
        <f t="shared" si="8"/>
        <v>0</v>
      </c>
      <c r="L34" s="76">
        <f t="shared" si="9"/>
        <v>0</v>
      </c>
      <c r="M34" s="75">
        <f t="shared" si="10"/>
        <v>0</v>
      </c>
      <c r="N34" s="75">
        <f t="shared" si="11"/>
        <v>0</v>
      </c>
      <c r="O34" s="75">
        <f t="shared" si="12"/>
        <v>0</v>
      </c>
      <c r="P34" s="77">
        <f t="shared" si="13"/>
        <v>0</v>
      </c>
    </row>
    <row r="35" spans="1:16" s="61" customFormat="1" ht="25.5" x14ac:dyDescent="0.2">
      <c r="A35" s="155">
        <v>16</v>
      </c>
      <c r="B35" s="156" t="s">
        <v>113</v>
      </c>
      <c r="C35" s="165" t="s">
        <v>118</v>
      </c>
      <c r="D35" s="158" t="s">
        <v>115</v>
      </c>
      <c r="E35" s="164">
        <v>4</v>
      </c>
      <c r="F35" s="160"/>
      <c r="G35" s="159"/>
      <c r="H35" s="161"/>
      <c r="I35" s="161"/>
      <c r="J35" s="162"/>
      <c r="K35" s="75">
        <f t="shared" si="8"/>
        <v>0</v>
      </c>
      <c r="L35" s="76">
        <f t="shared" si="9"/>
        <v>0</v>
      </c>
      <c r="M35" s="75">
        <f t="shared" si="10"/>
        <v>0</v>
      </c>
      <c r="N35" s="75">
        <f t="shared" si="11"/>
        <v>0</v>
      </c>
      <c r="O35" s="75">
        <f t="shared" si="12"/>
        <v>0</v>
      </c>
      <c r="P35" s="77">
        <f t="shared" si="13"/>
        <v>0</v>
      </c>
    </row>
    <row r="36" spans="1:16" s="61" customFormat="1" x14ac:dyDescent="0.2">
      <c r="A36" s="155">
        <v>17</v>
      </c>
      <c r="B36" s="156" t="s">
        <v>113</v>
      </c>
      <c r="C36" s="165" t="s">
        <v>119</v>
      </c>
      <c r="D36" s="158" t="s">
        <v>115</v>
      </c>
      <c r="E36" s="164">
        <v>10</v>
      </c>
      <c r="F36" s="160"/>
      <c r="G36" s="159"/>
      <c r="H36" s="161"/>
      <c r="I36" s="161"/>
      <c r="J36" s="162"/>
      <c r="K36" s="75">
        <f t="shared" si="8"/>
        <v>0</v>
      </c>
      <c r="L36" s="76">
        <f t="shared" si="9"/>
        <v>0</v>
      </c>
      <c r="M36" s="75">
        <f t="shared" si="10"/>
        <v>0</v>
      </c>
      <c r="N36" s="75">
        <f t="shared" si="11"/>
        <v>0</v>
      </c>
      <c r="O36" s="75">
        <f t="shared" si="12"/>
        <v>0</v>
      </c>
      <c r="P36" s="77">
        <f t="shared" si="13"/>
        <v>0</v>
      </c>
    </row>
    <row r="37" spans="1:16" s="61" customFormat="1" x14ac:dyDescent="0.2">
      <c r="A37" s="115"/>
      <c r="B37" s="116"/>
      <c r="C37" s="117"/>
      <c r="D37" s="118"/>
      <c r="E37" s="119"/>
      <c r="F37" s="120"/>
      <c r="G37" s="120"/>
      <c r="H37" s="119"/>
      <c r="I37" s="119"/>
      <c r="J37" s="119"/>
      <c r="K37" s="119"/>
      <c r="L37" s="120"/>
      <c r="M37" s="119"/>
      <c r="N37" s="119"/>
      <c r="O37" s="119"/>
      <c r="P37" s="121"/>
    </row>
    <row r="38" spans="1:16" ht="15" x14ac:dyDescent="0.2">
      <c r="A38" s="105"/>
      <c r="B38" s="105"/>
      <c r="C38" s="106"/>
      <c r="D38" s="107"/>
      <c r="E38" s="106"/>
      <c r="F38" s="106"/>
      <c r="G38" s="106"/>
      <c r="H38" s="106"/>
      <c r="I38" s="108"/>
      <c r="J38" s="106"/>
      <c r="K38" s="106" t="s">
        <v>30</v>
      </c>
      <c r="L38" s="109">
        <f>SUM(L13:L37)</f>
        <v>0</v>
      </c>
      <c r="M38" s="109">
        <f>SUM(M13:M37)</f>
        <v>0</v>
      </c>
      <c r="N38" s="109">
        <f>SUM(N13:N37)</f>
        <v>0</v>
      </c>
      <c r="O38" s="109">
        <f>SUM(O13:O37)</f>
        <v>0</v>
      </c>
      <c r="P38" s="109">
        <f>SUM(P13:P37)</f>
        <v>0</v>
      </c>
    </row>
    <row r="39" spans="1:16" ht="15" customHeight="1" x14ac:dyDescent="0.2">
      <c r="A39" s="110"/>
      <c r="B39" s="110"/>
      <c r="C39" s="519" t="s">
        <v>93</v>
      </c>
      <c r="D39" s="520"/>
      <c r="E39" s="520"/>
      <c r="F39" s="520"/>
      <c r="G39" s="520"/>
      <c r="H39" s="520"/>
      <c r="I39" s="520"/>
      <c r="J39" s="520"/>
      <c r="K39" s="520"/>
      <c r="L39" s="111"/>
      <c r="M39" s="112"/>
      <c r="N39" s="112"/>
      <c r="O39" s="112">
        <f>O38*L39</f>
        <v>0</v>
      </c>
      <c r="P39" s="113">
        <f>SUM(N39:O39)</f>
        <v>0</v>
      </c>
    </row>
    <row r="40" spans="1:16" ht="15" customHeight="1" x14ac:dyDescent="0.2">
      <c r="A40" s="85"/>
      <c r="B40" s="85"/>
      <c r="C40" s="509" t="s">
        <v>74</v>
      </c>
      <c r="D40" s="510"/>
      <c r="E40" s="510"/>
      <c r="F40" s="510"/>
      <c r="G40" s="510"/>
      <c r="H40" s="510"/>
      <c r="I40" s="510"/>
      <c r="J40" s="510"/>
      <c r="K40" s="510"/>
      <c r="L40" s="87">
        <f>L38</f>
        <v>0</v>
      </c>
      <c r="M40" s="87">
        <f>SUM(M38:M39)</f>
        <v>0</v>
      </c>
      <c r="N40" s="87">
        <f>SUM(N38:N39)</f>
        <v>0</v>
      </c>
      <c r="O40" s="87">
        <f t="shared" ref="O40" si="14">SUM(O38:O39)</f>
        <v>0</v>
      </c>
      <c r="P40" s="87">
        <f>SUM(P38:P39)</f>
        <v>0</v>
      </c>
    </row>
    <row r="41" spans="1:16" s="88" customFormat="1" collapsed="1" x14ac:dyDescent="0.2">
      <c r="I41" s="89"/>
    </row>
    <row r="42" spans="1:16" s="2" customFormat="1" ht="12.75" customHeight="1" x14ac:dyDescent="0.2">
      <c r="B42" s="90" t="s">
        <v>75</v>
      </c>
    </row>
    <row r="43" spans="1:16" s="2" customFormat="1" ht="45" customHeight="1" x14ac:dyDescent="0.2">
      <c r="A43"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43" s="511"/>
      <c r="C43" s="511"/>
      <c r="D43" s="511"/>
      <c r="E43" s="511"/>
      <c r="F43" s="511"/>
      <c r="G43" s="511"/>
      <c r="H43" s="511"/>
      <c r="I43" s="511"/>
      <c r="J43" s="511"/>
      <c r="K43" s="511"/>
      <c r="L43" s="511"/>
      <c r="M43" s="511"/>
      <c r="N43" s="511"/>
      <c r="O43" s="511"/>
      <c r="P43" s="511"/>
    </row>
    <row r="44" spans="1:16" s="2" customFormat="1" ht="77.25" customHeight="1" x14ac:dyDescent="0.2">
      <c r="A44" s="512"/>
      <c r="B44" s="512"/>
      <c r="C44" s="512"/>
      <c r="D44" s="512"/>
      <c r="E44" s="512"/>
      <c r="F44" s="512"/>
      <c r="G44" s="512"/>
      <c r="H44" s="512"/>
      <c r="I44" s="512"/>
      <c r="J44" s="512"/>
      <c r="K44" s="512"/>
      <c r="L44" s="512"/>
      <c r="M44" s="512"/>
      <c r="N44" s="512"/>
      <c r="O44" s="512"/>
      <c r="P44" s="512"/>
    </row>
    <row r="45" spans="1:16" s="2" customFormat="1" ht="12.75" customHeight="1" x14ac:dyDescent="0.2">
      <c r="B45" s="91"/>
    </row>
    <row r="46" spans="1:16" s="2" customFormat="1" ht="12.75" customHeight="1" x14ac:dyDescent="0.2">
      <c r="B46" s="91"/>
    </row>
    <row r="47" spans="1:16" s="88" customFormat="1" x14ac:dyDescent="0.2">
      <c r="B47" s="88" t="s">
        <v>36</v>
      </c>
      <c r="L47" s="92" t="s">
        <v>98</v>
      </c>
      <c r="M47" s="92"/>
      <c r="N47" s="92"/>
      <c r="O47" s="92"/>
      <c r="P47" s="92"/>
    </row>
    <row r="48" spans="1:16" s="88" customFormat="1" ht="14.25" customHeight="1" x14ac:dyDescent="0.2">
      <c r="C48" s="36"/>
      <c r="L48" s="36"/>
      <c r="M48" s="513"/>
      <c r="N48" s="513"/>
      <c r="O48" s="92"/>
      <c r="P48" s="92"/>
    </row>
    <row r="49" spans="2:16" s="88" customFormat="1" x14ac:dyDescent="0.2">
      <c r="C49" s="39"/>
      <c r="L49" s="39"/>
      <c r="M49" s="507"/>
      <c r="N49" s="507"/>
      <c r="O49" s="92"/>
      <c r="P49" s="92"/>
    </row>
    <row r="50" spans="2:16" s="88" customFormat="1" collapsed="1" x14ac:dyDescent="0.2">
      <c r="B50" s="89"/>
      <c r="F50" s="89"/>
      <c r="G50" s="89"/>
    </row>
  </sheetData>
  <mergeCells count="18">
    <mergeCell ref="M48:N48"/>
    <mergeCell ref="M49:N49"/>
    <mergeCell ref="F11:K11"/>
    <mergeCell ref="L11:P11"/>
    <mergeCell ref="C39:K39"/>
    <mergeCell ref="C40:K40"/>
    <mergeCell ref="A43:P43"/>
    <mergeCell ref="A44:P44"/>
    <mergeCell ref="A11:A12"/>
    <mergeCell ref="B11:B12"/>
    <mergeCell ref="C11:C12"/>
    <mergeCell ref="D11:D12"/>
    <mergeCell ref="E11:E12"/>
    <mergeCell ref="A2:P2"/>
    <mergeCell ref="D3:P3"/>
    <mergeCell ref="D4:P4"/>
    <mergeCell ref="D5:P5"/>
    <mergeCell ref="L9:O9"/>
  </mergeCells>
  <printOptions horizontalCentered="1"/>
  <pageMargins left="0.27559055118110237" right="0.27559055118110237" top="0.74803149606299213" bottom="0.74803149606299213" header="0.31496062992125984" footer="0.31496062992125984"/>
  <pageSetup paperSize="9" scale="7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69"/>
  <sheetViews>
    <sheetView showZeros="0" tabSelected="1" view="pageBreakPreview" topLeftCell="A421" zoomScale="80" zoomScaleNormal="100" zoomScaleSheetLayoutView="80" workbookViewId="0">
      <selection activeCell="J446" sqref="J446"/>
    </sheetView>
  </sheetViews>
  <sheetFormatPr defaultRowHeight="14.25" x14ac:dyDescent="0.2"/>
  <cols>
    <col min="1" max="1" width="9" style="288" customWidth="1"/>
    <col min="2" max="2" width="9.42578125" style="49" customWidth="1"/>
    <col min="3" max="3" width="41.85546875" style="49" customWidth="1"/>
    <col min="4" max="4" width="8.140625" style="49" customWidth="1"/>
    <col min="5" max="11" width="9.140625" style="49"/>
    <col min="12" max="12" width="11.5703125" style="49" customWidth="1"/>
    <col min="13" max="13" width="12.28515625" style="49" customWidth="1"/>
    <col min="14" max="14" width="12.7109375" style="49" customWidth="1"/>
    <col min="15" max="15" width="15.5703125" style="49" customWidth="1"/>
    <col min="16" max="16" width="14.7109375" style="49" customWidth="1"/>
    <col min="17" max="16384" width="9.140625" style="49"/>
  </cols>
  <sheetData>
    <row r="1" spans="1:16" s="41" customFormat="1" ht="15" x14ac:dyDescent="0.25">
      <c r="A1" s="282"/>
      <c r="E1" s="43"/>
      <c r="F1" s="43"/>
      <c r="G1" s="95" t="s">
        <v>37</v>
      </c>
      <c r="H1" s="122" t="str">
        <f>kops1!B24</f>
        <v>1,4</v>
      </c>
    </row>
    <row r="2" spans="1:16" s="41" customFormat="1" ht="15" x14ac:dyDescent="0.25">
      <c r="A2" s="504" t="str">
        <f>C13</f>
        <v>Pamati</v>
      </c>
      <c r="B2" s="504"/>
      <c r="C2" s="504"/>
      <c r="D2" s="504"/>
      <c r="E2" s="504"/>
      <c r="F2" s="504"/>
      <c r="G2" s="504"/>
      <c r="H2" s="504"/>
      <c r="I2" s="504"/>
      <c r="J2" s="504"/>
      <c r="K2" s="504"/>
      <c r="L2" s="504"/>
      <c r="M2" s="504"/>
      <c r="N2" s="504"/>
      <c r="O2" s="504"/>
      <c r="P2" s="504"/>
    </row>
    <row r="3" spans="1:16" ht="15" x14ac:dyDescent="0.2">
      <c r="A3" s="283"/>
      <c r="B3" s="47"/>
      <c r="C3" s="47" t="s">
        <v>38</v>
      </c>
      <c r="D3" s="505" t="s">
        <v>94</v>
      </c>
      <c r="E3" s="505"/>
      <c r="F3" s="505"/>
      <c r="G3" s="505"/>
      <c r="H3" s="505"/>
      <c r="I3" s="505"/>
      <c r="J3" s="505"/>
      <c r="K3" s="505"/>
      <c r="L3" s="505"/>
      <c r="M3" s="505"/>
      <c r="N3" s="505"/>
      <c r="O3" s="505"/>
      <c r="P3" s="505"/>
    </row>
    <row r="4" spans="1:16" ht="15" x14ac:dyDescent="0.2">
      <c r="A4" s="283"/>
      <c r="B4" s="47"/>
      <c r="C4" s="47" t="s">
        <v>39</v>
      </c>
      <c r="D4" s="505" t="s">
        <v>95</v>
      </c>
      <c r="E4" s="505"/>
      <c r="F4" s="505"/>
      <c r="G4" s="505"/>
      <c r="H4" s="505"/>
      <c r="I4" s="505"/>
      <c r="J4" s="505"/>
      <c r="K4" s="505"/>
      <c r="L4" s="505"/>
      <c r="M4" s="505"/>
      <c r="N4" s="505"/>
      <c r="O4" s="505"/>
      <c r="P4" s="505"/>
    </row>
    <row r="5" spans="1:16" ht="15" x14ac:dyDescent="0.2">
      <c r="A5" s="283"/>
      <c r="B5" s="47"/>
      <c r="C5" s="47" t="s">
        <v>40</v>
      </c>
      <c r="D5" s="505" t="s">
        <v>96</v>
      </c>
      <c r="E5" s="505"/>
      <c r="F5" s="505"/>
      <c r="G5" s="505"/>
      <c r="H5" s="505"/>
      <c r="I5" s="505"/>
      <c r="J5" s="505"/>
      <c r="K5" s="505"/>
      <c r="L5" s="505"/>
      <c r="M5" s="505"/>
      <c r="N5" s="505"/>
      <c r="O5" s="505"/>
      <c r="P5" s="505"/>
    </row>
    <row r="6" spans="1:16" x14ac:dyDescent="0.2">
      <c r="A6" s="283"/>
      <c r="B6" s="47"/>
      <c r="C6" s="47" t="s">
        <v>100</v>
      </c>
      <c r="D6" s="50" t="s">
        <v>97</v>
      </c>
      <c r="E6" s="51"/>
      <c r="F6" s="51"/>
      <c r="G6" s="51"/>
      <c r="H6" s="51"/>
      <c r="I6" s="51"/>
      <c r="J6" s="51"/>
      <c r="K6" s="51"/>
      <c r="L6" s="51"/>
      <c r="M6" s="51"/>
      <c r="N6" s="51"/>
      <c r="O6" s="51"/>
      <c r="P6" s="53"/>
    </row>
    <row r="7" spans="1:16" x14ac:dyDescent="0.2">
      <c r="A7" s="94" t="s">
        <v>745</v>
      </c>
      <c r="B7" s="96"/>
      <c r="D7" s="50"/>
      <c r="E7" s="50"/>
      <c r="F7" s="50"/>
      <c r="G7" s="50"/>
      <c r="H7" s="50"/>
      <c r="I7" s="50"/>
      <c r="J7" s="50"/>
      <c r="K7" s="51"/>
      <c r="L7" s="51"/>
      <c r="M7" s="51"/>
      <c r="N7" s="51"/>
      <c r="O7" s="47" t="s">
        <v>41</v>
      </c>
      <c r="P7" s="56">
        <f>P459</f>
        <v>0</v>
      </c>
    </row>
    <row r="8" spans="1:16" x14ac:dyDescent="0.2">
      <c r="A8" s="284"/>
      <c r="B8" s="57"/>
      <c r="D8" s="58"/>
      <c r="E8" s="51"/>
      <c r="F8" s="51"/>
      <c r="G8" s="51"/>
      <c r="H8" s="51"/>
      <c r="I8" s="51"/>
      <c r="J8" s="51"/>
      <c r="K8" s="51"/>
      <c r="N8" s="51"/>
      <c r="O8" s="51"/>
      <c r="P8" s="53"/>
    </row>
    <row r="9" spans="1:16" ht="15" customHeight="1" x14ac:dyDescent="0.2">
      <c r="A9" s="285"/>
      <c r="B9" s="59"/>
      <c r="J9" s="62"/>
      <c r="K9" s="62"/>
      <c r="L9" s="506" t="s">
        <v>736</v>
      </c>
      <c r="M9" s="506"/>
      <c r="N9" s="506"/>
      <c r="O9" s="506"/>
      <c r="P9" s="62"/>
    </row>
    <row r="10" spans="1:16" ht="15" x14ac:dyDescent="0.2">
      <c r="A10" s="285"/>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v>0</v>
      </c>
      <c r="C13" s="525" t="str">
        <f>kops1!C24</f>
        <v>Pamati</v>
      </c>
      <c r="D13" s="459"/>
      <c r="E13" s="459"/>
      <c r="F13" s="71">
        <v>0</v>
      </c>
      <c r="G13" s="70">
        <v>0</v>
      </c>
      <c r="H13" s="69">
        <v>0</v>
      </c>
      <c r="I13" s="70">
        <v>0</v>
      </c>
      <c r="J13" s="70">
        <v>0</v>
      </c>
      <c r="K13" s="70">
        <f t="shared" ref="K13" si="0">SUM(H13:J13)</f>
        <v>0</v>
      </c>
      <c r="L13" s="71">
        <f t="shared" ref="L13" si="1">ROUND(F13*E13,2)</f>
        <v>0</v>
      </c>
      <c r="M13" s="70">
        <f t="shared" ref="M13" si="2">ROUND(H13*E13,2)</f>
        <v>0</v>
      </c>
      <c r="N13" s="70">
        <f t="shared" ref="N13" si="3">ROUND(I13*E13,2)</f>
        <v>0</v>
      </c>
      <c r="O13" s="70">
        <f t="shared" ref="O13" si="4">ROUND(J13*E13,2)</f>
        <v>0</v>
      </c>
      <c r="P13" s="72">
        <f t="shared" ref="P13" si="5">SUM(M13:O13)</f>
        <v>0</v>
      </c>
    </row>
    <row r="14" spans="1:16" s="61" customFormat="1" ht="31.5" x14ac:dyDescent="0.2">
      <c r="A14" s="143">
        <v>0</v>
      </c>
      <c r="B14" s="462"/>
      <c r="C14" s="375" t="s">
        <v>125</v>
      </c>
      <c r="D14" s="463"/>
      <c r="E14" s="147"/>
      <c r="F14" s="148">
        <f t="shared" ref="F14" si="6">IFERROR(ROUND(H14/G14,2),0)</f>
        <v>0</v>
      </c>
      <c r="G14" s="148">
        <f t="shared" ref="G14" si="7">IF(H14&gt;0,5,0)</f>
        <v>0</v>
      </c>
      <c r="H14" s="149"/>
      <c r="I14" s="149"/>
      <c r="J14" s="149"/>
      <c r="K14" s="75">
        <f>SUM(H14:J14)</f>
        <v>0</v>
      </c>
      <c r="L14" s="76">
        <f>ROUND(F14*E14,2)</f>
        <v>0</v>
      </c>
      <c r="M14" s="75">
        <f>ROUND(H14*E14,2)</f>
        <v>0</v>
      </c>
      <c r="N14" s="75">
        <f>ROUND(I14*E14,2)</f>
        <v>0</v>
      </c>
      <c r="O14" s="75">
        <f>ROUND(J14*E14,2)</f>
        <v>0</v>
      </c>
      <c r="P14" s="77">
        <f>SUM(M14:O14)</f>
        <v>0</v>
      </c>
    </row>
    <row r="15" spans="1:16" s="61" customFormat="1" x14ac:dyDescent="0.2">
      <c r="A15" s="155">
        <v>0</v>
      </c>
      <c r="B15" s="281"/>
      <c r="C15" s="170" t="s">
        <v>103</v>
      </c>
      <c r="D15" s="171"/>
      <c r="E15" s="172"/>
      <c r="F15" s="161"/>
      <c r="G15" s="159"/>
      <c r="H15" s="161"/>
      <c r="I15" s="161"/>
      <c r="J15" s="161"/>
      <c r="K15" s="75">
        <f t="shared" ref="K15:K17" si="8">SUM(H15:J15)</f>
        <v>0</v>
      </c>
      <c r="L15" s="76">
        <f t="shared" ref="L15:L17" si="9">ROUND(F15*E15,2)</f>
        <v>0</v>
      </c>
      <c r="M15" s="75">
        <f t="shared" ref="M15:M17" si="10">ROUND(H15*E15,2)</f>
        <v>0</v>
      </c>
      <c r="N15" s="75">
        <f t="shared" ref="N15:N17" si="11">ROUND(I15*E15,2)</f>
        <v>0</v>
      </c>
      <c r="O15" s="75">
        <f t="shared" ref="O15:O17" si="12">ROUND(J15*E15,2)</f>
        <v>0</v>
      </c>
      <c r="P15" s="77">
        <f t="shared" ref="P15:P17" si="13">SUM(M15:O15)</f>
        <v>0</v>
      </c>
    </row>
    <row r="16" spans="1:16" s="61" customFormat="1" x14ac:dyDescent="0.2">
      <c r="A16" s="155">
        <v>0</v>
      </c>
      <c r="B16" s="281"/>
      <c r="C16" s="464" t="s">
        <v>756</v>
      </c>
      <c r="D16" s="171"/>
      <c r="E16" s="172"/>
      <c r="F16" s="161"/>
      <c r="G16" s="159"/>
      <c r="H16" s="161"/>
      <c r="I16" s="161"/>
      <c r="J16" s="161"/>
      <c r="K16" s="75">
        <f t="shared" si="8"/>
        <v>0</v>
      </c>
      <c r="L16" s="76">
        <f t="shared" si="9"/>
        <v>0</v>
      </c>
      <c r="M16" s="75">
        <f t="shared" si="10"/>
        <v>0</v>
      </c>
      <c r="N16" s="75">
        <f t="shared" si="11"/>
        <v>0</v>
      </c>
      <c r="O16" s="75">
        <f t="shared" si="12"/>
        <v>0</v>
      </c>
      <c r="P16" s="77">
        <f t="shared" si="13"/>
        <v>0</v>
      </c>
    </row>
    <row r="17" spans="1:16" s="61" customFormat="1" ht="25.5" x14ac:dyDescent="0.2">
      <c r="A17" s="155">
        <v>1</v>
      </c>
      <c r="B17" s="281" t="s">
        <v>126</v>
      </c>
      <c r="C17" s="176" t="s">
        <v>127</v>
      </c>
      <c r="D17" s="465" t="s">
        <v>83</v>
      </c>
      <c r="E17" s="172">
        <v>2</v>
      </c>
      <c r="F17" s="161"/>
      <c r="G17" s="159"/>
      <c r="H17" s="161"/>
      <c r="I17" s="161"/>
      <c r="J17" s="161"/>
      <c r="K17" s="75">
        <f t="shared" si="8"/>
        <v>0</v>
      </c>
      <c r="L17" s="76">
        <f t="shared" si="9"/>
        <v>0</v>
      </c>
      <c r="M17" s="75">
        <f t="shared" si="10"/>
        <v>0</v>
      </c>
      <c r="N17" s="75">
        <f t="shared" si="11"/>
        <v>0</v>
      </c>
      <c r="O17" s="75">
        <f t="shared" si="12"/>
        <v>0</v>
      </c>
      <c r="P17" s="77">
        <f t="shared" si="13"/>
        <v>0</v>
      </c>
    </row>
    <row r="18" spans="1:16" s="61" customFormat="1" ht="25.5" x14ac:dyDescent="0.2">
      <c r="A18" s="155">
        <v>2</v>
      </c>
      <c r="B18" s="281" t="s">
        <v>126</v>
      </c>
      <c r="C18" s="176" t="s">
        <v>128</v>
      </c>
      <c r="D18" s="182" t="s">
        <v>83</v>
      </c>
      <c r="E18" s="164">
        <v>6.5</v>
      </c>
      <c r="F18" s="161"/>
      <c r="G18" s="159"/>
      <c r="H18" s="161"/>
      <c r="I18" s="161"/>
      <c r="J18" s="161"/>
      <c r="K18" s="75">
        <f t="shared" ref="K18:K78" si="14">SUM(H18:J18)</f>
        <v>0</v>
      </c>
      <c r="L18" s="76">
        <f t="shared" ref="L18:L78" si="15">ROUND(F18*E18,2)</f>
        <v>0</v>
      </c>
      <c r="M18" s="75">
        <f t="shared" ref="M18:M78" si="16">ROUND(H18*E18,2)</f>
        <v>0</v>
      </c>
      <c r="N18" s="75">
        <f t="shared" ref="N18:N78" si="17">ROUND(I18*E18,2)</f>
        <v>0</v>
      </c>
      <c r="O18" s="75">
        <f t="shared" ref="O18:O78" si="18">ROUND(J18*E18,2)</f>
        <v>0</v>
      </c>
      <c r="P18" s="77">
        <f t="shared" ref="P18:P78" si="19">SUM(M18:O18)</f>
        <v>0</v>
      </c>
    </row>
    <row r="19" spans="1:16" s="61" customFormat="1" ht="25.5" x14ac:dyDescent="0.2">
      <c r="A19" s="155">
        <v>3</v>
      </c>
      <c r="B19" s="281"/>
      <c r="C19" s="466" t="s">
        <v>129</v>
      </c>
      <c r="D19" s="182" t="s">
        <v>78</v>
      </c>
      <c r="E19" s="164">
        <v>1.2</v>
      </c>
      <c r="F19" s="161"/>
      <c r="G19" s="159"/>
      <c r="H19" s="161"/>
      <c r="I19" s="161"/>
      <c r="J19" s="161"/>
      <c r="K19" s="75">
        <f t="shared" si="14"/>
        <v>0</v>
      </c>
      <c r="L19" s="76">
        <f t="shared" si="15"/>
        <v>0</v>
      </c>
      <c r="M19" s="75">
        <f t="shared" si="16"/>
        <v>0</v>
      </c>
      <c r="N19" s="75">
        <f t="shared" si="17"/>
        <v>0</v>
      </c>
      <c r="O19" s="75">
        <f t="shared" si="18"/>
        <v>0</v>
      </c>
      <c r="P19" s="77">
        <f t="shared" si="19"/>
        <v>0</v>
      </c>
    </row>
    <row r="20" spans="1:16" s="61" customFormat="1" ht="76.5" x14ac:dyDescent="0.2">
      <c r="A20" s="155">
        <v>4</v>
      </c>
      <c r="B20" s="281" t="s">
        <v>126</v>
      </c>
      <c r="C20" s="176" t="s">
        <v>130</v>
      </c>
      <c r="D20" s="182" t="s">
        <v>131</v>
      </c>
      <c r="E20" s="164">
        <f>(24.1+136.8)*2</f>
        <v>321.8</v>
      </c>
      <c r="F20" s="177"/>
      <c r="G20" s="159"/>
      <c r="H20" s="161"/>
      <c r="I20" s="161"/>
      <c r="J20" s="161"/>
      <c r="K20" s="75">
        <f t="shared" si="14"/>
        <v>0</v>
      </c>
      <c r="L20" s="76">
        <f t="shared" si="15"/>
        <v>0</v>
      </c>
      <c r="M20" s="75">
        <f t="shared" si="16"/>
        <v>0</v>
      </c>
      <c r="N20" s="75">
        <f t="shared" si="17"/>
        <v>0</v>
      </c>
      <c r="O20" s="75">
        <f t="shared" si="18"/>
        <v>0</v>
      </c>
      <c r="P20" s="77">
        <f t="shared" si="19"/>
        <v>0</v>
      </c>
    </row>
    <row r="21" spans="1:16" s="61" customFormat="1" x14ac:dyDescent="0.2">
      <c r="A21" s="155">
        <v>0</v>
      </c>
      <c r="B21" s="281"/>
      <c r="C21" s="178" t="s">
        <v>132</v>
      </c>
      <c r="D21" s="179" t="s">
        <v>131</v>
      </c>
      <c r="E21" s="180">
        <f>E20*1.15</f>
        <v>370.07</v>
      </c>
      <c r="F21" s="159"/>
      <c r="G21" s="159"/>
      <c r="H21" s="161"/>
      <c r="I21" s="161"/>
      <c r="J21" s="161"/>
      <c r="K21" s="75">
        <f t="shared" si="14"/>
        <v>0</v>
      </c>
      <c r="L21" s="76">
        <f t="shared" si="15"/>
        <v>0</v>
      </c>
      <c r="M21" s="75">
        <f t="shared" si="16"/>
        <v>0</v>
      </c>
      <c r="N21" s="75">
        <f t="shared" si="17"/>
        <v>0</v>
      </c>
      <c r="O21" s="75">
        <f t="shared" si="18"/>
        <v>0</v>
      </c>
      <c r="P21" s="77">
        <f t="shared" si="19"/>
        <v>0</v>
      </c>
    </row>
    <row r="22" spans="1:16" s="61" customFormat="1" ht="25.5" x14ac:dyDescent="0.2">
      <c r="A22" s="155">
        <v>0</v>
      </c>
      <c r="B22" s="281"/>
      <c r="C22" s="181" t="s">
        <v>133</v>
      </c>
      <c r="D22" s="182" t="s">
        <v>66</v>
      </c>
      <c r="E22" s="182">
        <v>1</v>
      </c>
      <c r="F22" s="159"/>
      <c r="G22" s="159"/>
      <c r="H22" s="161"/>
      <c r="I22" s="161"/>
      <c r="J22" s="161"/>
      <c r="K22" s="75">
        <f t="shared" si="14"/>
        <v>0</v>
      </c>
      <c r="L22" s="76">
        <f t="shared" si="15"/>
        <v>0</v>
      </c>
      <c r="M22" s="75">
        <f t="shared" si="16"/>
        <v>0</v>
      </c>
      <c r="N22" s="75">
        <f t="shared" si="17"/>
        <v>0</v>
      </c>
      <c r="O22" s="75">
        <f t="shared" si="18"/>
        <v>0</v>
      </c>
      <c r="P22" s="77">
        <f t="shared" si="19"/>
        <v>0</v>
      </c>
    </row>
    <row r="23" spans="1:16" s="61" customFormat="1" ht="25.5" x14ac:dyDescent="0.2">
      <c r="A23" s="155">
        <v>5</v>
      </c>
      <c r="B23" s="281" t="s">
        <v>126</v>
      </c>
      <c r="C23" s="527" t="s">
        <v>157</v>
      </c>
      <c r="D23" s="179" t="s">
        <v>78</v>
      </c>
      <c r="E23" s="164">
        <f>1.6*2</f>
        <v>3.2</v>
      </c>
      <c r="F23" s="159"/>
      <c r="G23" s="159"/>
      <c r="H23" s="161"/>
      <c r="I23" s="161"/>
      <c r="J23" s="161"/>
      <c r="K23" s="75">
        <f t="shared" si="14"/>
        <v>0</v>
      </c>
      <c r="L23" s="76">
        <f t="shared" si="15"/>
        <v>0</v>
      </c>
      <c r="M23" s="75">
        <f t="shared" si="16"/>
        <v>0</v>
      </c>
      <c r="N23" s="75">
        <f t="shared" si="17"/>
        <v>0</v>
      </c>
      <c r="O23" s="75">
        <f t="shared" si="18"/>
        <v>0</v>
      </c>
      <c r="P23" s="77">
        <f t="shared" si="19"/>
        <v>0</v>
      </c>
    </row>
    <row r="24" spans="1:16" s="61" customFormat="1" x14ac:dyDescent="0.2">
      <c r="A24" s="155">
        <v>0</v>
      </c>
      <c r="B24" s="194"/>
      <c r="C24" s="528" t="s">
        <v>158</v>
      </c>
      <c r="D24" s="179" t="s">
        <v>78</v>
      </c>
      <c r="E24" s="184">
        <f>E23*1.05</f>
        <v>3.3600000000000003</v>
      </c>
      <c r="F24" s="185"/>
      <c r="G24" s="159"/>
      <c r="H24" s="161"/>
      <c r="I24" s="161"/>
      <c r="J24" s="161"/>
      <c r="K24" s="75">
        <f t="shared" si="14"/>
        <v>0</v>
      </c>
      <c r="L24" s="76">
        <f t="shared" si="15"/>
        <v>0</v>
      </c>
      <c r="M24" s="75">
        <f t="shared" si="16"/>
        <v>0</v>
      </c>
      <c r="N24" s="75">
        <f t="shared" si="17"/>
        <v>0</v>
      </c>
      <c r="O24" s="75">
        <f t="shared" si="18"/>
        <v>0</v>
      </c>
      <c r="P24" s="77">
        <f t="shared" si="19"/>
        <v>0</v>
      </c>
    </row>
    <row r="25" spans="1:16" s="61" customFormat="1" x14ac:dyDescent="0.2">
      <c r="A25" s="155">
        <v>0</v>
      </c>
      <c r="B25" s="194"/>
      <c r="C25" s="183" t="s">
        <v>136</v>
      </c>
      <c r="D25" s="179" t="s">
        <v>137</v>
      </c>
      <c r="E25" s="184">
        <f>E23*0.25</f>
        <v>0.8</v>
      </c>
      <c r="F25" s="185"/>
      <c r="G25" s="159"/>
      <c r="H25" s="161"/>
      <c r="I25" s="154"/>
      <c r="J25" s="161"/>
      <c r="K25" s="75">
        <f t="shared" si="14"/>
        <v>0</v>
      </c>
      <c r="L25" s="76">
        <f t="shared" si="15"/>
        <v>0</v>
      </c>
      <c r="M25" s="75">
        <f t="shared" si="16"/>
        <v>0</v>
      </c>
      <c r="N25" s="75">
        <f t="shared" si="17"/>
        <v>0</v>
      </c>
      <c r="O25" s="75">
        <f t="shared" si="18"/>
        <v>0</v>
      </c>
      <c r="P25" s="77">
        <f t="shared" si="19"/>
        <v>0</v>
      </c>
    </row>
    <row r="26" spans="1:16" s="61" customFormat="1" ht="25.5" x14ac:dyDescent="0.2">
      <c r="A26" s="155">
        <v>6</v>
      </c>
      <c r="B26" s="281" t="s">
        <v>126</v>
      </c>
      <c r="C26" s="176" t="s">
        <v>138</v>
      </c>
      <c r="D26" s="179" t="s">
        <v>78</v>
      </c>
      <c r="E26" s="164">
        <f>0.48*2</f>
        <v>0.96</v>
      </c>
      <c r="F26" s="159"/>
      <c r="G26" s="159"/>
      <c r="H26" s="161"/>
      <c r="I26" s="161"/>
      <c r="J26" s="161"/>
      <c r="K26" s="75">
        <f t="shared" si="14"/>
        <v>0</v>
      </c>
      <c r="L26" s="76">
        <f t="shared" si="15"/>
        <v>0</v>
      </c>
      <c r="M26" s="75">
        <f t="shared" si="16"/>
        <v>0</v>
      </c>
      <c r="N26" s="75">
        <f t="shared" si="17"/>
        <v>0</v>
      </c>
      <c r="O26" s="75">
        <f t="shared" si="18"/>
        <v>0</v>
      </c>
      <c r="P26" s="77">
        <f t="shared" si="19"/>
        <v>0</v>
      </c>
    </row>
    <row r="27" spans="1:16" s="61" customFormat="1" x14ac:dyDescent="0.2">
      <c r="A27" s="155">
        <v>0</v>
      </c>
      <c r="B27" s="194"/>
      <c r="C27" s="183" t="s">
        <v>139</v>
      </c>
      <c r="D27" s="179" t="s">
        <v>78</v>
      </c>
      <c r="E27" s="184">
        <f>E26*1.05</f>
        <v>1.008</v>
      </c>
      <c r="F27" s="185"/>
      <c r="G27" s="159"/>
      <c r="H27" s="161"/>
      <c r="I27" s="161"/>
      <c r="J27" s="161"/>
      <c r="K27" s="75">
        <f t="shared" si="14"/>
        <v>0</v>
      </c>
      <c r="L27" s="76">
        <f t="shared" si="15"/>
        <v>0</v>
      </c>
      <c r="M27" s="75">
        <f t="shared" si="16"/>
        <v>0</v>
      </c>
      <c r="N27" s="75">
        <f t="shared" si="17"/>
        <v>0</v>
      </c>
      <c r="O27" s="75">
        <f t="shared" si="18"/>
        <v>0</v>
      </c>
      <c r="P27" s="77">
        <f t="shared" si="19"/>
        <v>0</v>
      </c>
    </row>
    <row r="28" spans="1:16" s="61" customFormat="1" x14ac:dyDescent="0.2">
      <c r="A28" s="155">
        <v>0</v>
      </c>
      <c r="B28" s="194"/>
      <c r="C28" s="183" t="s">
        <v>136</v>
      </c>
      <c r="D28" s="179" t="s">
        <v>137</v>
      </c>
      <c r="E28" s="184">
        <f>E26*0.25</f>
        <v>0.24</v>
      </c>
      <c r="F28" s="185"/>
      <c r="G28" s="159"/>
      <c r="H28" s="161"/>
      <c r="I28" s="154"/>
      <c r="J28" s="161"/>
      <c r="K28" s="75">
        <f t="shared" si="14"/>
        <v>0</v>
      </c>
      <c r="L28" s="76">
        <f t="shared" si="15"/>
        <v>0</v>
      </c>
      <c r="M28" s="75">
        <f t="shared" si="16"/>
        <v>0</v>
      </c>
      <c r="N28" s="75">
        <f t="shared" si="17"/>
        <v>0</v>
      </c>
      <c r="O28" s="75">
        <f t="shared" si="18"/>
        <v>0</v>
      </c>
      <c r="P28" s="77">
        <f t="shared" si="19"/>
        <v>0</v>
      </c>
    </row>
    <row r="29" spans="1:16" s="61" customFormat="1" x14ac:dyDescent="0.2">
      <c r="A29" s="155">
        <v>0</v>
      </c>
      <c r="B29" s="281"/>
      <c r="C29" s="526" t="s">
        <v>801</v>
      </c>
      <c r="D29" s="182"/>
      <c r="E29" s="164"/>
      <c r="F29" s="159"/>
      <c r="G29" s="159"/>
      <c r="H29" s="161"/>
      <c r="I29" s="161"/>
      <c r="J29" s="161"/>
      <c r="K29" s="75">
        <f t="shared" si="14"/>
        <v>0</v>
      </c>
      <c r="L29" s="76">
        <f t="shared" si="15"/>
        <v>0</v>
      </c>
      <c r="M29" s="75">
        <f t="shared" si="16"/>
        <v>0</v>
      </c>
      <c r="N29" s="75">
        <f t="shared" si="17"/>
        <v>0</v>
      </c>
      <c r="O29" s="75">
        <f t="shared" si="18"/>
        <v>0</v>
      </c>
      <c r="P29" s="77">
        <f t="shared" si="19"/>
        <v>0</v>
      </c>
    </row>
    <row r="30" spans="1:16" s="61" customFormat="1" ht="25.5" x14ac:dyDescent="0.2">
      <c r="A30" s="155">
        <v>8</v>
      </c>
      <c r="B30" s="281" t="s">
        <v>126</v>
      </c>
      <c r="C30" s="176" t="s">
        <v>127</v>
      </c>
      <c r="D30" s="465" t="s">
        <v>83</v>
      </c>
      <c r="E30" s="530">
        <v>3</v>
      </c>
      <c r="F30" s="161"/>
      <c r="G30" s="159"/>
      <c r="H30" s="161"/>
      <c r="I30" s="161"/>
      <c r="J30" s="161"/>
      <c r="K30" s="75">
        <f t="shared" si="14"/>
        <v>0</v>
      </c>
      <c r="L30" s="76">
        <f t="shared" si="15"/>
        <v>0</v>
      </c>
      <c r="M30" s="75">
        <f t="shared" si="16"/>
        <v>0</v>
      </c>
      <c r="N30" s="75">
        <f t="shared" si="17"/>
        <v>0</v>
      </c>
      <c r="O30" s="75">
        <f t="shared" si="18"/>
        <v>0</v>
      </c>
      <c r="P30" s="77">
        <f t="shared" si="19"/>
        <v>0</v>
      </c>
    </row>
    <row r="31" spans="1:16" s="61" customFormat="1" ht="25.5" x14ac:dyDescent="0.2">
      <c r="A31" s="155">
        <v>9</v>
      </c>
      <c r="B31" s="281" t="s">
        <v>126</v>
      </c>
      <c r="C31" s="176" t="s">
        <v>128</v>
      </c>
      <c r="D31" s="182" t="s">
        <v>83</v>
      </c>
      <c r="E31" s="529">
        <v>9</v>
      </c>
      <c r="F31" s="161"/>
      <c r="G31" s="159"/>
      <c r="H31" s="161"/>
      <c r="I31" s="161"/>
      <c r="J31" s="161"/>
      <c r="K31" s="75">
        <f t="shared" si="14"/>
        <v>0</v>
      </c>
      <c r="L31" s="76">
        <f t="shared" si="15"/>
        <v>0</v>
      </c>
      <c r="M31" s="75">
        <f t="shared" si="16"/>
        <v>0</v>
      </c>
      <c r="N31" s="75">
        <f t="shared" si="17"/>
        <v>0</v>
      </c>
      <c r="O31" s="75">
        <f t="shared" si="18"/>
        <v>0</v>
      </c>
      <c r="P31" s="77">
        <f t="shared" si="19"/>
        <v>0</v>
      </c>
    </row>
    <row r="32" spans="1:16" s="61" customFormat="1" ht="25.5" x14ac:dyDescent="0.2">
      <c r="A32" s="155">
        <v>10</v>
      </c>
      <c r="B32" s="281"/>
      <c r="C32" s="466" t="s">
        <v>129</v>
      </c>
      <c r="D32" s="182" t="s">
        <v>78</v>
      </c>
      <c r="E32" s="529">
        <v>1.2</v>
      </c>
      <c r="F32" s="161"/>
      <c r="G32" s="159"/>
      <c r="H32" s="161"/>
      <c r="I32" s="161"/>
      <c r="J32" s="161"/>
      <c r="K32" s="75">
        <f t="shared" si="14"/>
        <v>0</v>
      </c>
      <c r="L32" s="76">
        <f t="shared" si="15"/>
        <v>0</v>
      </c>
      <c r="M32" s="75">
        <f t="shared" si="16"/>
        <v>0</v>
      </c>
      <c r="N32" s="75">
        <f t="shared" si="17"/>
        <v>0</v>
      </c>
      <c r="O32" s="75">
        <f t="shared" si="18"/>
        <v>0</v>
      </c>
      <c r="P32" s="77">
        <f t="shared" si="19"/>
        <v>0</v>
      </c>
    </row>
    <row r="33" spans="1:16" s="61" customFormat="1" ht="76.5" x14ac:dyDescent="0.2">
      <c r="A33" s="155">
        <v>11</v>
      </c>
      <c r="B33" s="281" t="s">
        <v>126</v>
      </c>
      <c r="C33" s="176" t="s">
        <v>130</v>
      </c>
      <c r="D33" s="182" t="s">
        <v>131</v>
      </c>
      <c r="E33" s="529">
        <v>417.9</v>
      </c>
      <c r="F33" s="177"/>
      <c r="G33" s="159"/>
      <c r="H33" s="161"/>
      <c r="I33" s="161"/>
      <c r="J33" s="161"/>
      <c r="K33" s="75">
        <f t="shared" si="14"/>
        <v>0</v>
      </c>
      <c r="L33" s="76">
        <f t="shared" si="15"/>
        <v>0</v>
      </c>
      <c r="M33" s="75">
        <f t="shared" si="16"/>
        <v>0</v>
      </c>
      <c r="N33" s="75">
        <f t="shared" si="17"/>
        <v>0</v>
      </c>
      <c r="O33" s="75">
        <f t="shared" si="18"/>
        <v>0</v>
      </c>
      <c r="P33" s="77">
        <f t="shared" si="19"/>
        <v>0</v>
      </c>
    </row>
    <row r="34" spans="1:16" s="61" customFormat="1" x14ac:dyDescent="0.2">
      <c r="A34" s="155">
        <v>0</v>
      </c>
      <c r="B34" s="281"/>
      <c r="C34" s="178" t="s">
        <v>132</v>
      </c>
      <c r="D34" s="179" t="s">
        <v>131</v>
      </c>
      <c r="E34" s="419">
        <f>E33*1.15</f>
        <v>480.58499999999992</v>
      </c>
      <c r="F34" s="159"/>
      <c r="G34" s="159"/>
      <c r="H34" s="161"/>
      <c r="I34" s="161"/>
      <c r="J34" s="161"/>
      <c r="K34" s="75">
        <f t="shared" si="14"/>
        <v>0</v>
      </c>
      <c r="L34" s="76">
        <f t="shared" si="15"/>
        <v>0</v>
      </c>
      <c r="M34" s="75">
        <f t="shared" si="16"/>
        <v>0</v>
      </c>
      <c r="N34" s="75">
        <f t="shared" si="17"/>
        <v>0</v>
      </c>
      <c r="O34" s="75">
        <f t="shared" si="18"/>
        <v>0</v>
      </c>
      <c r="P34" s="77">
        <f t="shared" si="19"/>
        <v>0</v>
      </c>
    </row>
    <row r="35" spans="1:16" s="61" customFormat="1" ht="25.5" x14ac:dyDescent="0.2">
      <c r="A35" s="187">
        <v>0</v>
      </c>
      <c r="B35" s="281"/>
      <c r="C35" s="181" t="s">
        <v>133</v>
      </c>
      <c r="D35" s="182" t="s">
        <v>66</v>
      </c>
      <c r="E35" s="182">
        <v>1</v>
      </c>
      <c r="F35" s="159"/>
      <c r="G35" s="159"/>
      <c r="H35" s="161"/>
      <c r="I35" s="161"/>
      <c r="J35" s="161"/>
      <c r="K35" s="75">
        <f t="shared" si="14"/>
        <v>0</v>
      </c>
      <c r="L35" s="76">
        <f t="shared" si="15"/>
        <v>0</v>
      </c>
      <c r="M35" s="75">
        <f t="shared" si="16"/>
        <v>0</v>
      </c>
      <c r="N35" s="75">
        <f t="shared" si="17"/>
        <v>0</v>
      </c>
      <c r="O35" s="75">
        <f t="shared" si="18"/>
        <v>0</v>
      </c>
      <c r="P35" s="77">
        <f t="shared" si="19"/>
        <v>0</v>
      </c>
    </row>
    <row r="36" spans="1:16" s="61" customFormat="1" ht="25.5" x14ac:dyDescent="0.2">
      <c r="A36" s="155">
        <v>12</v>
      </c>
      <c r="B36" s="281" t="s">
        <v>126</v>
      </c>
      <c r="C36" s="527" t="s">
        <v>157</v>
      </c>
      <c r="D36" s="179" t="s">
        <v>78</v>
      </c>
      <c r="E36" s="529">
        <v>3.9</v>
      </c>
      <c r="F36" s="159"/>
      <c r="G36" s="159"/>
      <c r="H36" s="161"/>
      <c r="I36" s="161"/>
      <c r="J36" s="161"/>
      <c r="K36" s="75">
        <f t="shared" si="14"/>
        <v>0</v>
      </c>
      <c r="L36" s="76">
        <f t="shared" si="15"/>
        <v>0</v>
      </c>
      <c r="M36" s="75">
        <f t="shared" si="16"/>
        <v>0</v>
      </c>
      <c r="N36" s="75">
        <f t="shared" si="17"/>
        <v>0</v>
      </c>
      <c r="O36" s="75">
        <f t="shared" si="18"/>
        <v>0</v>
      </c>
      <c r="P36" s="77">
        <f t="shared" si="19"/>
        <v>0</v>
      </c>
    </row>
    <row r="37" spans="1:16" s="61" customFormat="1" x14ac:dyDescent="0.2">
      <c r="A37" s="155">
        <v>0</v>
      </c>
      <c r="B37" s="194"/>
      <c r="C37" s="528" t="s">
        <v>158</v>
      </c>
      <c r="D37" s="179" t="s">
        <v>78</v>
      </c>
      <c r="E37" s="531">
        <f>E36*1.05</f>
        <v>4.0949999999999998</v>
      </c>
      <c r="F37" s="185"/>
      <c r="G37" s="159"/>
      <c r="H37" s="161"/>
      <c r="I37" s="161"/>
      <c r="J37" s="161"/>
      <c r="K37" s="75">
        <f t="shared" si="14"/>
        <v>0</v>
      </c>
      <c r="L37" s="76">
        <f t="shared" si="15"/>
        <v>0</v>
      </c>
      <c r="M37" s="75">
        <f t="shared" si="16"/>
        <v>0</v>
      </c>
      <c r="N37" s="75">
        <f t="shared" si="17"/>
        <v>0</v>
      </c>
      <c r="O37" s="75">
        <f t="shared" si="18"/>
        <v>0</v>
      </c>
      <c r="P37" s="77">
        <f t="shared" si="19"/>
        <v>0</v>
      </c>
    </row>
    <row r="38" spans="1:16" s="61" customFormat="1" x14ac:dyDescent="0.2">
      <c r="A38" s="155">
        <v>0</v>
      </c>
      <c r="B38" s="194"/>
      <c r="C38" s="183" t="s">
        <v>136</v>
      </c>
      <c r="D38" s="179" t="s">
        <v>137</v>
      </c>
      <c r="E38" s="531">
        <f>E36*0.25</f>
        <v>0.97499999999999998</v>
      </c>
      <c r="F38" s="185"/>
      <c r="G38" s="159"/>
      <c r="H38" s="161"/>
      <c r="I38" s="154"/>
      <c r="J38" s="161"/>
      <c r="K38" s="75">
        <f t="shared" si="14"/>
        <v>0</v>
      </c>
      <c r="L38" s="76">
        <f t="shared" si="15"/>
        <v>0</v>
      </c>
      <c r="M38" s="75">
        <f t="shared" si="16"/>
        <v>0</v>
      </c>
      <c r="N38" s="75">
        <f t="shared" si="17"/>
        <v>0</v>
      </c>
      <c r="O38" s="75">
        <f t="shared" si="18"/>
        <v>0</v>
      </c>
      <c r="P38" s="77">
        <f t="shared" si="19"/>
        <v>0</v>
      </c>
    </row>
    <row r="39" spans="1:16" s="61" customFormat="1" ht="25.5" x14ac:dyDescent="0.2">
      <c r="A39" s="155">
        <v>13</v>
      </c>
      <c r="B39" s="281" t="s">
        <v>126</v>
      </c>
      <c r="C39" s="176" t="s">
        <v>138</v>
      </c>
      <c r="D39" s="179" t="s">
        <v>78</v>
      </c>
      <c r="E39" s="529">
        <v>1.2</v>
      </c>
      <c r="F39" s="159"/>
      <c r="G39" s="159"/>
      <c r="H39" s="161"/>
      <c r="I39" s="161"/>
      <c r="J39" s="161"/>
      <c r="K39" s="75">
        <f t="shared" si="14"/>
        <v>0</v>
      </c>
      <c r="L39" s="76">
        <f t="shared" si="15"/>
        <v>0</v>
      </c>
      <c r="M39" s="75">
        <f t="shared" si="16"/>
        <v>0</v>
      </c>
      <c r="N39" s="75">
        <f t="shared" si="17"/>
        <v>0</v>
      </c>
      <c r="O39" s="75">
        <f t="shared" si="18"/>
        <v>0</v>
      </c>
      <c r="P39" s="77">
        <f t="shared" si="19"/>
        <v>0</v>
      </c>
    </row>
    <row r="40" spans="1:16" s="61" customFormat="1" x14ac:dyDescent="0.2">
      <c r="A40" s="155">
        <v>0</v>
      </c>
      <c r="B40" s="194"/>
      <c r="C40" s="183" t="s">
        <v>139</v>
      </c>
      <c r="D40" s="179" t="s">
        <v>78</v>
      </c>
      <c r="E40" s="531">
        <f>E39*1.05</f>
        <v>1.26</v>
      </c>
      <c r="F40" s="185"/>
      <c r="G40" s="159"/>
      <c r="H40" s="161"/>
      <c r="I40" s="161"/>
      <c r="J40" s="161"/>
      <c r="K40" s="75">
        <f t="shared" si="14"/>
        <v>0</v>
      </c>
      <c r="L40" s="76">
        <f t="shared" si="15"/>
        <v>0</v>
      </c>
      <c r="M40" s="75">
        <f t="shared" si="16"/>
        <v>0</v>
      </c>
      <c r="N40" s="75">
        <f t="shared" si="17"/>
        <v>0</v>
      </c>
      <c r="O40" s="75">
        <f t="shared" si="18"/>
        <v>0</v>
      </c>
      <c r="P40" s="77">
        <f t="shared" si="19"/>
        <v>0</v>
      </c>
    </row>
    <row r="41" spans="1:16" s="61" customFormat="1" x14ac:dyDescent="0.2">
      <c r="A41" s="155">
        <v>0</v>
      </c>
      <c r="B41" s="194"/>
      <c r="C41" s="183" t="s">
        <v>136</v>
      </c>
      <c r="D41" s="179" t="s">
        <v>137</v>
      </c>
      <c r="E41" s="531">
        <f>E39*0.25</f>
        <v>0.3</v>
      </c>
      <c r="F41" s="185"/>
      <c r="G41" s="159"/>
      <c r="H41" s="161"/>
      <c r="I41" s="154"/>
      <c r="J41" s="161"/>
      <c r="K41" s="75">
        <f t="shared" si="14"/>
        <v>0</v>
      </c>
      <c r="L41" s="76">
        <f t="shared" si="15"/>
        <v>0</v>
      </c>
      <c r="M41" s="75">
        <f t="shared" si="16"/>
        <v>0</v>
      </c>
      <c r="N41" s="75">
        <f t="shared" si="17"/>
        <v>0</v>
      </c>
      <c r="O41" s="75">
        <f t="shared" si="18"/>
        <v>0</v>
      </c>
      <c r="P41" s="77">
        <f t="shared" si="19"/>
        <v>0</v>
      </c>
    </row>
    <row r="42" spans="1:16" s="61" customFormat="1" x14ac:dyDescent="0.2">
      <c r="A42" s="155">
        <v>0</v>
      </c>
      <c r="B42" s="281"/>
      <c r="C42" s="464"/>
      <c r="D42" s="171"/>
      <c r="E42" s="172"/>
      <c r="F42" s="161"/>
      <c r="G42" s="159"/>
      <c r="H42" s="161"/>
      <c r="I42" s="161"/>
      <c r="J42" s="161"/>
      <c r="K42" s="75">
        <f t="shared" si="14"/>
        <v>0</v>
      </c>
      <c r="L42" s="76">
        <f t="shared" si="15"/>
        <v>0</v>
      </c>
      <c r="M42" s="75">
        <f t="shared" si="16"/>
        <v>0</v>
      </c>
      <c r="N42" s="75">
        <f t="shared" si="17"/>
        <v>0</v>
      </c>
      <c r="O42" s="75">
        <f t="shared" si="18"/>
        <v>0</v>
      </c>
      <c r="P42" s="77">
        <f t="shared" si="19"/>
        <v>0</v>
      </c>
    </row>
    <row r="43" spans="1:16" s="61" customFormat="1" x14ac:dyDescent="0.2">
      <c r="A43" s="155">
        <v>0</v>
      </c>
      <c r="B43" s="281"/>
      <c r="C43" s="526" t="s">
        <v>802</v>
      </c>
      <c r="D43" s="182"/>
      <c r="E43" s="164"/>
      <c r="F43" s="159"/>
      <c r="G43" s="159"/>
      <c r="H43" s="161"/>
      <c r="I43" s="161"/>
      <c r="J43" s="161"/>
      <c r="K43" s="75">
        <f t="shared" si="14"/>
        <v>0</v>
      </c>
      <c r="L43" s="76">
        <f t="shared" si="15"/>
        <v>0</v>
      </c>
      <c r="M43" s="75">
        <f t="shared" si="16"/>
        <v>0</v>
      </c>
      <c r="N43" s="75">
        <f t="shared" si="17"/>
        <v>0</v>
      </c>
      <c r="O43" s="75">
        <f t="shared" si="18"/>
        <v>0</v>
      </c>
      <c r="P43" s="77">
        <f t="shared" si="19"/>
        <v>0</v>
      </c>
    </row>
    <row r="44" spans="1:16" s="61" customFormat="1" ht="25.5" x14ac:dyDescent="0.2">
      <c r="A44" s="155">
        <v>15</v>
      </c>
      <c r="B44" s="281" t="s">
        <v>126</v>
      </c>
      <c r="C44" s="176" t="s">
        <v>127</v>
      </c>
      <c r="D44" s="465" t="s">
        <v>83</v>
      </c>
      <c r="E44" s="530">
        <v>2</v>
      </c>
      <c r="F44" s="161"/>
      <c r="G44" s="159"/>
      <c r="H44" s="161"/>
      <c r="I44" s="161"/>
      <c r="J44" s="161"/>
      <c r="K44" s="75">
        <f t="shared" si="14"/>
        <v>0</v>
      </c>
      <c r="L44" s="76">
        <f t="shared" si="15"/>
        <v>0</v>
      </c>
      <c r="M44" s="75">
        <f t="shared" si="16"/>
        <v>0</v>
      </c>
      <c r="N44" s="75">
        <f t="shared" si="17"/>
        <v>0</v>
      </c>
      <c r="O44" s="75">
        <f t="shared" si="18"/>
        <v>0</v>
      </c>
      <c r="P44" s="77">
        <f t="shared" si="19"/>
        <v>0</v>
      </c>
    </row>
    <row r="45" spans="1:16" s="61" customFormat="1" ht="25.5" x14ac:dyDescent="0.2">
      <c r="A45" s="155">
        <v>16</v>
      </c>
      <c r="B45" s="281" t="s">
        <v>126</v>
      </c>
      <c r="C45" s="176" t="s">
        <v>128</v>
      </c>
      <c r="D45" s="182" t="s">
        <v>83</v>
      </c>
      <c r="E45" s="529">
        <v>9</v>
      </c>
      <c r="F45" s="161"/>
      <c r="G45" s="159"/>
      <c r="H45" s="161"/>
      <c r="I45" s="161"/>
      <c r="J45" s="161"/>
      <c r="K45" s="75">
        <f t="shared" si="14"/>
        <v>0</v>
      </c>
      <c r="L45" s="76">
        <f t="shared" si="15"/>
        <v>0</v>
      </c>
      <c r="M45" s="75">
        <f t="shared" si="16"/>
        <v>0</v>
      </c>
      <c r="N45" s="75">
        <f t="shared" si="17"/>
        <v>0</v>
      </c>
      <c r="O45" s="75">
        <f t="shared" si="18"/>
        <v>0</v>
      </c>
      <c r="P45" s="77">
        <f t="shared" si="19"/>
        <v>0</v>
      </c>
    </row>
    <row r="46" spans="1:16" s="61" customFormat="1" ht="25.5" x14ac:dyDescent="0.2">
      <c r="A46" s="155">
        <v>17</v>
      </c>
      <c r="B46" s="281"/>
      <c r="C46" s="466" t="s">
        <v>129</v>
      </c>
      <c r="D46" s="182" t="s">
        <v>78</v>
      </c>
      <c r="E46" s="529">
        <v>0.6</v>
      </c>
      <c r="F46" s="161"/>
      <c r="G46" s="159"/>
      <c r="H46" s="161"/>
      <c r="I46" s="161"/>
      <c r="J46" s="161"/>
      <c r="K46" s="75">
        <f t="shared" si="14"/>
        <v>0</v>
      </c>
      <c r="L46" s="76">
        <f t="shared" si="15"/>
        <v>0</v>
      </c>
      <c r="M46" s="75">
        <f t="shared" si="16"/>
        <v>0</v>
      </c>
      <c r="N46" s="75">
        <f t="shared" si="17"/>
        <v>0</v>
      </c>
      <c r="O46" s="75">
        <f t="shared" si="18"/>
        <v>0</v>
      </c>
      <c r="P46" s="77">
        <f t="shared" si="19"/>
        <v>0</v>
      </c>
    </row>
    <row r="47" spans="1:16" s="61" customFormat="1" ht="76.5" x14ac:dyDescent="0.2">
      <c r="A47" s="155">
        <v>18</v>
      </c>
      <c r="B47" s="281" t="s">
        <v>126</v>
      </c>
      <c r="C47" s="176" t="s">
        <v>130</v>
      </c>
      <c r="D47" s="182" t="s">
        <v>131</v>
      </c>
      <c r="E47" s="529">
        <v>159.16999999999999</v>
      </c>
      <c r="F47" s="177"/>
      <c r="G47" s="159"/>
      <c r="H47" s="161"/>
      <c r="I47" s="161"/>
      <c r="J47" s="161"/>
      <c r="K47" s="75">
        <f t="shared" si="14"/>
        <v>0</v>
      </c>
      <c r="L47" s="76">
        <f t="shared" si="15"/>
        <v>0</v>
      </c>
      <c r="M47" s="75">
        <f t="shared" si="16"/>
        <v>0</v>
      </c>
      <c r="N47" s="75">
        <f t="shared" si="17"/>
        <v>0</v>
      </c>
      <c r="O47" s="75">
        <f t="shared" si="18"/>
        <v>0</v>
      </c>
      <c r="P47" s="77">
        <f t="shared" si="19"/>
        <v>0</v>
      </c>
    </row>
    <row r="48" spans="1:16" s="61" customFormat="1" x14ac:dyDescent="0.2">
      <c r="A48" s="155">
        <v>0</v>
      </c>
      <c r="B48" s="281"/>
      <c r="C48" s="178" t="s">
        <v>132</v>
      </c>
      <c r="D48" s="179" t="s">
        <v>131</v>
      </c>
      <c r="E48" s="419">
        <f>E47*1.15</f>
        <v>183.04549999999998</v>
      </c>
      <c r="F48" s="159"/>
      <c r="G48" s="159"/>
      <c r="H48" s="161"/>
      <c r="I48" s="161"/>
      <c r="J48" s="161"/>
      <c r="K48" s="75">
        <f t="shared" si="14"/>
        <v>0</v>
      </c>
      <c r="L48" s="76">
        <f t="shared" si="15"/>
        <v>0</v>
      </c>
      <c r="M48" s="75">
        <f t="shared" si="16"/>
        <v>0</v>
      </c>
      <c r="N48" s="75">
        <f t="shared" si="17"/>
        <v>0</v>
      </c>
      <c r="O48" s="75">
        <f t="shared" si="18"/>
        <v>0</v>
      </c>
      <c r="P48" s="77">
        <f t="shared" si="19"/>
        <v>0</v>
      </c>
    </row>
    <row r="49" spans="1:16" s="61" customFormat="1" ht="25.5" x14ac:dyDescent="0.2">
      <c r="A49" s="155">
        <v>0</v>
      </c>
      <c r="B49" s="281"/>
      <c r="C49" s="181" t="s">
        <v>133</v>
      </c>
      <c r="D49" s="182" t="s">
        <v>66</v>
      </c>
      <c r="E49" s="182">
        <v>1</v>
      </c>
      <c r="F49" s="159"/>
      <c r="G49" s="159"/>
      <c r="H49" s="161"/>
      <c r="I49" s="161"/>
      <c r="J49" s="161"/>
      <c r="K49" s="75">
        <f t="shared" si="14"/>
        <v>0</v>
      </c>
      <c r="L49" s="76">
        <f t="shared" si="15"/>
        <v>0</v>
      </c>
      <c r="M49" s="75">
        <f t="shared" si="16"/>
        <v>0</v>
      </c>
      <c r="N49" s="75">
        <f t="shared" si="17"/>
        <v>0</v>
      </c>
      <c r="O49" s="75">
        <f t="shared" si="18"/>
        <v>0</v>
      </c>
      <c r="P49" s="77">
        <f t="shared" si="19"/>
        <v>0</v>
      </c>
    </row>
    <row r="50" spans="1:16" s="61" customFormat="1" ht="25.5" x14ac:dyDescent="0.2">
      <c r="A50" s="155">
        <v>19</v>
      </c>
      <c r="B50" s="281" t="s">
        <v>126</v>
      </c>
      <c r="C50" s="527" t="s">
        <v>157</v>
      </c>
      <c r="D50" s="179" t="s">
        <v>78</v>
      </c>
      <c r="E50" s="529">
        <v>1.9</v>
      </c>
      <c r="F50" s="159"/>
      <c r="G50" s="159"/>
      <c r="H50" s="161"/>
      <c r="I50" s="161"/>
      <c r="J50" s="161"/>
      <c r="K50" s="75">
        <f t="shared" si="14"/>
        <v>0</v>
      </c>
      <c r="L50" s="76">
        <f t="shared" si="15"/>
        <v>0</v>
      </c>
      <c r="M50" s="75">
        <f t="shared" si="16"/>
        <v>0</v>
      </c>
      <c r="N50" s="75">
        <f t="shared" si="17"/>
        <v>0</v>
      </c>
      <c r="O50" s="75">
        <f t="shared" si="18"/>
        <v>0</v>
      </c>
      <c r="P50" s="77">
        <f t="shared" si="19"/>
        <v>0</v>
      </c>
    </row>
    <row r="51" spans="1:16" s="61" customFormat="1" x14ac:dyDescent="0.2">
      <c r="A51" s="155">
        <v>0</v>
      </c>
      <c r="B51" s="194"/>
      <c r="C51" s="528" t="s">
        <v>158</v>
      </c>
      <c r="D51" s="179" t="s">
        <v>78</v>
      </c>
      <c r="E51" s="531">
        <f>E50*1.05</f>
        <v>1.9949999999999999</v>
      </c>
      <c r="F51" s="185"/>
      <c r="G51" s="159"/>
      <c r="H51" s="161"/>
      <c r="I51" s="161"/>
      <c r="J51" s="161"/>
      <c r="K51" s="75">
        <f t="shared" si="14"/>
        <v>0</v>
      </c>
      <c r="L51" s="76">
        <f t="shared" si="15"/>
        <v>0</v>
      </c>
      <c r="M51" s="75">
        <f t="shared" si="16"/>
        <v>0</v>
      </c>
      <c r="N51" s="75">
        <f t="shared" si="17"/>
        <v>0</v>
      </c>
      <c r="O51" s="75">
        <f t="shared" si="18"/>
        <v>0</v>
      </c>
      <c r="P51" s="77">
        <f t="shared" si="19"/>
        <v>0</v>
      </c>
    </row>
    <row r="52" spans="1:16" s="61" customFormat="1" x14ac:dyDescent="0.2">
      <c r="A52" s="155">
        <v>0</v>
      </c>
      <c r="B52" s="194"/>
      <c r="C52" s="183" t="s">
        <v>136</v>
      </c>
      <c r="D52" s="179" t="s">
        <v>137</v>
      </c>
      <c r="E52" s="531">
        <f>E50*0.25</f>
        <v>0.47499999999999998</v>
      </c>
      <c r="F52" s="185"/>
      <c r="G52" s="159"/>
      <c r="H52" s="161"/>
      <c r="I52" s="154"/>
      <c r="J52" s="161"/>
      <c r="K52" s="75">
        <f t="shared" si="14"/>
        <v>0</v>
      </c>
      <c r="L52" s="76">
        <f t="shared" si="15"/>
        <v>0</v>
      </c>
      <c r="M52" s="75">
        <f t="shared" si="16"/>
        <v>0</v>
      </c>
      <c r="N52" s="75">
        <f t="shared" si="17"/>
        <v>0</v>
      </c>
      <c r="O52" s="75">
        <f t="shared" si="18"/>
        <v>0</v>
      </c>
      <c r="P52" s="77">
        <f t="shared" si="19"/>
        <v>0</v>
      </c>
    </row>
    <row r="53" spans="1:16" s="61" customFormat="1" ht="25.5" x14ac:dyDescent="0.2">
      <c r="A53" s="155">
        <v>20</v>
      </c>
      <c r="B53" s="281" t="s">
        <v>126</v>
      </c>
      <c r="C53" s="176" t="s">
        <v>138</v>
      </c>
      <c r="D53" s="179" t="s">
        <v>78</v>
      </c>
      <c r="E53" s="529">
        <v>0.4</v>
      </c>
      <c r="F53" s="159"/>
      <c r="G53" s="159"/>
      <c r="H53" s="161"/>
      <c r="I53" s="161"/>
      <c r="J53" s="161"/>
      <c r="K53" s="75">
        <f t="shared" si="14"/>
        <v>0</v>
      </c>
      <c r="L53" s="76">
        <f t="shared" si="15"/>
        <v>0</v>
      </c>
      <c r="M53" s="75">
        <f t="shared" si="16"/>
        <v>0</v>
      </c>
      <c r="N53" s="75">
        <f t="shared" si="17"/>
        <v>0</v>
      </c>
      <c r="O53" s="75">
        <f t="shared" si="18"/>
        <v>0</v>
      </c>
      <c r="P53" s="77">
        <f t="shared" si="19"/>
        <v>0</v>
      </c>
    </row>
    <row r="54" spans="1:16" s="61" customFormat="1" x14ac:dyDescent="0.2">
      <c r="A54" s="155">
        <v>0</v>
      </c>
      <c r="B54" s="194"/>
      <c r="C54" s="183" t="s">
        <v>139</v>
      </c>
      <c r="D54" s="179" t="s">
        <v>78</v>
      </c>
      <c r="E54" s="531">
        <f>E53*1.05</f>
        <v>0.42000000000000004</v>
      </c>
      <c r="F54" s="185"/>
      <c r="G54" s="159"/>
      <c r="H54" s="161"/>
      <c r="I54" s="161"/>
      <c r="J54" s="161"/>
      <c r="K54" s="75">
        <f t="shared" si="14"/>
        <v>0</v>
      </c>
      <c r="L54" s="76">
        <f t="shared" si="15"/>
        <v>0</v>
      </c>
      <c r="M54" s="75">
        <f t="shared" si="16"/>
        <v>0</v>
      </c>
      <c r="N54" s="75">
        <f t="shared" si="17"/>
        <v>0</v>
      </c>
      <c r="O54" s="75">
        <f t="shared" si="18"/>
        <v>0</v>
      </c>
      <c r="P54" s="77">
        <f t="shared" si="19"/>
        <v>0</v>
      </c>
    </row>
    <row r="55" spans="1:16" s="61" customFormat="1" x14ac:dyDescent="0.2">
      <c r="A55" s="155">
        <v>0</v>
      </c>
      <c r="B55" s="194"/>
      <c r="C55" s="183" t="s">
        <v>136</v>
      </c>
      <c r="D55" s="179" t="s">
        <v>137</v>
      </c>
      <c r="E55" s="531">
        <f>E53*0.25</f>
        <v>0.1</v>
      </c>
      <c r="F55" s="185"/>
      <c r="G55" s="159"/>
      <c r="H55" s="161"/>
      <c r="I55" s="154"/>
      <c r="J55" s="161"/>
      <c r="K55" s="75">
        <f t="shared" si="14"/>
        <v>0</v>
      </c>
      <c r="L55" s="76">
        <f t="shared" si="15"/>
        <v>0</v>
      </c>
      <c r="M55" s="75">
        <f t="shared" si="16"/>
        <v>0</v>
      </c>
      <c r="N55" s="75">
        <f t="shared" si="17"/>
        <v>0</v>
      </c>
      <c r="O55" s="75">
        <f t="shared" si="18"/>
        <v>0</v>
      </c>
      <c r="P55" s="77">
        <f t="shared" si="19"/>
        <v>0</v>
      </c>
    </row>
    <row r="56" spans="1:16" s="61" customFormat="1" x14ac:dyDescent="0.2">
      <c r="A56" s="155">
        <v>0</v>
      </c>
      <c r="B56" s="281"/>
      <c r="C56" s="186"/>
      <c r="D56" s="182"/>
      <c r="E56" s="182"/>
      <c r="F56" s="159"/>
      <c r="G56" s="159"/>
      <c r="H56" s="161"/>
      <c r="I56" s="161"/>
      <c r="J56" s="161"/>
      <c r="K56" s="75">
        <f t="shared" si="14"/>
        <v>0</v>
      </c>
      <c r="L56" s="76">
        <f t="shared" si="15"/>
        <v>0</v>
      </c>
      <c r="M56" s="75">
        <f t="shared" si="16"/>
        <v>0</v>
      </c>
      <c r="N56" s="75">
        <f t="shared" si="17"/>
        <v>0</v>
      </c>
      <c r="O56" s="75">
        <f t="shared" si="18"/>
        <v>0</v>
      </c>
      <c r="P56" s="77">
        <f t="shared" si="19"/>
        <v>0</v>
      </c>
    </row>
    <row r="57" spans="1:16" s="61" customFormat="1" x14ac:dyDescent="0.2">
      <c r="A57" s="155">
        <v>0</v>
      </c>
      <c r="B57" s="194"/>
      <c r="C57" s="464" t="s">
        <v>141</v>
      </c>
      <c r="D57" s="179"/>
      <c r="E57" s="184"/>
      <c r="F57" s="185"/>
      <c r="G57" s="159"/>
      <c r="H57" s="161"/>
      <c r="I57" s="154"/>
      <c r="J57" s="161"/>
      <c r="K57" s="75">
        <f t="shared" si="14"/>
        <v>0</v>
      </c>
      <c r="L57" s="76">
        <f t="shared" si="15"/>
        <v>0</v>
      </c>
      <c r="M57" s="75">
        <f t="shared" si="16"/>
        <v>0</v>
      </c>
      <c r="N57" s="75">
        <f t="shared" si="17"/>
        <v>0</v>
      </c>
      <c r="O57" s="75">
        <f t="shared" si="18"/>
        <v>0</v>
      </c>
      <c r="P57" s="77">
        <f t="shared" si="19"/>
        <v>0</v>
      </c>
    </row>
    <row r="58" spans="1:16" s="61" customFormat="1" ht="25.5" x14ac:dyDescent="0.2">
      <c r="A58" s="155">
        <v>22</v>
      </c>
      <c r="B58" s="281" t="s">
        <v>126</v>
      </c>
      <c r="C58" s="176" t="s">
        <v>127</v>
      </c>
      <c r="D58" s="465" t="s">
        <v>83</v>
      </c>
      <c r="E58" s="172">
        <v>0.9</v>
      </c>
      <c r="F58" s="161"/>
      <c r="G58" s="159"/>
      <c r="H58" s="161"/>
      <c r="I58" s="161"/>
      <c r="J58" s="161"/>
      <c r="K58" s="75">
        <f t="shared" si="14"/>
        <v>0</v>
      </c>
      <c r="L58" s="76">
        <f t="shared" si="15"/>
        <v>0</v>
      </c>
      <c r="M58" s="75">
        <f t="shared" si="16"/>
        <v>0</v>
      </c>
      <c r="N58" s="75">
        <f t="shared" si="17"/>
        <v>0</v>
      </c>
      <c r="O58" s="75">
        <f t="shared" si="18"/>
        <v>0</v>
      </c>
      <c r="P58" s="77">
        <f t="shared" si="19"/>
        <v>0</v>
      </c>
    </row>
    <row r="59" spans="1:16" s="61" customFormat="1" ht="25.5" x14ac:dyDescent="0.2">
      <c r="A59" s="155">
        <v>23</v>
      </c>
      <c r="B59" s="281" t="s">
        <v>126</v>
      </c>
      <c r="C59" s="176" t="s">
        <v>128</v>
      </c>
      <c r="D59" s="182" t="s">
        <v>83</v>
      </c>
      <c r="E59" s="164">
        <v>5.6</v>
      </c>
      <c r="F59" s="161"/>
      <c r="G59" s="159"/>
      <c r="H59" s="161"/>
      <c r="I59" s="161"/>
      <c r="J59" s="161"/>
      <c r="K59" s="75">
        <f t="shared" si="14"/>
        <v>0</v>
      </c>
      <c r="L59" s="76">
        <f t="shared" si="15"/>
        <v>0</v>
      </c>
      <c r="M59" s="75">
        <f t="shared" si="16"/>
        <v>0</v>
      </c>
      <c r="N59" s="75">
        <f t="shared" si="17"/>
        <v>0</v>
      </c>
      <c r="O59" s="75">
        <f t="shared" si="18"/>
        <v>0</v>
      </c>
      <c r="P59" s="77">
        <f t="shared" si="19"/>
        <v>0</v>
      </c>
    </row>
    <row r="60" spans="1:16" s="61" customFormat="1" ht="25.5" x14ac:dyDescent="0.2">
      <c r="A60" s="155">
        <v>24</v>
      </c>
      <c r="B60" s="281"/>
      <c r="C60" s="466" t="s">
        <v>129</v>
      </c>
      <c r="D60" s="182" t="s">
        <v>78</v>
      </c>
      <c r="E60" s="164">
        <v>0.6</v>
      </c>
      <c r="F60" s="161"/>
      <c r="G60" s="159"/>
      <c r="H60" s="161"/>
      <c r="I60" s="161"/>
      <c r="J60" s="161"/>
      <c r="K60" s="75">
        <f t="shared" si="14"/>
        <v>0</v>
      </c>
      <c r="L60" s="76">
        <f t="shared" si="15"/>
        <v>0</v>
      </c>
      <c r="M60" s="75">
        <f t="shared" si="16"/>
        <v>0</v>
      </c>
      <c r="N60" s="75">
        <f t="shared" si="17"/>
        <v>0</v>
      </c>
      <c r="O60" s="75">
        <f t="shared" si="18"/>
        <v>0</v>
      </c>
      <c r="P60" s="77">
        <f t="shared" si="19"/>
        <v>0</v>
      </c>
    </row>
    <row r="61" spans="1:16" s="61" customFormat="1" ht="76.5" x14ac:dyDescent="0.2">
      <c r="A61" s="155">
        <v>25</v>
      </c>
      <c r="B61" s="281" t="s">
        <v>126</v>
      </c>
      <c r="C61" s="176" t="s">
        <v>130</v>
      </c>
      <c r="D61" s="182" t="s">
        <v>131</v>
      </c>
      <c r="E61" s="164">
        <f>(37.4+136.8+6.7)</f>
        <v>180.9</v>
      </c>
      <c r="F61" s="177"/>
      <c r="G61" s="159"/>
      <c r="H61" s="161"/>
      <c r="I61" s="161"/>
      <c r="J61" s="161"/>
      <c r="K61" s="75">
        <f t="shared" si="14"/>
        <v>0</v>
      </c>
      <c r="L61" s="76">
        <f t="shared" si="15"/>
        <v>0</v>
      </c>
      <c r="M61" s="75">
        <f t="shared" si="16"/>
        <v>0</v>
      </c>
      <c r="N61" s="75">
        <f t="shared" si="17"/>
        <v>0</v>
      </c>
      <c r="O61" s="75">
        <f t="shared" si="18"/>
        <v>0</v>
      </c>
      <c r="P61" s="77">
        <f t="shared" si="19"/>
        <v>0</v>
      </c>
    </row>
    <row r="62" spans="1:16" s="61" customFormat="1" x14ac:dyDescent="0.2">
      <c r="A62" s="155">
        <v>0</v>
      </c>
      <c r="B62" s="281"/>
      <c r="C62" s="178" t="s">
        <v>132</v>
      </c>
      <c r="D62" s="179" t="s">
        <v>131</v>
      </c>
      <c r="E62" s="180">
        <f>E61*1.15</f>
        <v>208.035</v>
      </c>
      <c r="F62" s="159"/>
      <c r="G62" s="159"/>
      <c r="H62" s="161"/>
      <c r="I62" s="161"/>
      <c r="J62" s="161"/>
      <c r="K62" s="75">
        <f t="shared" si="14"/>
        <v>0</v>
      </c>
      <c r="L62" s="76">
        <f t="shared" si="15"/>
        <v>0</v>
      </c>
      <c r="M62" s="75">
        <f t="shared" si="16"/>
        <v>0</v>
      </c>
      <c r="N62" s="75">
        <f t="shared" si="17"/>
        <v>0</v>
      </c>
      <c r="O62" s="75">
        <f t="shared" si="18"/>
        <v>0</v>
      </c>
      <c r="P62" s="77">
        <f t="shared" si="19"/>
        <v>0</v>
      </c>
    </row>
    <row r="63" spans="1:16" s="61" customFormat="1" ht="25.5" x14ac:dyDescent="0.2">
      <c r="A63" s="155">
        <v>0</v>
      </c>
      <c r="B63" s="281"/>
      <c r="C63" s="181" t="s">
        <v>133</v>
      </c>
      <c r="D63" s="182" t="s">
        <v>66</v>
      </c>
      <c r="E63" s="182">
        <v>1</v>
      </c>
      <c r="F63" s="159"/>
      <c r="G63" s="159"/>
      <c r="H63" s="161"/>
      <c r="I63" s="161"/>
      <c r="J63" s="161"/>
      <c r="K63" s="75">
        <f t="shared" si="14"/>
        <v>0</v>
      </c>
      <c r="L63" s="76">
        <f t="shared" si="15"/>
        <v>0</v>
      </c>
      <c r="M63" s="75">
        <f t="shared" si="16"/>
        <v>0</v>
      </c>
      <c r="N63" s="75">
        <f t="shared" si="17"/>
        <v>0</v>
      </c>
      <c r="O63" s="75">
        <f t="shared" si="18"/>
        <v>0</v>
      </c>
      <c r="P63" s="77">
        <f t="shared" si="19"/>
        <v>0</v>
      </c>
    </row>
    <row r="64" spans="1:16" s="61" customFormat="1" ht="25.5" x14ac:dyDescent="0.2">
      <c r="A64" s="155">
        <v>26</v>
      </c>
      <c r="B64" s="281" t="s">
        <v>126</v>
      </c>
      <c r="C64" s="527" t="s">
        <v>157</v>
      </c>
      <c r="D64" s="179" t="s">
        <v>78</v>
      </c>
      <c r="E64" s="164">
        <v>1.9</v>
      </c>
      <c r="F64" s="159"/>
      <c r="G64" s="159"/>
      <c r="H64" s="161"/>
      <c r="I64" s="161"/>
      <c r="J64" s="161"/>
      <c r="K64" s="75">
        <f t="shared" si="14"/>
        <v>0</v>
      </c>
      <c r="L64" s="76">
        <f t="shared" si="15"/>
        <v>0</v>
      </c>
      <c r="M64" s="75">
        <f t="shared" si="16"/>
        <v>0</v>
      </c>
      <c r="N64" s="75">
        <f t="shared" si="17"/>
        <v>0</v>
      </c>
      <c r="O64" s="75">
        <f t="shared" si="18"/>
        <v>0</v>
      </c>
      <c r="P64" s="77">
        <f t="shared" si="19"/>
        <v>0</v>
      </c>
    </row>
    <row r="65" spans="1:16" s="61" customFormat="1" x14ac:dyDescent="0.2">
      <c r="A65" s="155">
        <v>0</v>
      </c>
      <c r="B65" s="194"/>
      <c r="C65" s="528" t="s">
        <v>158</v>
      </c>
      <c r="D65" s="179" t="s">
        <v>78</v>
      </c>
      <c r="E65" s="184">
        <f>E64*1.05</f>
        <v>1.9949999999999999</v>
      </c>
      <c r="F65" s="185"/>
      <c r="G65" s="159"/>
      <c r="H65" s="161"/>
      <c r="I65" s="161"/>
      <c r="J65" s="161"/>
      <c r="K65" s="75">
        <f t="shared" si="14"/>
        <v>0</v>
      </c>
      <c r="L65" s="76">
        <f t="shared" si="15"/>
        <v>0</v>
      </c>
      <c r="M65" s="75">
        <f t="shared" si="16"/>
        <v>0</v>
      </c>
      <c r="N65" s="75">
        <f t="shared" si="17"/>
        <v>0</v>
      </c>
      <c r="O65" s="75">
        <f t="shared" si="18"/>
        <v>0</v>
      </c>
      <c r="P65" s="77">
        <f t="shared" si="19"/>
        <v>0</v>
      </c>
    </row>
    <row r="66" spans="1:16" s="61" customFormat="1" x14ac:dyDescent="0.2">
      <c r="A66" s="155">
        <v>0</v>
      </c>
      <c r="B66" s="194"/>
      <c r="C66" s="183" t="s">
        <v>136</v>
      </c>
      <c r="D66" s="179" t="s">
        <v>137</v>
      </c>
      <c r="E66" s="184">
        <f>E64*0.25</f>
        <v>0.47499999999999998</v>
      </c>
      <c r="F66" s="185"/>
      <c r="G66" s="159"/>
      <c r="H66" s="161"/>
      <c r="I66" s="154"/>
      <c r="J66" s="161"/>
      <c r="K66" s="75">
        <f t="shared" si="14"/>
        <v>0</v>
      </c>
      <c r="L66" s="76">
        <f t="shared" si="15"/>
        <v>0</v>
      </c>
      <c r="M66" s="75">
        <f t="shared" si="16"/>
        <v>0</v>
      </c>
      <c r="N66" s="75">
        <f t="shared" si="17"/>
        <v>0</v>
      </c>
      <c r="O66" s="75">
        <f t="shared" si="18"/>
        <v>0</v>
      </c>
      <c r="P66" s="77">
        <f t="shared" si="19"/>
        <v>0</v>
      </c>
    </row>
    <row r="67" spans="1:16" s="61" customFormat="1" ht="25.5" x14ac:dyDescent="0.2">
      <c r="A67" s="155">
        <v>27</v>
      </c>
      <c r="B67" s="281" t="s">
        <v>126</v>
      </c>
      <c r="C67" s="176" t="s">
        <v>138</v>
      </c>
      <c r="D67" s="179" t="s">
        <v>78</v>
      </c>
      <c r="E67" s="164">
        <v>0.48</v>
      </c>
      <c r="F67" s="159"/>
      <c r="G67" s="159"/>
      <c r="H67" s="161"/>
      <c r="I67" s="161"/>
      <c r="J67" s="161"/>
      <c r="K67" s="75">
        <f t="shared" si="14"/>
        <v>0</v>
      </c>
      <c r="L67" s="76">
        <f t="shared" si="15"/>
        <v>0</v>
      </c>
      <c r="M67" s="75">
        <f t="shared" si="16"/>
        <v>0</v>
      </c>
      <c r="N67" s="75">
        <f t="shared" si="17"/>
        <v>0</v>
      </c>
      <c r="O67" s="75">
        <f t="shared" si="18"/>
        <v>0</v>
      </c>
      <c r="P67" s="77">
        <f t="shared" si="19"/>
        <v>0</v>
      </c>
    </row>
    <row r="68" spans="1:16" s="61" customFormat="1" x14ac:dyDescent="0.2">
      <c r="A68" s="155">
        <v>0</v>
      </c>
      <c r="B68" s="194"/>
      <c r="C68" s="183" t="s">
        <v>139</v>
      </c>
      <c r="D68" s="179" t="s">
        <v>78</v>
      </c>
      <c r="E68" s="184">
        <f>E67*1.05</f>
        <v>0.504</v>
      </c>
      <c r="F68" s="185"/>
      <c r="G68" s="159"/>
      <c r="H68" s="161"/>
      <c r="I68" s="161"/>
      <c r="J68" s="161"/>
      <c r="K68" s="75">
        <f t="shared" si="14"/>
        <v>0</v>
      </c>
      <c r="L68" s="76">
        <f t="shared" si="15"/>
        <v>0</v>
      </c>
      <c r="M68" s="75">
        <f t="shared" si="16"/>
        <v>0</v>
      </c>
      <c r="N68" s="75">
        <f t="shared" si="17"/>
        <v>0</v>
      </c>
      <c r="O68" s="75">
        <f t="shared" si="18"/>
        <v>0</v>
      </c>
      <c r="P68" s="77">
        <f t="shared" si="19"/>
        <v>0</v>
      </c>
    </row>
    <row r="69" spans="1:16" s="61" customFormat="1" x14ac:dyDescent="0.2">
      <c r="A69" s="155">
        <v>0</v>
      </c>
      <c r="B69" s="194"/>
      <c r="C69" s="183" t="s">
        <v>136</v>
      </c>
      <c r="D69" s="179" t="s">
        <v>137</v>
      </c>
      <c r="E69" s="184">
        <f>E67*0.25</f>
        <v>0.12</v>
      </c>
      <c r="F69" s="185"/>
      <c r="G69" s="159"/>
      <c r="H69" s="161"/>
      <c r="I69" s="154"/>
      <c r="J69" s="161"/>
      <c r="K69" s="75">
        <f t="shared" si="14"/>
        <v>0</v>
      </c>
      <c r="L69" s="76">
        <f t="shared" si="15"/>
        <v>0</v>
      </c>
      <c r="M69" s="75">
        <f t="shared" si="16"/>
        <v>0</v>
      </c>
      <c r="N69" s="75">
        <f t="shared" si="17"/>
        <v>0</v>
      </c>
      <c r="O69" s="75">
        <f t="shared" si="18"/>
        <v>0</v>
      </c>
      <c r="P69" s="77">
        <f t="shared" si="19"/>
        <v>0</v>
      </c>
    </row>
    <row r="70" spans="1:16" s="61" customFormat="1" ht="25.5" x14ac:dyDescent="0.2">
      <c r="A70" s="155">
        <v>28</v>
      </c>
      <c r="B70" s="281" t="s">
        <v>126</v>
      </c>
      <c r="C70" s="186" t="s">
        <v>140</v>
      </c>
      <c r="D70" s="182" t="s">
        <v>59</v>
      </c>
      <c r="E70" s="182">
        <v>1</v>
      </c>
      <c r="F70" s="159"/>
      <c r="G70" s="159"/>
      <c r="H70" s="161"/>
      <c r="I70" s="161"/>
      <c r="J70" s="161"/>
      <c r="K70" s="75">
        <f t="shared" si="14"/>
        <v>0</v>
      </c>
      <c r="L70" s="76">
        <f t="shared" si="15"/>
        <v>0</v>
      </c>
      <c r="M70" s="75">
        <f t="shared" si="16"/>
        <v>0</v>
      </c>
      <c r="N70" s="75">
        <f t="shared" si="17"/>
        <v>0</v>
      </c>
      <c r="O70" s="75">
        <f t="shared" si="18"/>
        <v>0</v>
      </c>
      <c r="P70" s="77">
        <f t="shared" si="19"/>
        <v>0</v>
      </c>
    </row>
    <row r="71" spans="1:16" s="61" customFormat="1" x14ac:dyDescent="0.2">
      <c r="A71" s="155">
        <v>0</v>
      </c>
      <c r="B71" s="194"/>
      <c r="C71" s="183"/>
      <c r="D71" s="179"/>
      <c r="E71" s="184"/>
      <c r="F71" s="185"/>
      <c r="G71" s="159"/>
      <c r="H71" s="161"/>
      <c r="I71" s="154"/>
      <c r="J71" s="161"/>
      <c r="K71" s="75">
        <f t="shared" si="14"/>
        <v>0</v>
      </c>
      <c r="L71" s="76">
        <f t="shared" si="15"/>
        <v>0</v>
      </c>
      <c r="M71" s="75">
        <f t="shared" si="16"/>
        <v>0</v>
      </c>
      <c r="N71" s="75">
        <f t="shared" si="17"/>
        <v>0</v>
      </c>
      <c r="O71" s="75">
        <f t="shared" si="18"/>
        <v>0</v>
      </c>
      <c r="P71" s="77">
        <f t="shared" si="19"/>
        <v>0</v>
      </c>
    </row>
    <row r="72" spans="1:16" s="61" customFormat="1" x14ac:dyDescent="0.2">
      <c r="A72" s="155">
        <v>0</v>
      </c>
      <c r="B72" s="194"/>
      <c r="C72" s="464" t="s">
        <v>142</v>
      </c>
      <c r="D72" s="179"/>
      <c r="E72" s="184"/>
      <c r="F72" s="185"/>
      <c r="G72" s="159"/>
      <c r="H72" s="161"/>
      <c r="I72" s="154"/>
      <c r="J72" s="161"/>
      <c r="K72" s="75">
        <f t="shared" si="14"/>
        <v>0</v>
      </c>
      <c r="L72" s="76">
        <f t="shared" si="15"/>
        <v>0</v>
      </c>
      <c r="M72" s="75">
        <f t="shared" si="16"/>
        <v>0</v>
      </c>
      <c r="N72" s="75">
        <f t="shared" si="17"/>
        <v>0</v>
      </c>
      <c r="O72" s="75">
        <f t="shared" si="18"/>
        <v>0</v>
      </c>
      <c r="P72" s="77">
        <f t="shared" si="19"/>
        <v>0</v>
      </c>
    </row>
    <row r="73" spans="1:16" s="61" customFormat="1" ht="25.5" x14ac:dyDescent="0.2">
      <c r="A73" s="155">
        <v>29</v>
      </c>
      <c r="B73" s="281" t="s">
        <v>126</v>
      </c>
      <c r="C73" s="176" t="s">
        <v>127</v>
      </c>
      <c r="D73" s="465" t="s">
        <v>83</v>
      </c>
      <c r="E73" s="172">
        <v>1.2</v>
      </c>
      <c r="F73" s="161"/>
      <c r="G73" s="159"/>
      <c r="H73" s="161"/>
      <c r="I73" s="161"/>
      <c r="J73" s="161"/>
      <c r="K73" s="75">
        <f t="shared" si="14"/>
        <v>0</v>
      </c>
      <c r="L73" s="76">
        <f t="shared" si="15"/>
        <v>0</v>
      </c>
      <c r="M73" s="75">
        <f t="shared" si="16"/>
        <v>0</v>
      </c>
      <c r="N73" s="75">
        <f t="shared" si="17"/>
        <v>0</v>
      </c>
      <c r="O73" s="75">
        <f t="shared" si="18"/>
        <v>0</v>
      </c>
      <c r="P73" s="77">
        <f t="shared" si="19"/>
        <v>0</v>
      </c>
    </row>
    <row r="74" spans="1:16" s="61" customFormat="1" ht="25.5" x14ac:dyDescent="0.2">
      <c r="A74" s="155">
        <v>30</v>
      </c>
      <c r="B74" s="281" t="s">
        <v>126</v>
      </c>
      <c r="C74" s="176" t="s">
        <v>128</v>
      </c>
      <c r="D74" s="182" t="s">
        <v>83</v>
      </c>
      <c r="E74" s="164">
        <v>6.6</v>
      </c>
      <c r="F74" s="161"/>
      <c r="G74" s="159"/>
      <c r="H74" s="161"/>
      <c r="I74" s="161"/>
      <c r="J74" s="161"/>
      <c r="K74" s="75">
        <f t="shared" si="14"/>
        <v>0</v>
      </c>
      <c r="L74" s="76">
        <f t="shared" si="15"/>
        <v>0</v>
      </c>
      <c r="M74" s="75">
        <f t="shared" si="16"/>
        <v>0</v>
      </c>
      <c r="N74" s="75">
        <f t="shared" si="17"/>
        <v>0</v>
      </c>
      <c r="O74" s="75">
        <f t="shared" si="18"/>
        <v>0</v>
      </c>
      <c r="P74" s="77">
        <f t="shared" si="19"/>
        <v>0</v>
      </c>
    </row>
    <row r="75" spans="1:16" s="61" customFormat="1" ht="25.5" x14ac:dyDescent="0.2">
      <c r="A75" s="155">
        <v>31</v>
      </c>
      <c r="B75" s="281"/>
      <c r="C75" s="466" t="s">
        <v>129</v>
      </c>
      <c r="D75" s="182" t="s">
        <v>78</v>
      </c>
      <c r="E75" s="164">
        <v>0.6</v>
      </c>
      <c r="F75" s="161"/>
      <c r="G75" s="159"/>
      <c r="H75" s="161"/>
      <c r="I75" s="161"/>
      <c r="J75" s="161"/>
      <c r="K75" s="75">
        <f t="shared" si="14"/>
        <v>0</v>
      </c>
      <c r="L75" s="76">
        <f t="shared" si="15"/>
        <v>0</v>
      </c>
      <c r="M75" s="75">
        <f t="shared" si="16"/>
        <v>0</v>
      </c>
      <c r="N75" s="75">
        <f t="shared" si="17"/>
        <v>0</v>
      </c>
      <c r="O75" s="75">
        <f t="shared" si="18"/>
        <v>0</v>
      </c>
      <c r="P75" s="77">
        <f t="shared" si="19"/>
        <v>0</v>
      </c>
    </row>
    <row r="76" spans="1:16" s="61" customFormat="1" ht="76.5" x14ac:dyDescent="0.2">
      <c r="A76" s="155">
        <v>32</v>
      </c>
      <c r="B76" s="281" t="s">
        <v>126</v>
      </c>
      <c r="C76" s="176" t="s">
        <v>130</v>
      </c>
      <c r="D76" s="182" t="s">
        <v>131</v>
      </c>
      <c r="E76" s="164">
        <f>(18.7+61.2+3.15)*2</f>
        <v>166.10000000000002</v>
      </c>
      <c r="F76" s="177"/>
      <c r="G76" s="159"/>
      <c r="H76" s="161"/>
      <c r="I76" s="161"/>
      <c r="J76" s="161"/>
      <c r="K76" s="75">
        <f t="shared" si="14"/>
        <v>0</v>
      </c>
      <c r="L76" s="76">
        <f t="shared" si="15"/>
        <v>0</v>
      </c>
      <c r="M76" s="75">
        <f t="shared" si="16"/>
        <v>0</v>
      </c>
      <c r="N76" s="75">
        <f t="shared" si="17"/>
        <v>0</v>
      </c>
      <c r="O76" s="75">
        <f t="shared" si="18"/>
        <v>0</v>
      </c>
      <c r="P76" s="77">
        <f t="shared" si="19"/>
        <v>0</v>
      </c>
    </row>
    <row r="77" spans="1:16" s="61" customFormat="1" x14ac:dyDescent="0.2">
      <c r="A77" s="155">
        <v>0</v>
      </c>
      <c r="B77" s="281"/>
      <c r="C77" s="178" t="s">
        <v>132</v>
      </c>
      <c r="D77" s="179" t="s">
        <v>131</v>
      </c>
      <c r="E77" s="180">
        <f>E76*1.15</f>
        <v>191.01500000000001</v>
      </c>
      <c r="F77" s="159"/>
      <c r="G77" s="159"/>
      <c r="H77" s="161"/>
      <c r="I77" s="161"/>
      <c r="J77" s="161"/>
      <c r="K77" s="75">
        <f t="shared" si="14"/>
        <v>0</v>
      </c>
      <c r="L77" s="76">
        <f t="shared" si="15"/>
        <v>0</v>
      </c>
      <c r="M77" s="75">
        <f t="shared" si="16"/>
        <v>0</v>
      </c>
      <c r="N77" s="75">
        <f t="shared" si="17"/>
        <v>0</v>
      </c>
      <c r="O77" s="75">
        <f t="shared" si="18"/>
        <v>0</v>
      </c>
      <c r="P77" s="77">
        <f t="shared" si="19"/>
        <v>0</v>
      </c>
    </row>
    <row r="78" spans="1:16" s="61" customFormat="1" ht="25.5" x14ac:dyDescent="0.2">
      <c r="A78" s="155">
        <v>0</v>
      </c>
      <c r="B78" s="281"/>
      <c r="C78" s="181" t="s">
        <v>133</v>
      </c>
      <c r="D78" s="182" t="s">
        <v>66</v>
      </c>
      <c r="E78" s="182">
        <v>1</v>
      </c>
      <c r="F78" s="159"/>
      <c r="G78" s="159"/>
      <c r="H78" s="161"/>
      <c r="I78" s="161"/>
      <c r="J78" s="161"/>
      <c r="K78" s="75">
        <f t="shared" si="14"/>
        <v>0</v>
      </c>
      <c r="L78" s="76">
        <f t="shared" si="15"/>
        <v>0</v>
      </c>
      <c r="M78" s="75">
        <f t="shared" si="16"/>
        <v>0</v>
      </c>
      <c r="N78" s="75">
        <f t="shared" si="17"/>
        <v>0</v>
      </c>
      <c r="O78" s="75">
        <f t="shared" si="18"/>
        <v>0</v>
      </c>
      <c r="P78" s="77">
        <f t="shared" si="19"/>
        <v>0</v>
      </c>
    </row>
    <row r="79" spans="1:16" s="61" customFormat="1" ht="25.5" x14ac:dyDescent="0.2">
      <c r="A79" s="155">
        <v>33</v>
      </c>
      <c r="B79" s="281" t="s">
        <v>126</v>
      </c>
      <c r="C79" s="527" t="s">
        <v>803</v>
      </c>
      <c r="D79" s="179" t="s">
        <v>78</v>
      </c>
      <c r="E79" s="164">
        <f>0.56*2</f>
        <v>1.1200000000000001</v>
      </c>
      <c r="F79" s="159"/>
      <c r="G79" s="159"/>
      <c r="H79" s="161"/>
      <c r="I79" s="161"/>
      <c r="J79" s="161"/>
      <c r="K79" s="75">
        <f t="shared" ref="K79:K142" si="20">SUM(H79:J79)</f>
        <v>0</v>
      </c>
      <c r="L79" s="76">
        <f t="shared" ref="L79:L142" si="21">ROUND(F79*E79,2)</f>
        <v>0</v>
      </c>
      <c r="M79" s="75">
        <f t="shared" ref="M79:M142" si="22">ROUND(H79*E79,2)</f>
        <v>0</v>
      </c>
      <c r="N79" s="75">
        <f t="shared" ref="N79:N142" si="23">ROUND(I79*E79,2)</f>
        <v>0</v>
      </c>
      <c r="O79" s="75">
        <f t="shared" ref="O79:O142" si="24">ROUND(J79*E79,2)</f>
        <v>0</v>
      </c>
      <c r="P79" s="77">
        <f t="shared" ref="P79:P142" si="25">SUM(M79:O79)</f>
        <v>0</v>
      </c>
    </row>
    <row r="80" spans="1:16" s="61" customFormat="1" x14ac:dyDescent="0.2">
      <c r="A80" s="155">
        <v>0</v>
      </c>
      <c r="B80" s="194"/>
      <c r="C80" s="528" t="s">
        <v>158</v>
      </c>
      <c r="D80" s="179" t="s">
        <v>78</v>
      </c>
      <c r="E80" s="184">
        <f>E79*1.05</f>
        <v>1.1760000000000002</v>
      </c>
      <c r="F80" s="185"/>
      <c r="G80" s="159"/>
      <c r="H80" s="161"/>
      <c r="I80" s="161"/>
      <c r="J80" s="161"/>
      <c r="K80" s="75">
        <f t="shared" si="20"/>
        <v>0</v>
      </c>
      <c r="L80" s="76">
        <f t="shared" si="21"/>
        <v>0</v>
      </c>
      <c r="M80" s="75">
        <f t="shared" si="22"/>
        <v>0</v>
      </c>
      <c r="N80" s="75">
        <f t="shared" si="23"/>
        <v>0</v>
      </c>
      <c r="O80" s="75">
        <f t="shared" si="24"/>
        <v>0</v>
      </c>
      <c r="P80" s="77">
        <f t="shared" si="25"/>
        <v>0</v>
      </c>
    </row>
    <row r="81" spans="1:16" s="61" customFormat="1" x14ac:dyDescent="0.2">
      <c r="A81" s="155">
        <v>0</v>
      </c>
      <c r="B81" s="194"/>
      <c r="C81" s="183" t="s">
        <v>136</v>
      </c>
      <c r="D81" s="179" t="s">
        <v>137</v>
      </c>
      <c r="E81" s="184">
        <f>E79*0.25</f>
        <v>0.28000000000000003</v>
      </c>
      <c r="F81" s="185"/>
      <c r="G81" s="159"/>
      <c r="H81" s="161"/>
      <c r="I81" s="154"/>
      <c r="J81" s="161"/>
      <c r="K81" s="75">
        <f t="shared" si="20"/>
        <v>0</v>
      </c>
      <c r="L81" s="76">
        <f t="shared" si="21"/>
        <v>0</v>
      </c>
      <c r="M81" s="75">
        <f t="shared" si="22"/>
        <v>0</v>
      </c>
      <c r="N81" s="75">
        <f t="shared" si="23"/>
        <v>0</v>
      </c>
      <c r="O81" s="75">
        <f t="shared" si="24"/>
        <v>0</v>
      </c>
      <c r="P81" s="77">
        <f t="shared" si="25"/>
        <v>0</v>
      </c>
    </row>
    <row r="82" spans="1:16" s="61" customFormat="1" ht="25.5" x14ac:dyDescent="0.2">
      <c r="A82" s="155">
        <v>34</v>
      </c>
      <c r="B82" s="281" t="s">
        <v>126</v>
      </c>
      <c r="C82" s="176" t="s">
        <v>138</v>
      </c>
      <c r="D82" s="179" t="s">
        <v>78</v>
      </c>
      <c r="E82" s="164">
        <f>0.2*2</f>
        <v>0.4</v>
      </c>
      <c r="F82" s="159"/>
      <c r="G82" s="159"/>
      <c r="H82" s="161"/>
      <c r="I82" s="161"/>
      <c r="J82" s="161"/>
      <c r="K82" s="75">
        <f t="shared" si="20"/>
        <v>0</v>
      </c>
      <c r="L82" s="76">
        <f t="shared" si="21"/>
        <v>0</v>
      </c>
      <c r="M82" s="75">
        <f t="shared" si="22"/>
        <v>0</v>
      </c>
      <c r="N82" s="75">
        <f t="shared" si="23"/>
        <v>0</v>
      </c>
      <c r="O82" s="75">
        <f t="shared" si="24"/>
        <v>0</v>
      </c>
      <c r="P82" s="77">
        <f t="shared" si="25"/>
        <v>0</v>
      </c>
    </row>
    <row r="83" spans="1:16" s="61" customFormat="1" x14ac:dyDescent="0.2">
      <c r="A83" s="155">
        <v>0</v>
      </c>
      <c r="B83" s="194"/>
      <c r="C83" s="183" t="s">
        <v>139</v>
      </c>
      <c r="D83" s="179" t="s">
        <v>78</v>
      </c>
      <c r="E83" s="184">
        <f>E82*1.05</f>
        <v>0.42000000000000004</v>
      </c>
      <c r="F83" s="185"/>
      <c r="G83" s="159"/>
      <c r="H83" s="161"/>
      <c r="I83" s="161"/>
      <c r="J83" s="161"/>
      <c r="K83" s="75">
        <f t="shared" si="20"/>
        <v>0</v>
      </c>
      <c r="L83" s="76">
        <f t="shared" si="21"/>
        <v>0</v>
      </c>
      <c r="M83" s="75">
        <f t="shared" si="22"/>
        <v>0</v>
      </c>
      <c r="N83" s="75">
        <f t="shared" si="23"/>
        <v>0</v>
      </c>
      <c r="O83" s="75">
        <f t="shared" si="24"/>
        <v>0</v>
      </c>
      <c r="P83" s="77">
        <f t="shared" si="25"/>
        <v>0</v>
      </c>
    </row>
    <row r="84" spans="1:16" s="61" customFormat="1" x14ac:dyDescent="0.2">
      <c r="A84" s="155">
        <v>0</v>
      </c>
      <c r="B84" s="194"/>
      <c r="C84" s="183" t="s">
        <v>136</v>
      </c>
      <c r="D84" s="179" t="s">
        <v>137</v>
      </c>
      <c r="E84" s="184">
        <f>E82*0.25</f>
        <v>0.1</v>
      </c>
      <c r="F84" s="185"/>
      <c r="G84" s="159"/>
      <c r="H84" s="161"/>
      <c r="I84" s="154"/>
      <c r="J84" s="161"/>
      <c r="K84" s="75">
        <f t="shared" si="20"/>
        <v>0</v>
      </c>
      <c r="L84" s="76">
        <f t="shared" si="21"/>
        <v>0</v>
      </c>
      <c r="M84" s="75">
        <f t="shared" si="22"/>
        <v>0</v>
      </c>
      <c r="N84" s="75">
        <f t="shared" si="23"/>
        <v>0</v>
      </c>
      <c r="O84" s="75">
        <f t="shared" si="24"/>
        <v>0</v>
      </c>
      <c r="P84" s="77">
        <f t="shared" si="25"/>
        <v>0</v>
      </c>
    </row>
    <row r="85" spans="1:16" s="61" customFormat="1" ht="25.5" x14ac:dyDescent="0.2">
      <c r="A85" s="369">
        <v>35</v>
      </c>
      <c r="B85" s="281" t="s">
        <v>126</v>
      </c>
      <c r="C85" s="186" t="s">
        <v>140</v>
      </c>
      <c r="D85" s="182" t="s">
        <v>59</v>
      </c>
      <c r="E85" s="182">
        <v>2</v>
      </c>
      <c r="F85" s="159"/>
      <c r="G85" s="159"/>
      <c r="H85" s="161"/>
      <c r="I85" s="161"/>
      <c r="J85" s="161"/>
      <c r="K85" s="75">
        <f t="shared" si="20"/>
        <v>0</v>
      </c>
      <c r="L85" s="76">
        <f t="shared" si="21"/>
        <v>0</v>
      </c>
      <c r="M85" s="75">
        <f t="shared" si="22"/>
        <v>0</v>
      </c>
      <c r="N85" s="75">
        <f t="shared" si="23"/>
        <v>0</v>
      </c>
      <c r="O85" s="75">
        <f t="shared" si="24"/>
        <v>0</v>
      </c>
      <c r="P85" s="77">
        <f t="shared" si="25"/>
        <v>0</v>
      </c>
    </row>
    <row r="86" spans="1:16" s="61" customFormat="1" x14ac:dyDescent="0.2">
      <c r="A86" s="409">
        <v>0</v>
      </c>
      <c r="B86" s="281"/>
      <c r="C86" s="176"/>
      <c r="D86" s="179"/>
      <c r="E86" s="164"/>
      <c r="F86" s="159"/>
      <c r="G86" s="159"/>
      <c r="H86" s="161"/>
      <c r="I86" s="161"/>
      <c r="J86" s="161"/>
      <c r="K86" s="75">
        <f t="shared" si="20"/>
        <v>0</v>
      </c>
      <c r="L86" s="76">
        <f t="shared" si="21"/>
        <v>0</v>
      </c>
      <c r="M86" s="75">
        <f t="shared" si="22"/>
        <v>0</v>
      </c>
      <c r="N86" s="75">
        <f t="shared" si="23"/>
        <v>0</v>
      </c>
      <c r="O86" s="75">
        <f t="shared" si="24"/>
        <v>0</v>
      </c>
      <c r="P86" s="77">
        <f t="shared" si="25"/>
        <v>0</v>
      </c>
    </row>
    <row r="87" spans="1:16" s="61" customFormat="1" x14ac:dyDescent="0.2">
      <c r="A87" s="187">
        <v>0</v>
      </c>
      <c r="B87" s="194"/>
      <c r="C87" s="464" t="s">
        <v>143</v>
      </c>
      <c r="D87" s="179"/>
      <c r="E87" s="184"/>
      <c r="F87" s="185"/>
      <c r="G87" s="159"/>
      <c r="H87" s="161"/>
      <c r="I87" s="154"/>
      <c r="J87" s="161"/>
      <c r="K87" s="75">
        <f t="shared" si="20"/>
        <v>0</v>
      </c>
      <c r="L87" s="76">
        <f t="shared" si="21"/>
        <v>0</v>
      </c>
      <c r="M87" s="75">
        <f t="shared" si="22"/>
        <v>0</v>
      </c>
      <c r="N87" s="75">
        <f t="shared" si="23"/>
        <v>0</v>
      </c>
      <c r="O87" s="75">
        <f t="shared" si="24"/>
        <v>0</v>
      </c>
      <c r="P87" s="77">
        <f t="shared" si="25"/>
        <v>0</v>
      </c>
    </row>
    <row r="88" spans="1:16" s="61" customFormat="1" ht="25.5" x14ac:dyDescent="0.2">
      <c r="A88" s="155">
        <v>36</v>
      </c>
      <c r="B88" s="281" t="s">
        <v>126</v>
      </c>
      <c r="C88" s="176" t="s">
        <v>127</v>
      </c>
      <c r="D88" s="465" t="s">
        <v>83</v>
      </c>
      <c r="E88" s="172">
        <v>0.7</v>
      </c>
      <c r="F88" s="161"/>
      <c r="G88" s="159"/>
      <c r="H88" s="161"/>
      <c r="I88" s="161"/>
      <c r="J88" s="161"/>
      <c r="K88" s="75">
        <f t="shared" si="20"/>
        <v>0</v>
      </c>
      <c r="L88" s="76">
        <f t="shared" si="21"/>
        <v>0</v>
      </c>
      <c r="M88" s="75">
        <f t="shared" si="22"/>
        <v>0</v>
      </c>
      <c r="N88" s="75">
        <f t="shared" si="23"/>
        <v>0</v>
      </c>
      <c r="O88" s="75">
        <f t="shared" si="24"/>
        <v>0</v>
      </c>
      <c r="P88" s="77">
        <f t="shared" si="25"/>
        <v>0</v>
      </c>
    </row>
    <row r="89" spans="1:16" s="61" customFormat="1" x14ac:dyDescent="0.2">
      <c r="A89" s="155">
        <v>37</v>
      </c>
      <c r="B89" s="281" t="s">
        <v>126</v>
      </c>
      <c r="C89" s="467"/>
      <c r="D89" s="182" t="s">
        <v>83</v>
      </c>
      <c r="E89" s="164">
        <v>3.6</v>
      </c>
      <c r="F89" s="161"/>
      <c r="G89" s="159"/>
      <c r="H89" s="161"/>
      <c r="I89" s="161"/>
      <c r="J89" s="161"/>
      <c r="K89" s="75">
        <f t="shared" si="20"/>
        <v>0</v>
      </c>
      <c r="L89" s="76">
        <f t="shared" si="21"/>
        <v>0</v>
      </c>
      <c r="M89" s="75">
        <f t="shared" si="22"/>
        <v>0</v>
      </c>
      <c r="N89" s="75">
        <f t="shared" si="23"/>
        <v>0</v>
      </c>
      <c r="O89" s="75">
        <f t="shared" si="24"/>
        <v>0</v>
      </c>
      <c r="P89" s="77">
        <f t="shared" si="25"/>
        <v>0</v>
      </c>
    </row>
    <row r="90" spans="1:16" s="61" customFormat="1" ht="25.5" x14ac:dyDescent="0.2">
      <c r="A90" s="155">
        <v>38</v>
      </c>
      <c r="B90" s="281"/>
      <c r="C90" s="466" t="s">
        <v>129</v>
      </c>
      <c r="D90" s="182" t="s">
        <v>78</v>
      </c>
      <c r="E90" s="164">
        <v>0.3</v>
      </c>
      <c r="F90" s="161"/>
      <c r="G90" s="159"/>
      <c r="H90" s="161"/>
      <c r="I90" s="161"/>
      <c r="J90" s="161"/>
      <c r="K90" s="75">
        <f t="shared" si="20"/>
        <v>0</v>
      </c>
      <c r="L90" s="76">
        <f t="shared" si="21"/>
        <v>0</v>
      </c>
      <c r="M90" s="75">
        <f t="shared" si="22"/>
        <v>0</v>
      </c>
      <c r="N90" s="75">
        <f t="shared" si="23"/>
        <v>0</v>
      </c>
      <c r="O90" s="75">
        <f t="shared" si="24"/>
        <v>0</v>
      </c>
      <c r="P90" s="77">
        <f t="shared" si="25"/>
        <v>0</v>
      </c>
    </row>
    <row r="91" spans="1:16" s="61" customFormat="1" ht="76.5" x14ac:dyDescent="0.2">
      <c r="A91" s="155">
        <v>39</v>
      </c>
      <c r="B91" s="281" t="s">
        <v>126</v>
      </c>
      <c r="C91" s="176" t="s">
        <v>130</v>
      </c>
      <c r="D91" s="182" t="s">
        <v>131</v>
      </c>
      <c r="E91" s="164">
        <f>18.7+61.2+3.15</f>
        <v>83.050000000000011</v>
      </c>
      <c r="F91" s="177"/>
      <c r="G91" s="159"/>
      <c r="H91" s="161"/>
      <c r="I91" s="161"/>
      <c r="J91" s="161"/>
      <c r="K91" s="75">
        <f t="shared" si="20"/>
        <v>0</v>
      </c>
      <c r="L91" s="76">
        <f t="shared" si="21"/>
        <v>0</v>
      </c>
      <c r="M91" s="75">
        <f t="shared" si="22"/>
        <v>0</v>
      </c>
      <c r="N91" s="75">
        <f t="shared" si="23"/>
        <v>0</v>
      </c>
      <c r="O91" s="75">
        <f t="shared" si="24"/>
        <v>0</v>
      </c>
      <c r="P91" s="77">
        <f t="shared" si="25"/>
        <v>0</v>
      </c>
    </row>
    <row r="92" spans="1:16" s="61" customFormat="1" x14ac:dyDescent="0.2">
      <c r="A92" s="155">
        <v>0</v>
      </c>
      <c r="B92" s="281"/>
      <c r="C92" s="178" t="s">
        <v>132</v>
      </c>
      <c r="D92" s="179" t="s">
        <v>131</v>
      </c>
      <c r="E92" s="180">
        <f>E91*1.15</f>
        <v>95.507500000000007</v>
      </c>
      <c r="F92" s="159"/>
      <c r="G92" s="159"/>
      <c r="H92" s="161"/>
      <c r="I92" s="161"/>
      <c r="J92" s="161"/>
      <c r="K92" s="75">
        <f t="shared" si="20"/>
        <v>0</v>
      </c>
      <c r="L92" s="76">
        <f t="shared" si="21"/>
        <v>0</v>
      </c>
      <c r="M92" s="75">
        <f t="shared" si="22"/>
        <v>0</v>
      </c>
      <c r="N92" s="75">
        <f t="shared" si="23"/>
        <v>0</v>
      </c>
      <c r="O92" s="75">
        <f t="shared" si="24"/>
        <v>0</v>
      </c>
      <c r="P92" s="77">
        <f t="shared" si="25"/>
        <v>0</v>
      </c>
    </row>
    <row r="93" spans="1:16" s="61" customFormat="1" ht="25.5" x14ac:dyDescent="0.2">
      <c r="A93" s="155">
        <v>0</v>
      </c>
      <c r="B93" s="281"/>
      <c r="C93" s="181" t="s">
        <v>133</v>
      </c>
      <c r="D93" s="182" t="s">
        <v>66</v>
      </c>
      <c r="E93" s="182">
        <v>1</v>
      </c>
      <c r="F93" s="159"/>
      <c r="G93" s="159"/>
      <c r="H93" s="161"/>
      <c r="I93" s="161"/>
      <c r="J93" s="161"/>
      <c r="K93" s="75">
        <f t="shared" si="20"/>
        <v>0</v>
      </c>
      <c r="L93" s="76">
        <f t="shared" si="21"/>
        <v>0</v>
      </c>
      <c r="M93" s="75">
        <f t="shared" si="22"/>
        <v>0</v>
      </c>
      <c r="N93" s="75">
        <f t="shared" si="23"/>
        <v>0</v>
      </c>
      <c r="O93" s="75">
        <f t="shared" si="24"/>
        <v>0</v>
      </c>
      <c r="P93" s="77">
        <f t="shared" si="25"/>
        <v>0</v>
      </c>
    </row>
    <row r="94" spans="1:16" s="61" customFormat="1" ht="25.5" x14ac:dyDescent="0.2">
      <c r="A94" s="155">
        <v>40</v>
      </c>
      <c r="B94" s="281" t="s">
        <v>126</v>
      </c>
      <c r="C94" s="527" t="s">
        <v>157</v>
      </c>
      <c r="D94" s="179" t="s">
        <v>78</v>
      </c>
      <c r="E94" s="164">
        <v>0.56000000000000005</v>
      </c>
      <c r="F94" s="159"/>
      <c r="G94" s="159"/>
      <c r="H94" s="161"/>
      <c r="I94" s="161"/>
      <c r="J94" s="161"/>
      <c r="K94" s="75">
        <f t="shared" si="20"/>
        <v>0</v>
      </c>
      <c r="L94" s="76">
        <f t="shared" si="21"/>
        <v>0</v>
      </c>
      <c r="M94" s="75">
        <f t="shared" si="22"/>
        <v>0</v>
      </c>
      <c r="N94" s="75">
        <f t="shared" si="23"/>
        <v>0</v>
      </c>
      <c r="O94" s="75">
        <f t="shared" si="24"/>
        <v>0</v>
      </c>
      <c r="P94" s="77">
        <f t="shared" si="25"/>
        <v>0</v>
      </c>
    </row>
    <row r="95" spans="1:16" s="61" customFormat="1" x14ac:dyDescent="0.2">
      <c r="A95" s="155">
        <v>0</v>
      </c>
      <c r="B95" s="194"/>
      <c r="C95" s="528" t="s">
        <v>158</v>
      </c>
      <c r="D95" s="179" t="s">
        <v>78</v>
      </c>
      <c r="E95" s="184">
        <f>E94*1.05</f>
        <v>0.58800000000000008</v>
      </c>
      <c r="F95" s="185"/>
      <c r="G95" s="159"/>
      <c r="H95" s="161"/>
      <c r="I95" s="161"/>
      <c r="J95" s="161"/>
      <c r="K95" s="75">
        <f t="shared" si="20"/>
        <v>0</v>
      </c>
      <c r="L95" s="76">
        <f t="shared" si="21"/>
        <v>0</v>
      </c>
      <c r="M95" s="75">
        <f t="shared" si="22"/>
        <v>0</v>
      </c>
      <c r="N95" s="75">
        <f t="shared" si="23"/>
        <v>0</v>
      </c>
      <c r="O95" s="75">
        <f t="shared" si="24"/>
        <v>0</v>
      </c>
      <c r="P95" s="77">
        <f t="shared" si="25"/>
        <v>0</v>
      </c>
    </row>
    <row r="96" spans="1:16" s="61" customFormat="1" x14ac:dyDescent="0.2">
      <c r="A96" s="155">
        <v>0</v>
      </c>
      <c r="B96" s="194"/>
      <c r="C96" s="183" t="s">
        <v>136</v>
      </c>
      <c r="D96" s="179" t="s">
        <v>137</v>
      </c>
      <c r="E96" s="184">
        <f>E94*0.25</f>
        <v>0.14000000000000001</v>
      </c>
      <c r="F96" s="185"/>
      <c r="G96" s="159"/>
      <c r="H96" s="161"/>
      <c r="I96" s="154"/>
      <c r="J96" s="161"/>
      <c r="K96" s="75">
        <f t="shared" si="20"/>
        <v>0</v>
      </c>
      <c r="L96" s="76">
        <f t="shared" si="21"/>
        <v>0</v>
      </c>
      <c r="M96" s="75">
        <f t="shared" si="22"/>
        <v>0</v>
      </c>
      <c r="N96" s="75">
        <f t="shared" si="23"/>
        <v>0</v>
      </c>
      <c r="O96" s="75">
        <f t="shared" si="24"/>
        <v>0</v>
      </c>
      <c r="P96" s="77">
        <f t="shared" si="25"/>
        <v>0</v>
      </c>
    </row>
    <row r="97" spans="1:16" s="61" customFormat="1" ht="25.5" x14ac:dyDescent="0.2">
      <c r="A97" s="155">
        <v>41</v>
      </c>
      <c r="B97" s="281" t="s">
        <v>126</v>
      </c>
      <c r="C97" s="176" t="s">
        <v>138</v>
      </c>
      <c r="D97" s="179" t="s">
        <v>78</v>
      </c>
      <c r="E97" s="164">
        <v>0.2</v>
      </c>
      <c r="F97" s="159"/>
      <c r="G97" s="159"/>
      <c r="H97" s="161"/>
      <c r="I97" s="161"/>
      <c r="J97" s="161"/>
      <c r="K97" s="75">
        <f t="shared" si="20"/>
        <v>0</v>
      </c>
      <c r="L97" s="76">
        <f t="shared" si="21"/>
        <v>0</v>
      </c>
      <c r="M97" s="75">
        <f t="shared" si="22"/>
        <v>0</v>
      </c>
      <c r="N97" s="75">
        <f t="shared" si="23"/>
        <v>0</v>
      </c>
      <c r="O97" s="75">
        <f t="shared" si="24"/>
        <v>0</v>
      </c>
      <c r="P97" s="77">
        <f t="shared" si="25"/>
        <v>0</v>
      </c>
    </row>
    <row r="98" spans="1:16" s="61" customFormat="1" x14ac:dyDescent="0.2">
      <c r="A98" s="155">
        <v>0</v>
      </c>
      <c r="B98" s="194"/>
      <c r="C98" s="183" t="s">
        <v>139</v>
      </c>
      <c r="D98" s="179" t="s">
        <v>78</v>
      </c>
      <c r="E98" s="184">
        <f>E97*1.05</f>
        <v>0.21000000000000002</v>
      </c>
      <c r="F98" s="185"/>
      <c r="G98" s="159"/>
      <c r="H98" s="161"/>
      <c r="I98" s="161"/>
      <c r="J98" s="161"/>
      <c r="K98" s="75">
        <f t="shared" si="20"/>
        <v>0</v>
      </c>
      <c r="L98" s="76">
        <f t="shared" si="21"/>
        <v>0</v>
      </c>
      <c r="M98" s="75">
        <f t="shared" si="22"/>
        <v>0</v>
      </c>
      <c r="N98" s="75">
        <f t="shared" si="23"/>
        <v>0</v>
      </c>
      <c r="O98" s="75">
        <f t="shared" si="24"/>
        <v>0</v>
      </c>
      <c r="P98" s="77">
        <f t="shared" si="25"/>
        <v>0</v>
      </c>
    </row>
    <row r="99" spans="1:16" s="61" customFormat="1" x14ac:dyDescent="0.2">
      <c r="A99" s="155">
        <v>0</v>
      </c>
      <c r="B99" s="194"/>
      <c r="C99" s="183" t="s">
        <v>136</v>
      </c>
      <c r="D99" s="179" t="s">
        <v>137</v>
      </c>
      <c r="E99" s="184">
        <f>E97*0.25</f>
        <v>0.05</v>
      </c>
      <c r="F99" s="185"/>
      <c r="G99" s="159"/>
      <c r="H99" s="161"/>
      <c r="I99" s="154"/>
      <c r="J99" s="161"/>
      <c r="K99" s="75">
        <f t="shared" si="20"/>
        <v>0</v>
      </c>
      <c r="L99" s="76">
        <f t="shared" si="21"/>
        <v>0</v>
      </c>
      <c r="M99" s="75">
        <f t="shared" si="22"/>
        <v>0</v>
      </c>
      <c r="N99" s="75">
        <f t="shared" si="23"/>
        <v>0</v>
      </c>
      <c r="O99" s="75">
        <f t="shared" si="24"/>
        <v>0</v>
      </c>
      <c r="P99" s="77">
        <f t="shared" si="25"/>
        <v>0</v>
      </c>
    </row>
    <row r="100" spans="1:16" s="61" customFormat="1" ht="25.5" x14ac:dyDescent="0.2">
      <c r="A100" s="155">
        <v>42</v>
      </c>
      <c r="B100" s="281" t="s">
        <v>126</v>
      </c>
      <c r="C100" s="186" t="s">
        <v>140</v>
      </c>
      <c r="D100" s="182" t="s">
        <v>59</v>
      </c>
      <c r="E100" s="182">
        <v>1</v>
      </c>
      <c r="F100" s="159"/>
      <c r="G100" s="159"/>
      <c r="H100" s="161"/>
      <c r="I100" s="161"/>
      <c r="J100" s="161"/>
      <c r="K100" s="75">
        <f t="shared" si="20"/>
        <v>0</v>
      </c>
      <c r="L100" s="76">
        <f t="shared" si="21"/>
        <v>0</v>
      </c>
      <c r="M100" s="75">
        <f t="shared" si="22"/>
        <v>0</v>
      </c>
      <c r="N100" s="75">
        <f t="shared" si="23"/>
        <v>0</v>
      </c>
      <c r="O100" s="75">
        <f t="shared" si="24"/>
        <v>0</v>
      </c>
      <c r="P100" s="77">
        <f t="shared" si="25"/>
        <v>0</v>
      </c>
    </row>
    <row r="101" spans="1:16" s="61" customFormat="1" x14ac:dyDescent="0.2">
      <c r="A101" s="155">
        <v>0</v>
      </c>
      <c r="B101" s="281"/>
      <c r="C101" s="176"/>
      <c r="D101" s="179"/>
      <c r="E101" s="164"/>
      <c r="F101" s="159"/>
      <c r="G101" s="159"/>
      <c r="H101" s="161"/>
      <c r="I101" s="161"/>
      <c r="J101" s="161"/>
      <c r="K101" s="75">
        <f t="shared" si="20"/>
        <v>0</v>
      </c>
      <c r="L101" s="76">
        <f t="shared" si="21"/>
        <v>0</v>
      </c>
      <c r="M101" s="75">
        <f t="shared" si="22"/>
        <v>0</v>
      </c>
      <c r="N101" s="75">
        <f t="shared" si="23"/>
        <v>0</v>
      </c>
      <c r="O101" s="75">
        <f t="shared" si="24"/>
        <v>0</v>
      </c>
      <c r="P101" s="77">
        <f t="shared" si="25"/>
        <v>0</v>
      </c>
    </row>
    <row r="102" spans="1:16" s="61" customFormat="1" x14ac:dyDescent="0.2">
      <c r="A102" s="155">
        <v>0</v>
      </c>
      <c r="B102" s="194"/>
      <c r="C102" s="464" t="s">
        <v>767</v>
      </c>
      <c r="D102" s="179"/>
      <c r="E102" s="184"/>
      <c r="F102" s="185"/>
      <c r="G102" s="159"/>
      <c r="H102" s="161"/>
      <c r="I102" s="154"/>
      <c r="J102" s="161"/>
      <c r="K102" s="75">
        <f t="shared" si="20"/>
        <v>0</v>
      </c>
      <c r="L102" s="76">
        <f t="shared" si="21"/>
        <v>0</v>
      </c>
      <c r="M102" s="75">
        <f t="shared" si="22"/>
        <v>0</v>
      </c>
      <c r="N102" s="75">
        <f t="shared" si="23"/>
        <v>0</v>
      </c>
      <c r="O102" s="75">
        <f t="shared" si="24"/>
        <v>0</v>
      </c>
      <c r="P102" s="77">
        <f t="shared" si="25"/>
        <v>0</v>
      </c>
    </row>
    <row r="103" spans="1:16" s="61" customFormat="1" ht="25.5" x14ac:dyDescent="0.2">
      <c r="A103" s="155">
        <v>43</v>
      </c>
      <c r="B103" s="281" t="s">
        <v>126</v>
      </c>
      <c r="C103" s="176" t="s">
        <v>144</v>
      </c>
      <c r="D103" s="465" t="s">
        <v>83</v>
      </c>
      <c r="E103" s="172">
        <v>1.5</v>
      </c>
      <c r="F103" s="161"/>
      <c r="G103" s="159"/>
      <c r="H103" s="161"/>
      <c r="I103" s="161"/>
      <c r="J103" s="161"/>
      <c r="K103" s="75">
        <f t="shared" si="20"/>
        <v>0</v>
      </c>
      <c r="L103" s="76">
        <f t="shared" si="21"/>
        <v>0</v>
      </c>
      <c r="M103" s="75">
        <f t="shared" si="22"/>
        <v>0</v>
      </c>
      <c r="N103" s="75">
        <f t="shared" si="23"/>
        <v>0</v>
      </c>
      <c r="O103" s="75">
        <f t="shared" si="24"/>
        <v>0</v>
      </c>
      <c r="P103" s="77">
        <f t="shared" si="25"/>
        <v>0</v>
      </c>
    </row>
    <row r="104" spans="1:16" s="61" customFormat="1" ht="25.5" x14ac:dyDescent="0.2">
      <c r="A104" s="155">
        <v>44</v>
      </c>
      <c r="B104" s="281" t="s">
        <v>126</v>
      </c>
      <c r="C104" s="176" t="s">
        <v>128</v>
      </c>
      <c r="D104" s="182" t="s">
        <v>83</v>
      </c>
      <c r="E104" s="164">
        <v>8</v>
      </c>
      <c r="F104" s="161"/>
      <c r="G104" s="159"/>
      <c r="H104" s="161"/>
      <c r="I104" s="161"/>
      <c r="J104" s="161"/>
      <c r="K104" s="75">
        <f t="shared" si="20"/>
        <v>0</v>
      </c>
      <c r="L104" s="76">
        <f t="shared" si="21"/>
        <v>0</v>
      </c>
      <c r="M104" s="75">
        <f t="shared" si="22"/>
        <v>0</v>
      </c>
      <c r="N104" s="75">
        <f t="shared" si="23"/>
        <v>0</v>
      </c>
      <c r="O104" s="75">
        <f t="shared" si="24"/>
        <v>0</v>
      </c>
      <c r="P104" s="77">
        <f t="shared" si="25"/>
        <v>0</v>
      </c>
    </row>
    <row r="105" spans="1:16" s="61" customFormat="1" ht="25.5" x14ac:dyDescent="0.2">
      <c r="A105" s="155">
        <v>45</v>
      </c>
      <c r="B105" s="281"/>
      <c r="C105" s="466" t="s">
        <v>129</v>
      </c>
      <c r="D105" s="182" t="s">
        <v>78</v>
      </c>
      <c r="E105" s="164">
        <v>0.4</v>
      </c>
      <c r="F105" s="161"/>
      <c r="G105" s="159"/>
      <c r="H105" s="161"/>
      <c r="I105" s="161"/>
      <c r="J105" s="161"/>
      <c r="K105" s="75">
        <f t="shared" si="20"/>
        <v>0</v>
      </c>
      <c r="L105" s="76">
        <f t="shared" si="21"/>
        <v>0</v>
      </c>
      <c r="M105" s="75">
        <f t="shared" si="22"/>
        <v>0</v>
      </c>
      <c r="N105" s="75">
        <f t="shared" si="23"/>
        <v>0</v>
      </c>
      <c r="O105" s="75">
        <f t="shared" si="24"/>
        <v>0</v>
      </c>
      <c r="P105" s="77">
        <f t="shared" si="25"/>
        <v>0</v>
      </c>
    </row>
    <row r="106" spans="1:16" s="61" customFormat="1" ht="38.25" x14ac:dyDescent="0.2">
      <c r="A106" s="155">
        <v>46</v>
      </c>
      <c r="B106" s="281"/>
      <c r="C106" s="176" t="s">
        <v>145</v>
      </c>
      <c r="D106" s="182" t="s">
        <v>131</v>
      </c>
      <c r="E106" s="182">
        <f>171.6*2</f>
        <v>343.2</v>
      </c>
      <c r="F106" s="158"/>
      <c r="G106" s="159"/>
      <c r="H106" s="161"/>
      <c r="I106" s="161"/>
      <c r="J106" s="161"/>
      <c r="K106" s="75">
        <f t="shared" si="20"/>
        <v>0</v>
      </c>
      <c r="L106" s="76">
        <f t="shared" si="21"/>
        <v>0</v>
      </c>
      <c r="M106" s="75">
        <f t="shared" si="22"/>
        <v>0</v>
      </c>
      <c r="N106" s="75">
        <f t="shared" si="23"/>
        <v>0</v>
      </c>
      <c r="O106" s="75">
        <f t="shared" si="24"/>
        <v>0</v>
      </c>
      <c r="P106" s="77">
        <f t="shared" si="25"/>
        <v>0</v>
      </c>
    </row>
    <row r="107" spans="1:16" s="61" customFormat="1" x14ac:dyDescent="0.2">
      <c r="A107" s="155">
        <v>0</v>
      </c>
      <c r="B107" s="281"/>
      <c r="C107" s="415" t="s">
        <v>146</v>
      </c>
      <c r="D107" s="179" t="s">
        <v>131</v>
      </c>
      <c r="E107" s="191">
        <f>E106*1.1</f>
        <v>377.52000000000004</v>
      </c>
      <c r="F107" s="159"/>
      <c r="G107" s="159"/>
      <c r="H107" s="161"/>
      <c r="I107" s="161"/>
      <c r="J107" s="161"/>
      <c r="K107" s="75">
        <f t="shared" si="20"/>
        <v>0</v>
      </c>
      <c r="L107" s="76">
        <f t="shared" si="21"/>
        <v>0</v>
      </c>
      <c r="M107" s="75">
        <f t="shared" si="22"/>
        <v>0</v>
      </c>
      <c r="N107" s="75">
        <f t="shared" si="23"/>
        <v>0</v>
      </c>
      <c r="O107" s="75">
        <f t="shared" si="24"/>
        <v>0</v>
      </c>
      <c r="P107" s="77">
        <f t="shared" si="25"/>
        <v>0</v>
      </c>
    </row>
    <row r="108" spans="1:16" s="61" customFormat="1" ht="25.5" x14ac:dyDescent="0.2">
      <c r="A108" s="155">
        <v>0</v>
      </c>
      <c r="B108" s="281"/>
      <c r="C108" s="416" t="s">
        <v>147</v>
      </c>
      <c r="D108" s="182" t="s">
        <v>66</v>
      </c>
      <c r="E108" s="180">
        <v>1</v>
      </c>
      <c r="F108" s="190"/>
      <c r="G108" s="159"/>
      <c r="H108" s="161"/>
      <c r="I108" s="161"/>
      <c r="J108" s="161"/>
      <c r="K108" s="75">
        <f t="shared" si="20"/>
        <v>0</v>
      </c>
      <c r="L108" s="76">
        <f t="shared" si="21"/>
        <v>0</v>
      </c>
      <c r="M108" s="75">
        <f t="shared" si="22"/>
        <v>0</v>
      </c>
      <c r="N108" s="75">
        <f t="shared" si="23"/>
        <v>0</v>
      </c>
      <c r="O108" s="75">
        <f t="shared" si="24"/>
        <v>0</v>
      </c>
      <c r="P108" s="77">
        <f t="shared" si="25"/>
        <v>0</v>
      </c>
    </row>
    <row r="109" spans="1:16" s="61" customFormat="1" ht="76.5" x14ac:dyDescent="0.2">
      <c r="A109" s="155">
        <v>47</v>
      </c>
      <c r="B109" s="281" t="s">
        <v>126</v>
      </c>
      <c r="C109" s="176" t="s">
        <v>130</v>
      </c>
      <c r="D109" s="182" t="s">
        <v>131</v>
      </c>
      <c r="E109" s="164">
        <f>(30.9+19.4)*2</f>
        <v>100.6</v>
      </c>
      <c r="F109" s="177"/>
      <c r="G109" s="159"/>
      <c r="H109" s="161"/>
      <c r="I109" s="161"/>
      <c r="J109" s="161"/>
      <c r="K109" s="75">
        <f t="shared" si="20"/>
        <v>0</v>
      </c>
      <c r="L109" s="76">
        <f t="shared" si="21"/>
        <v>0</v>
      </c>
      <c r="M109" s="75">
        <f t="shared" si="22"/>
        <v>0</v>
      </c>
      <c r="N109" s="75">
        <f t="shared" si="23"/>
        <v>0</v>
      </c>
      <c r="O109" s="75">
        <f t="shared" si="24"/>
        <v>0</v>
      </c>
      <c r="P109" s="77">
        <f t="shared" si="25"/>
        <v>0</v>
      </c>
    </row>
    <row r="110" spans="1:16" s="61" customFormat="1" x14ac:dyDescent="0.2">
      <c r="A110" s="155">
        <v>0</v>
      </c>
      <c r="B110" s="281"/>
      <c r="C110" s="178" t="s">
        <v>132</v>
      </c>
      <c r="D110" s="179" t="s">
        <v>131</v>
      </c>
      <c r="E110" s="180">
        <f>E109*1.15</f>
        <v>115.68999999999998</v>
      </c>
      <c r="F110" s="159"/>
      <c r="G110" s="159"/>
      <c r="H110" s="161"/>
      <c r="I110" s="161"/>
      <c r="J110" s="161"/>
      <c r="K110" s="75">
        <f t="shared" si="20"/>
        <v>0</v>
      </c>
      <c r="L110" s="76">
        <f t="shared" si="21"/>
        <v>0</v>
      </c>
      <c r="M110" s="75">
        <f t="shared" si="22"/>
        <v>0</v>
      </c>
      <c r="N110" s="75">
        <f t="shared" si="23"/>
        <v>0</v>
      </c>
      <c r="O110" s="75">
        <f t="shared" si="24"/>
        <v>0</v>
      </c>
      <c r="P110" s="77">
        <f t="shared" si="25"/>
        <v>0</v>
      </c>
    </row>
    <row r="111" spans="1:16" s="61" customFormat="1" ht="25.5" x14ac:dyDescent="0.2">
      <c r="A111" s="155">
        <v>0</v>
      </c>
      <c r="B111" s="281"/>
      <c r="C111" s="181" t="s">
        <v>133</v>
      </c>
      <c r="D111" s="182" t="s">
        <v>66</v>
      </c>
      <c r="E111" s="182">
        <v>1</v>
      </c>
      <c r="F111" s="159"/>
      <c r="G111" s="159"/>
      <c r="H111" s="161"/>
      <c r="I111" s="161"/>
      <c r="J111" s="161"/>
      <c r="K111" s="75">
        <f t="shared" si="20"/>
        <v>0</v>
      </c>
      <c r="L111" s="76">
        <f t="shared" si="21"/>
        <v>0</v>
      </c>
      <c r="M111" s="75">
        <f t="shared" si="22"/>
        <v>0</v>
      </c>
      <c r="N111" s="75">
        <f t="shared" si="23"/>
        <v>0</v>
      </c>
      <c r="O111" s="75">
        <f t="shared" si="24"/>
        <v>0</v>
      </c>
      <c r="P111" s="77">
        <f t="shared" si="25"/>
        <v>0</v>
      </c>
    </row>
    <row r="112" spans="1:16" s="61" customFormat="1" ht="25.5" x14ac:dyDescent="0.2">
      <c r="A112" s="155">
        <v>48</v>
      </c>
      <c r="B112" s="281" t="s">
        <v>126</v>
      </c>
      <c r="C112" s="527" t="s">
        <v>157</v>
      </c>
      <c r="D112" s="179" t="s">
        <v>78</v>
      </c>
      <c r="E112" s="164">
        <f>0.78*2</f>
        <v>1.56</v>
      </c>
      <c r="F112" s="159"/>
      <c r="G112" s="159"/>
      <c r="H112" s="161"/>
      <c r="I112" s="161"/>
      <c r="J112" s="161"/>
      <c r="K112" s="75">
        <f t="shared" si="20"/>
        <v>0</v>
      </c>
      <c r="L112" s="76">
        <f t="shared" si="21"/>
        <v>0</v>
      </c>
      <c r="M112" s="75">
        <f t="shared" si="22"/>
        <v>0</v>
      </c>
      <c r="N112" s="75">
        <f t="shared" si="23"/>
        <v>0</v>
      </c>
      <c r="O112" s="75">
        <f t="shared" si="24"/>
        <v>0</v>
      </c>
      <c r="P112" s="77">
        <f t="shared" si="25"/>
        <v>0</v>
      </c>
    </row>
    <row r="113" spans="1:16" s="61" customFormat="1" x14ac:dyDescent="0.2">
      <c r="A113" s="155">
        <v>0</v>
      </c>
      <c r="B113" s="194"/>
      <c r="C113" s="528" t="s">
        <v>158</v>
      </c>
      <c r="D113" s="179" t="s">
        <v>78</v>
      </c>
      <c r="E113" s="184">
        <f>E112*1.05</f>
        <v>1.6380000000000001</v>
      </c>
      <c r="F113" s="185"/>
      <c r="G113" s="159"/>
      <c r="H113" s="161"/>
      <c r="I113" s="161"/>
      <c r="J113" s="161"/>
      <c r="K113" s="75">
        <f t="shared" si="20"/>
        <v>0</v>
      </c>
      <c r="L113" s="76">
        <f t="shared" si="21"/>
        <v>0</v>
      </c>
      <c r="M113" s="75">
        <f t="shared" si="22"/>
        <v>0</v>
      </c>
      <c r="N113" s="75">
        <f t="shared" si="23"/>
        <v>0</v>
      </c>
      <c r="O113" s="75">
        <f t="shared" si="24"/>
        <v>0</v>
      </c>
      <c r="P113" s="77">
        <f t="shared" si="25"/>
        <v>0</v>
      </c>
    </row>
    <row r="114" spans="1:16" s="61" customFormat="1" x14ac:dyDescent="0.2">
      <c r="A114" s="155">
        <v>0</v>
      </c>
      <c r="B114" s="194"/>
      <c r="C114" s="183" t="s">
        <v>136</v>
      </c>
      <c r="D114" s="179" t="s">
        <v>137</v>
      </c>
      <c r="E114" s="184">
        <f>E112*0.25</f>
        <v>0.39</v>
      </c>
      <c r="F114" s="185"/>
      <c r="G114" s="159"/>
      <c r="H114" s="161"/>
      <c r="I114" s="154"/>
      <c r="J114" s="161"/>
      <c r="K114" s="75">
        <f t="shared" si="20"/>
        <v>0</v>
      </c>
      <c r="L114" s="76">
        <f t="shared" si="21"/>
        <v>0</v>
      </c>
      <c r="M114" s="75">
        <f t="shared" si="22"/>
        <v>0</v>
      </c>
      <c r="N114" s="75">
        <f t="shared" si="23"/>
        <v>0</v>
      </c>
      <c r="O114" s="75">
        <f t="shared" si="24"/>
        <v>0</v>
      </c>
      <c r="P114" s="77">
        <f t="shared" si="25"/>
        <v>0</v>
      </c>
    </row>
    <row r="115" spans="1:16" s="61" customFormat="1" ht="25.5" x14ac:dyDescent="0.2">
      <c r="A115" s="155">
        <v>49</v>
      </c>
      <c r="B115" s="281" t="s">
        <v>126</v>
      </c>
      <c r="C115" s="176" t="s">
        <v>138</v>
      </c>
      <c r="D115" s="179" t="s">
        <v>78</v>
      </c>
      <c r="E115" s="164">
        <f>0.13*2</f>
        <v>0.26</v>
      </c>
      <c r="F115" s="159"/>
      <c r="G115" s="159"/>
      <c r="H115" s="161"/>
      <c r="I115" s="161"/>
      <c r="J115" s="161"/>
      <c r="K115" s="75">
        <f t="shared" si="20"/>
        <v>0</v>
      </c>
      <c r="L115" s="76">
        <f t="shared" si="21"/>
        <v>0</v>
      </c>
      <c r="M115" s="75">
        <f t="shared" si="22"/>
        <v>0</v>
      </c>
      <c r="N115" s="75">
        <f t="shared" si="23"/>
        <v>0</v>
      </c>
      <c r="O115" s="75">
        <f t="shared" si="24"/>
        <v>0</v>
      </c>
      <c r="P115" s="77">
        <f t="shared" si="25"/>
        <v>0</v>
      </c>
    </row>
    <row r="116" spans="1:16" s="61" customFormat="1" x14ac:dyDescent="0.2">
      <c r="A116" s="155">
        <v>0</v>
      </c>
      <c r="B116" s="194"/>
      <c r="C116" s="183" t="s">
        <v>139</v>
      </c>
      <c r="D116" s="179" t="s">
        <v>78</v>
      </c>
      <c r="E116" s="184">
        <f>E115*1.05</f>
        <v>0.27300000000000002</v>
      </c>
      <c r="F116" s="185"/>
      <c r="G116" s="159"/>
      <c r="H116" s="161"/>
      <c r="I116" s="161"/>
      <c r="J116" s="161"/>
      <c r="K116" s="75">
        <f t="shared" si="20"/>
        <v>0</v>
      </c>
      <c r="L116" s="76">
        <f t="shared" si="21"/>
        <v>0</v>
      </c>
      <c r="M116" s="75">
        <f t="shared" si="22"/>
        <v>0</v>
      </c>
      <c r="N116" s="75">
        <f t="shared" si="23"/>
        <v>0</v>
      </c>
      <c r="O116" s="75">
        <f t="shared" si="24"/>
        <v>0</v>
      </c>
      <c r="P116" s="77">
        <f t="shared" si="25"/>
        <v>0</v>
      </c>
    </row>
    <row r="117" spans="1:16" s="61" customFormat="1" x14ac:dyDescent="0.2">
      <c r="A117" s="155">
        <v>0</v>
      </c>
      <c r="B117" s="194"/>
      <c r="C117" s="183" t="s">
        <v>136</v>
      </c>
      <c r="D117" s="179" t="s">
        <v>137</v>
      </c>
      <c r="E117" s="184">
        <f>E115*0.25</f>
        <v>6.5000000000000002E-2</v>
      </c>
      <c r="F117" s="185"/>
      <c r="G117" s="159"/>
      <c r="H117" s="161"/>
      <c r="I117" s="154"/>
      <c r="J117" s="161"/>
      <c r="K117" s="75">
        <f t="shared" si="20"/>
        <v>0</v>
      </c>
      <c r="L117" s="76">
        <f t="shared" si="21"/>
        <v>0</v>
      </c>
      <c r="M117" s="75">
        <f t="shared" si="22"/>
        <v>0</v>
      </c>
      <c r="N117" s="75">
        <f t="shared" si="23"/>
        <v>0</v>
      </c>
      <c r="O117" s="75">
        <f t="shared" si="24"/>
        <v>0</v>
      </c>
      <c r="P117" s="77">
        <f t="shared" si="25"/>
        <v>0</v>
      </c>
    </row>
    <row r="118" spans="1:16" s="61" customFormat="1" ht="25.5" x14ac:dyDescent="0.2">
      <c r="A118" s="155">
        <v>50</v>
      </c>
      <c r="B118" s="281" t="s">
        <v>126</v>
      </c>
      <c r="C118" s="186" t="s">
        <v>140</v>
      </c>
      <c r="D118" s="182" t="s">
        <v>59</v>
      </c>
      <c r="E118" s="182">
        <v>2</v>
      </c>
      <c r="F118" s="159"/>
      <c r="G118" s="159"/>
      <c r="H118" s="161"/>
      <c r="I118" s="161"/>
      <c r="J118" s="161"/>
      <c r="K118" s="75">
        <f t="shared" si="20"/>
        <v>0</v>
      </c>
      <c r="L118" s="76">
        <f t="shared" si="21"/>
        <v>0</v>
      </c>
      <c r="M118" s="75">
        <f t="shared" si="22"/>
        <v>0</v>
      </c>
      <c r="N118" s="75">
        <f t="shared" si="23"/>
        <v>0</v>
      </c>
      <c r="O118" s="75">
        <f t="shared" si="24"/>
        <v>0</v>
      </c>
      <c r="P118" s="77">
        <f t="shared" si="25"/>
        <v>0</v>
      </c>
    </row>
    <row r="119" spans="1:16" s="61" customFormat="1" x14ac:dyDescent="0.2">
      <c r="A119" s="187">
        <v>0</v>
      </c>
      <c r="B119" s="281"/>
      <c r="C119" s="176"/>
      <c r="D119" s="179"/>
      <c r="E119" s="164"/>
      <c r="F119" s="159"/>
      <c r="G119" s="159"/>
      <c r="H119" s="161"/>
      <c r="I119" s="161"/>
      <c r="J119" s="161"/>
      <c r="K119" s="75">
        <f t="shared" si="20"/>
        <v>0</v>
      </c>
      <c r="L119" s="76">
        <f t="shared" si="21"/>
        <v>0</v>
      </c>
      <c r="M119" s="75">
        <f t="shared" si="22"/>
        <v>0</v>
      </c>
      <c r="N119" s="75">
        <f t="shared" si="23"/>
        <v>0</v>
      </c>
      <c r="O119" s="75">
        <f t="shared" si="24"/>
        <v>0</v>
      </c>
      <c r="P119" s="77">
        <f t="shared" si="25"/>
        <v>0</v>
      </c>
    </row>
    <row r="120" spans="1:16" s="61" customFormat="1" x14ac:dyDescent="0.2">
      <c r="A120" s="155">
        <v>0</v>
      </c>
      <c r="B120" s="281"/>
      <c r="C120" s="186"/>
      <c r="D120" s="182"/>
      <c r="E120" s="182"/>
      <c r="F120" s="159"/>
      <c r="G120" s="159"/>
      <c r="H120" s="161"/>
      <c r="I120" s="161"/>
      <c r="J120" s="161"/>
      <c r="K120" s="75">
        <f t="shared" si="20"/>
        <v>0</v>
      </c>
      <c r="L120" s="76">
        <f t="shared" si="21"/>
        <v>0</v>
      </c>
      <c r="M120" s="75">
        <f t="shared" si="22"/>
        <v>0</v>
      </c>
      <c r="N120" s="75">
        <f t="shared" si="23"/>
        <v>0</v>
      </c>
      <c r="O120" s="75">
        <f t="shared" si="24"/>
        <v>0</v>
      </c>
      <c r="P120" s="77">
        <f t="shared" si="25"/>
        <v>0</v>
      </c>
    </row>
    <row r="121" spans="1:16" s="61" customFormat="1" x14ac:dyDescent="0.2">
      <c r="A121" s="155">
        <v>0</v>
      </c>
      <c r="B121" s="194"/>
      <c r="C121" s="464" t="s">
        <v>148</v>
      </c>
      <c r="D121" s="179"/>
      <c r="E121" s="184"/>
      <c r="F121" s="185"/>
      <c r="G121" s="159"/>
      <c r="H121" s="161"/>
      <c r="I121" s="154"/>
      <c r="J121" s="161"/>
      <c r="K121" s="75">
        <f t="shared" si="20"/>
        <v>0</v>
      </c>
      <c r="L121" s="76">
        <f t="shared" si="21"/>
        <v>0</v>
      </c>
      <c r="M121" s="75">
        <f t="shared" si="22"/>
        <v>0</v>
      </c>
      <c r="N121" s="75">
        <f t="shared" si="23"/>
        <v>0</v>
      </c>
      <c r="O121" s="75">
        <f t="shared" si="24"/>
        <v>0</v>
      </c>
      <c r="P121" s="77">
        <f t="shared" si="25"/>
        <v>0</v>
      </c>
    </row>
    <row r="122" spans="1:16" s="61" customFormat="1" ht="25.5" x14ac:dyDescent="0.2">
      <c r="A122" s="155">
        <v>51</v>
      </c>
      <c r="B122" s="281" t="s">
        <v>126</v>
      </c>
      <c r="C122" s="176" t="s">
        <v>144</v>
      </c>
      <c r="D122" s="465" t="s">
        <v>83</v>
      </c>
      <c r="E122" s="172">
        <v>3</v>
      </c>
      <c r="F122" s="161"/>
      <c r="G122" s="159"/>
      <c r="H122" s="161"/>
      <c r="I122" s="161"/>
      <c r="J122" s="161"/>
      <c r="K122" s="75">
        <f t="shared" si="20"/>
        <v>0</v>
      </c>
      <c r="L122" s="76">
        <f t="shared" si="21"/>
        <v>0</v>
      </c>
      <c r="M122" s="75">
        <f t="shared" si="22"/>
        <v>0</v>
      </c>
      <c r="N122" s="75">
        <f t="shared" si="23"/>
        <v>0</v>
      </c>
      <c r="O122" s="75">
        <f t="shared" si="24"/>
        <v>0</v>
      </c>
      <c r="P122" s="77">
        <f t="shared" si="25"/>
        <v>0</v>
      </c>
    </row>
    <row r="123" spans="1:16" s="61" customFormat="1" ht="25.5" x14ac:dyDescent="0.2">
      <c r="A123" s="155">
        <v>52</v>
      </c>
      <c r="B123" s="281" t="s">
        <v>126</v>
      </c>
      <c r="C123" s="176" t="s">
        <v>128</v>
      </c>
      <c r="D123" s="182" t="s">
        <v>83</v>
      </c>
      <c r="E123" s="164">
        <v>38</v>
      </c>
      <c r="F123" s="161"/>
      <c r="G123" s="159"/>
      <c r="H123" s="161"/>
      <c r="I123" s="161"/>
      <c r="J123" s="161"/>
      <c r="K123" s="75">
        <f t="shared" si="20"/>
        <v>0</v>
      </c>
      <c r="L123" s="76">
        <f t="shared" si="21"/>
        <v>0</v>
      </c>
      <c r="M123" s="75">
        <f t="shared" si="22"/>
        <v>0</v>
      </c>
      <c r="N123" s="75">
        <f t="shared" si="23"/>
        <v>0</v>
      </c>
      <c r="O123" s="75">
        <f t="shared" si="24"/>
        <v>0</v>
      </c>
      <c r="P123" s="77">
        <f t="shared" si="25"/>
        <v>0</v>
      </c>
    </row>
    <row r="124" spans="1:16" s="61" customFormat="1" ht="25.5" x14ac:dyDescent="0.2">
      <c r="A124" s="155">
        <v>53</v>
      </c>
      <c r="B124" s="281"/>
      <c r="C124" s="466" t="s">
        <v>129</v>
      </c>
      <c r="D124" s="182" t="s">
        <v>78</v>
      </c>
      <c r="E124" s="164">
        <v>1.3</v>
      </c>
      <c r="F124" s="161"/>
      <c r="G124" s="159"/>
      <c r="H124" s="161"/>
      <c r="I124" s="161"/>
      <c r="J124" s="161"/>
      <c r="K124" s="75">
        <f t="shared" si="20"/>
        <v>0</v>
      </c>
      <c r="L124" s="76">
        <f t="shared" si="21"/>
        <v>0</v>
      </c>
      <c r="M124" s="75">
        <f t="shared" si="22"/>
        <v>0</v>
      </c>
      <c r="N124" s="75">
        <f t="shared" si="23"/>
        <v>0</v>
      </c>
      <c r="O124" s="75">
        <f t="shared" si="24"/>
        <v>0</v>
      </c>
      <c r="P124" s="77">
        <f t="shared" si="25"/>
        <v>0</v>
      </c>
    </row>
    <row r="125" spans="1:16" s="61" customFormat="1" ht="76.5" x14ac:dyDescent="0.2">
      <c r="A125" s="155">
        <v>54</v>
      </c>
      <c r="B125" s="281" t="s">
        <v>126</v>
      </c>
      <c r="C125" s="176" t="s">
        <v>130</v>
      </c>
      <c r="D125" s="182" t="s">
        <v>131</v>
      </c>
      <c r="E125" s="164">
        <f>(71.1+8.6)*5</f>
        <v>398.49999999999994</v>
      </c>
      <c r="F125" s="177"/>
      <c r="G125" s="159"/>
      <c r="H125" s="161"/>
      <c r="I125" s="161"/>
      <c r="J125" s="161"/>
      <c r="K125" s="75">
        <f t="shared" si="20"/>
        <v>0</v>
      </c>
      <c r="L125" s="76">
        <f t="shared" si="21"/>
        <v>0</v>
      </c>
      <c r="M125" s="75">
        <f t="shared" si="22"/>
        <v>0</v>
      </c>
      <c r="N125" s="75">
        <f t="shared" si="23"/>
        <v>0</v>
      </c>
      <c r="O125" s="75">
        <f t="shared" si="24"/>
        <v>0</v>
      </c>
      <c r="P125" s="77">
        <f t="shared" si="25"/>
        <v>0</v>
      </c>
    </row>
    <row r="126" spans="1:16" s="61" customFormat="1" x14ac:dyDescent="0.2">
      <c r="A126" s="155">
        <v>0</v>
      </c>
      <c r="B126" s="281"/>
      <c r="C126" s="178" t="s">
        <v>132</v>
      </c>
      <c r="D126" s="179" t="s">
        <v>131</v>
      </c>
      <c r="E126" s="180">
        <f>E125*1.15</f>
        <v>458.27499999999992</v>
      </c>
      <c r="F126" s="159"/>
      <c r="G126" s="159"/>
      <c r="H126" s="161"/>
      <c r="I126" s="161"/>
      <c r="J126" s="161"/>
      <c r="K126" s="75">
        <f t="shared" si="20"/>
        <v>0</v>
      </c>
      <c r="L126" s="76">
        <f t="shared" si="21"/>
        <v>0</v>
      </c>
      <c r="M126" s="75">
        <f t="shared" si="22"/>
        <v>0</v>
      </c>
      <c r="N126" s="75">
        <f t="shared" si="23"/>
        <v>0</v>
      </c>
      <c r="O126" s="75">
        <f t="shared" si="24"/>
        <v>0</v>
      </c>
      <c r="P126" s="77">
        <f t="shared" si="25"/>
        <v>0</v>
      </c>
    </row>
    <row r="127" spans="1:16" s="61" customFormat="1" x14ac:dyDescent="0.2">
      <c r="A127" s="155">
        <v>0</v>
      </c>
      <c r="B127" s="281"/>
      <c r="C127" s="178" t="s">
        <v>149</v>
      </c>
      <c r="D127" s="179" t="s">
        <v>59</v>
      </c>
      <c r="E127" s="180">
        <v>20</v>
      </c>
      <c r="F127" s="159"/>
      <c r="G127" s="159"/>
      <c r="H127" s="161"/>
      <c r="I127" s="161"/>
      <c r="J127" s="161"/>
      <c r="K127" s="75">
        <f t="shared" si="20"/>
        <v>0</v>
      </c>
      <c r="L127" s="76">
        <f t="shared" si="21"/>
        <v>0</v>
      </c>
      <c r="M127" s="75">
        <f t="shared" si="22"/>
        <v>0</v>
      </c>
      <c r="N127" s="75">
        <f t="shared" si="23"/>
        <v>0</v>
      </c>
      <c r="O127" s="75">
        <f t="shared" si="24"/>
        <v>0</v>
      </c>
      <c r="P127" s="77">
        <f t="shared" si="25"/>
        <v>0</v>
      </c>
    </row>
    <row r="128" spans="1:16" s="61" customFormat="1" ht="25.5" x14ac:dyDescent="0.2">
      <c r="A128" s="155">
        <v>0</v>
      </c>
      <c r="B128" s="281"/>
      <c r="C128" s="181" t="s">
        <v>133</v>
      </c>
      <c r="D128" s="182" t="s">
        <v>66</v>
      </c>
      <c r="E128" s="182">
        <v>1</v>
      </c>
      <c r="F128" s="159"/>
      <c r="G128" s="159"/>
      <c r="H128" s="161"/>
      <c r="I128" s="161"/>
      <c r="J128" s="161"/>
      <c r="K128" s="75">
        <f t="shared" si="20"/>
        <v>0</v>
      </c>
      <c r="L128" s="76">
        <f t="shared" si="21"/>
        <v>0</v>
      </c>
      <c r="M128" s="75">
        <f t="shared" si="22"/>
        <v>0</v>
      </c>
      <c r="N128" s="75">
        <f t="shared" si="23"/>
        <v>0</v>
      </c>
      <c r="O128" s="75">
        <f t="shared" si="24"/>
        <v>0</v>
      </c>
      <c r="P128" s="77">
        <f t="shared" si="25"/>
        <v>0</v>
      </c>
    </row>
    <row r="129" spans="1:16" s="61" customFormat="1" ht="25.5" x14ac:dyDescent="0.2">
      <c r="A129" s="155">
        <v>55</v>
      </c>
      <c r="B129" s="281" t="s">
        <v>126</v>
      </c>
      <c r="C129" s="527" t="s">
        <v>157</v>
      </c>
      <c r="D129" s="179" t="s">
        <v>78</v>
      </c>
      <c r="E129" s="164">
        <f>0.95*5</f>
        <v>4.75</v>
      </c>
      <c r="F129" s="159"/>
      <c r="G129" s="159"/>
      <c r="H129" s="161"/>
      <c r="I129" s="161"/>
      <c r="J129" s="161"/>
      <c r="K129" s="75">
        <f t="shared" si="20"/>
        <v>0</v>
      </c>
      <c r="L129" s="76">
        <f t="shared" si="21"/>
        <v>0</v>
      </c>
      <c r="M129" s="75">
        <f t="shared" si="22"/>
        <v>0</v>
      </c>
      <c r="N129" s="75">
        <f t="shared" si="23"/>
        <v>0</v>
      </c>
      <c r="O129" s="75">
        <f t="shared" si="24"/>
        <v>0</v>
      </c>
      <c r="P129" s="77">
        <f t="shared" si="25"/>
        <v>0</v>
      </c>
    </row>
    <row r="130" spans="1:16" s="61" customFormat="1" x14ac:dyDescent="0.2">
      <c r="A130" s="155">
        <v>0</v>
      </c>
      <c r="B130" s="194"/>
      <c r="C130" s="528" t="s">
        <v>158</v>
      </c>
      <c r="D130" s="179" t="s">
        <v>78</v>
      </c>
      <c r="E130" s="184">
        <f>E129*1.05</f>
        <v>4.9874999999999998</v>
      </c>
      <c r="F130" s="185"/>
      <c r="G130" s="159"/>
      <c r="H130" s="161"/>
      <c r="I130" s="161"/>
      <c r="J130" s="161"/>
      <c r="K130" s="75">
        <f t="shared" si="20"/>
        <v>0</v>
      </c>
      <c r="L130" s="76">
        <f t="shared" si="21"/>
        <v>0</v>
      </c>
      <c r="M130" s="75">
        <f t="shared" si="22"/>
        <v>0</v>
      </c>
      <c r="N130" s="75">
        <f t="shared" si="23"/>
        <v>0</v>
      </c>
      <c r="O130" s="75">
        <f t="shared" si="24"/>
        <v>0</v>
      </c>
      <c r="P130" s="77">
        <f t="shared" si="25"/>
        <v>0</v>
      </c>
    </row>
    <row r="131" spans="1:16" s="61" customFormat="1" x14ac:dyDescent="0.2">
      <c r="A131" s="155">
        <v>0</v>
      </c>
      <c r="B131" s="194"/>
      <c r="C131" s="183" t="s">
        <v>136</v>
      </c>
      <c r="D131" s="179" t="s">
        <v>137</v>
      </c>
      <c r="E131" s="184">
        <f>E129*0.25</f>
        <v>1.1875</v>
      </c>
      <c r="F131" s="185"/>
      <c r="G131" s="159"/>
      <c r="H131" s="161"/>
      <c r="I131" s="154"/>
      <c r="J131" s="161"/>
      <c r="K131" s="75">
        <f t="shared" si="20"/>
        <v>0</v>
      </c>
      <c r="L131" s="76">
        <f t="shared" si="21"/>
        <v>0</v>
      </c>
      <c r="M131" s="75">
        <f t="shared" si="22"/>
        <v>0</v>
      </c>
      <c r="N131" s="75">
        <f t="shared" si="23"/>
        <v>0</v>
      </c>
      <c r="O131" s="75">
        <f t="shared" si="24"/>
        <v>0</v>
      </c>
      <c r="P131" s="77">
        <f t="shared" si="25"/>
        <v>0</v>
      </c>
    </row>
    <row r="132" spans="1:16" s="61" customFormat="1" ht="25.5" x14ac:dyDescent="0.2">
      <c r="A132" s="155">
        <v>56</v>
      </c>
      <c r="B132" s="281" t="s">
        <v>126</v>
      </c>
      <c r="C132" s="176" t="s">
        <v>138</v>
      </c>
      <c r="D132" s="179" t="s">
        <v>78</v>
      </c>
      <c r="E132" s="164">
        <f>0.2*5</f>
        <v>1</v>
      </c>
      <c r="F132" s="159"/>
      <c r="G132" s="159"/>
      <c r="H132" s="161"/>
      <c r="I132" s="161"/>
      <c r="J132" s="161"/>
      <c r="K132" s="75">
        <f t="shared" si="20"/>
        <v>0</v>
      </c>
      <c r="L132" s="76">
        <f t="shared" si="21"/>
        <v>0</v>
      </c>
      <c r="M132" s="75">
        <f t="shared" si="22"/>
        <v>0</v>
      </c>
      <c r="N132" s="75">
        <f t="shared" si="23"/>
        <v>0</v>
      </c>
      <c r="O132" s="75">
        <f t="shared" si="24"/>
        <v>0</v>
      </c>
      <c r="P132" s="77">
        <f t="shared" si="25"/>
        <v>0</v>
      </c>
    </row>
    <row r="133" spans="1:16" s="61" customFormat="1" x14ac:dyDescent="0.2">
      <c r="A133" s="155">
        <v>0</v>
      </c>
      <c r="B133" s="194"/>
      <c r="C133" s="183" t="s">
        <v>139</v>
      </c>
      <c r="D133" s="179" t="s">
        <v>78</v>
      </c>
      <c r="E133" s="184">
        <f>E132*1.05</f>
        <v>1.05</v>
      </c>
      <c r="F133" s="185"/>
      <c r="G133" s="159"/>
      <c r="H133" s="161"/>
      <c r="I133" s="161"/>
      <c r="J133" s="161"/>
      <c r="K133" s="75">
        <f t="shared" si="20"/>
        <v>0</v>
      </c>
      <c r="L133" s="76">
        <f t="shared" si="21"/>
        <v>0</v>
      </c>
      <c r="M133" s="75">
        <f t="shared" si="22"/>
        <v>0</v>
      </c>
      <c r="N133" s="75">
        <f t="shared" si="23"/>
        <v>0</v>
      </c>
      <c r="O133" s="75">
        <f t="shared" si="24"/>
        <v>0</v>
      </c>
      <c r="P133" s="77">
        <f t="shared" si="25"/>
        <v>0</v>
      </c>
    </row>
    <row r="134" spans="1:16" s="61" customFormat="1" x14ac:dyDescent="0.2">
      <c r="A134" s="155">
        <v>0</v>
      </c>
      <c r="B134" s="194"/>
      <c r="C134" s="183" t="s">
        <v>136</v>
      </c>
      <c r="D134" s="179" t="s">
        <v>137</v>
      </c>
      <c r="E134" s="184">
        <f>E132*0.25</f>
        <v>0.25</v>
      </c>
      <c r="F134" s="185"/>
      <c r="G134" s="159"/>
      <c r="H134" s="161"/>
      <c r="I134" s="154"/>
      <c r="J134" s="161"/>
      <c r="K134" s="75">
        <f t="shared" si="20"/>
        <v>0</v>
      </c>
      <c r="L134" s="76">
        <f t="shared" si="21"/>
        <v>0</v>
      </c>
      <c r="M134" s="75">
        <f t="shared" si="22"/>
        <v>0</v>
      </c>
      <c r="N134" s="75">
        <f t="shared" si="23"/>
        <v>0</v>
      </c>
      <c r="O134" s="75">
        <f t="shared" si="24"/>
        <v>0</v>
      </c>
      <c r="P134" s="77">
        <f t="shared" si="25"/>
        <v>0</v>
      </c>
    </row>
    <row r="135" spans="1:16" s="61" customFormat="1" ht="25.5" x14ac:dyDescent="0.2">
      <c r="A135" s="155">
        <v>57</v>
      </c>
      <c r="B135" s="281" t="s">
        <v>126</v>
      </c>
      <c r="C135" s="186" t="s">
        <v>140</v>
      </c>
      <c r="D135" s="182" t="s">
        <v>59</v>
      </c>
      <c r="E135" s="182">
        <v>5</v>
      </c>
      <c r="F135" s="159"/>
      <c r="G135" s="159"/>
      <c r="H135" s="161"/>
      <c r="I135" s="161"/>
      <c r="J135" s="161"/>
      <c r="K135" s="75">
        <f t="shared" si="20"/>
        <v>0</v>
      </c>
      <c r="L135" s="76">
        <f t="shared" si="21"/>
        <v>0</v>
      </c>
      <c r="M135" s="75">
        <f t="shared" si="22"/>
        <v>0</v>
      </c>
      <c r="N135" s="75">
        <f t="shared" si="23"/>
        <v>0</v>
      </c>
      <c r="O135" s="75">
        <f t="shared" si="24"/>
        <v>0</v>
      </c>
      <c r="P135" s="77">
        <f t="shared" si="25"/>
        <v>0</v>
      </c>
    </row>
    <row r="136" spans="1:16" s="61" customFormat="1" x14ac:dyDescent="0.2">
      <c r="A136" s="155">
        <v>0</v>
      </c>
      <c r="B136" s="281"/>
      <c r="C136" s="186"/>
      <c r="D136" s="182"/>
      <c r="E136" s="182"/>
      <c r="F136" s="159"/>
      <c r="G136" s="159"/>
      <c r="H136" s="161"/>
      <c r="I136" s="161"/>
      <c r="J136" s="161"/>
      <c r="K136" s="75">
        <f t="shared" si="20"/>
        <v>0</v>
      </c>
      <c r="L136" s="76">
        <f t="shared" si="21"/>
        <v>0</v>
      </c>
      <c r="M136" s="75">
        <f t="shared" si="22"/>
        <v>0</v>
      </c>
      <c r="N136" s="75">
        <f t="shared" si="23"/>
        <v>0</v>
      </c>
      <c r="O136" s="75">
        <f t="shared" si="24"/>
        <v>0</v>
      </c>
      <c r="P136" s="77">
        <f t="shared" si="25"/>
        <v>0</v>
      </c>
    </row>
    <row r="137" spans="1:16" s="61" customFormat="1" x14ac:dyDescent="0.2">
      <c r="A137" s="155">
        <v>0</v>
      </c>
      <c r="B137" s="194"/>
      <c r="C137" s="464" t="s">
        <v>150</v>
      </c>
      <c r="D137" s="179"/>
      <c r="E137" s="184"/>
      <c r="F137" s="185"/>
      <c r="G137" s="159"/>
      <c r="H137" s="161"/>
      <c r="I137" s="154"/>
      <c r="J137" s="161"/>
      <c r="K137" s="75">
        <f t="shared" si="20"/>
        <v>0</v>
      </c>
      <c r="L137" s="76">
        <f t="shared" si="21"/>
        <v>0</v>
      </c>
      <c r="M137" s="75">
        <f t="shared" si="22"/>
        <v>0</v>
      </c>
      <c r="N137" s="75">
        <f t="shared" si="23"/>
        <v>0</v>
      </c>
      <c r="O137" s="75">
        <f t="shared" si="24"/>
        <v>0</v>
      </c>
      <c r="P137" s="77">
        <f t="shared" si="25"/>
        <v>0</v>
      </c>
    </row>
    <row r="138" spans="1:16" s="61" customFormat="1" ht="25.5" x14ac:dyDescent="0.2">
      <c r="A138" s="155">
        <v>58</v>
      </c>
      <c r="B138" s="281" t="s">
        <v>126</v>
      </c>
      <c r="C138" s="176" t="s">
        <v>144</v>
      </c>
      <c r="D138" s="465" t="s">
        <v>83</v>
      </c>
      <c r="E138" s="172">
        <v>0.9</v>
      </c>
      <c r="F138" s="161"/>
      <c r="G138" s="159"/>
      <c r="H138" s="161"/>
      <c r="I138" s="161"/>
      <c r="J138" s="161"/>
      <c r="K138" s="75">
        <f t="shared" si="20"/>
        <v>0</v>
      </c>
      <c r="L138" s="76">
        <f t="shared" si="21"/>
        <v>0</v>
      </c>
      <c r="M138" s="75">
        <f t="shared" si="22"/>
        <v>0</v>
      </c>
      <c r="N138" s="75">
        <f t="shared" si="23"/>
        <v>0</v>
      </c>
      <c r="O138" s="75">
        <f t="shared" si="24"/>
        <v>0</v>
      </c>
      <c r="P138" s="77">
        <f t="shared" si="25"/>
        <v>0</v>
      </c>
    </row>
    <row r="139" spans="1:16" s="61" customFormat="1" ht="25.5" x14ac:dyDescent="0.2">
      <c r="A139" s="155">
        <v>59</v>
      </c>
      <c r="B139" s="281" t="s">
        <v>126</v>
      </c>
      <c r="C139" s="176" t="s">
        <v>128</v>
      </c>
      <c r="D139" s="182" t="s">
        <v>83</v>
      </c>
      <c r="E139" s="164">
        <v>4</v>
      </c>
      <c r="F139" s="161"/>
      <c r="G139" s="159"/>
      <c r="H139" s="161"/>
      <c r="I139" s="161"/>
      <c r="J139" s="161"/>
      <c r="K139" s="75">
        <f t="shared" si="20"/>
        <v>0</v>
      </c>
      <c r="L139" s="76">
        <f t="shared" si="21"/>
        <v>0</v>
      </c>
      <c r="M139" s="75">
        <f t="shared" si="22"/>
        <v>0</v>
      </c>
      <c r="N139" s="75">
        <f t="shared" si="23"/>
        <v>0</v>
      </c>
      <c r="O139" s="75">
        <f t="shared" si="24"/>
        <v>0</v>
      </c>
      <c r="P139" s="77">
        <f t="shared" si="25"/>
        <v>0</v>
      </c>
    </row>
    <row r="140" spans="1:16" s="61" customFormat="1" ht="25.5" x14ac:dyDescent="0.2">
      <c r="A140" s="155">
        <v>60</v>
      </c>
      <c r="B140" s="281"/>
      <c r="C140" s="466" t="s">
        <v>129</v>
      </c>
      <c r="D140" s="182" t="s">
        <v>78</v>
      </c>
      <c r="E140" s="164">
        <v>0.2</v>
      </c>
      <c r="F140" s="161"/>
      <c r="G140" s="159"/>
      <c r="H140" s="161"/>
      <c r="I140" s="161"/>
      <c r="J140" s="161"/>
      <c r="K140" s="75">
        <f t="shared" si="20"/>
        <v>0</v>
      </c>
      <c r="L140" s="76">
        <f t="shared" si="21"/>
        <v>0</v>
      </c>
      <c r="M140" s="75">
        <f t="shared" si="22"/>
        <v>0</v>
      </c>
      <c r="N140" s="75">
        <f t="shared" si="23"/>
        <v>0</v>
      </c>
      <c r="O140" s="75">
        <f t="shared" si="24"/>
        <v>0</v>
      </c>
      <c r="P140" s="77">
        <f t="shared" si="25"/>
        <v>0</v>
      </c>
    </row>
    <row r="141" spans="1:16" s="61" customFormat="1" ht="76.5" x14ac:dyDescent="0.2">
      <c r="A141" s="155">
        <v>61</v>
      </c>
      <c r="B141" s="281" t="s">
        <v>126</v>
      </c>
      <c r="C141" s="176" t="s">
        <v>130</v>
      </c>
      <c r="D141" s="182" t="s">
        <v>131</v>
      </c>
      <c r="E141" s="164">
        <f>(18.7+72.8+5.13)*1</f>
        <v>96.63</v>
      </c>
      <c r="F141" s="177"/>
      <c r="G141" s="159"/>
      <c r="H141" s="161"/>
      <c r="I141" s="161"/>
      <c r="J141" s="161"/>
      <c r="K141" s="75">
        <f t="shared" si="20"/>
        <v>0</v>
      </c>
      <c r="L141" s="76">
        <f t="shared" si="21"/>
        <v>0</v>
      </c>
      <c r="M141" s="75">
        <f t="shared" si="22"/>
        <v>0</v>
      </c>
      <c r="N141" s="75">
        <f t="shared" si="23"/>
        <v>0</v>
      </c>
      <c r="O141" s="75">
        <f t="shared" si="24"/>
        <v>0</v>
      </c>
      <c r="P141" s="77">
        <f t="shared" si="25"/>
        <v>0</v>
      </c>
    </row>
    <row r="142" spans="1:16" s="61" customFormat="1" x14ac:dyDescent="0.2">
      <c r="A142" s="155">
        <v>0</v>
      </c>
      <c r="B142" s="281"/>
      <c r="C142" s="178" t="s">
        <v>132</v>
      </c>
      <c r="D142" s="179" t="s">
        <v>131</v>
      </c>
      <c r="E142" s="180">
        <f>E141*1.15</f>
        <v>111.12449999999998</v>
      </c>
      <c r="F142" s="159"/>
      <c r="G142" s="159"/>
      <c r="H142" s="161"/>
      <c r="I142" s="161"/>
      <c r="J142" s="161"/>
      <c r="K142" s="75">
        <f t="shared" si="20"/>
        <v>0</v>
      </c>
      <c r="L142" s="76">
        <f t="shared" si="21"/>
        <v>0</v>
      </c>
      <c r="M142" s="75">
        <f t="shared" si="22"/>
        <v>0</v>
      </c>
      <c r="N142" s="75">
        <f t="shared" si="23"/>
        <v>0</v>
      </c>
      <c r="O142" s="75">
        <f t="shared" si="24"/>
        <v>0</v>
      </c>
      <c r="P142" s="77">
        <f t="shared" si="25"/>
        <v>0</v>
      </c>
    </row>
    <row r="143" spans="1:16" s="61" customFormat="1" ht="25.5" x14ac:dyDescent="0.2">
      <c r="A143" s="155">
        <v>0</v>
      </c>
      <c r="B143" s="281"/>
      <c r="C143" s="181" t="s">
        <v>133</v>
      </c>
      <c r="D143" s="182" t="s">
        <v>66</v>
      </c>
      <c r="E143" s="182">
        <v>1</v>
      </c>
      <c r="F143" s="159"/>
      <c r="G143" s="159"/>
      <c r="H143" s="161"/>
      <c r="I143" s="161"/>
      <c r="J143" s="161"/>
      <c r="K143" s="75">
        <f t="shared" ref="K143:K184" si="26">SUM(H143:J143)</f>
        <v>0</v>
      </c>
      <c r="L143" s="76">
        <f t="shared" ref="L143:L184" si="27">ROUND(F143*E143,2)</f>
        <v>0</v>
      </c>
      <c r="M143" s="75">
        <f t="shared" ref="M143:M184" si="28">ROUND(H143*E143,2)</f>
        <v>0</v>
      </c>
      <c r="N143" s="75">
        <f t="shared" ref="N143:N184" si="29">ROUND(I143*E143,2)</f>
        <v>0</v>
      </c>
      <c r="O143" s="75">
        <f t="shared" ref="O143:O184" si="30">ROUND(J143*E143,2)</f>
        <v>0</v>
      </c>
      <c r="P143" s="77">
        <f t="shared" ref="P143:P184" si="31">SUM(M143:O143)</f>
        <v>0</v>
      </c>
    </row>
    <row r="144" spans="1:16" s="61" customFormat="1" ht="25.5" x14ac:dyDescent="0.2">
      <c r="A144" s="155">
        <v>62</v>
      </c>
      <c r="B144" s="281" t="s">
        <v>126</v>
      </c>
      <c r="C144" s="527" t="s">
        <v>157</v>
      </c>
      <c r="D144" s="179" t="s">
        <v>78</v>
      </c>
      <c r="E144" s="164">
        <v>0.67</v>
      </c>
      <c r="F144" s="159"/>
      <c r="G144" s="159"/>
      <c r="H144" s="161"/>
      <c r="I144" s="161"/>
      <c r="J144" s="161"/>
      <c r="K144" s="75">
        <f t="shared" si="26"/>
        <v>0</v>
      </c>
      <c r="L144" s="76">
        <f t="shared" si="27"/>
        <v>0</v>
      </c>
      <c r="M144" s="75">
        <f t="shared" si="28"/>
        <v>0</v>
      </c>
      <c r="N144" s="75">
        <f t="shared" si="29"/>
        <v>0</v>
      </c>
      <c r="O144" s="75">
        <f t="shared" si="30"/>
        <v>0</v>
      </c>
      <c r="P144" s="77">
        <f t="shared" si="31"/>
        <v>0</v>
      </c>
    </row>
    <row r="145" spans="1:16" s="61" customFormat="1" x14ac:dyDescent="0.2">
      <c r="A145" s="155">
        <v>0</v>
      </c>
      <c r="B145" s="194"/>
      <c r="C145" s="528" t="s">
        <v>158</v>
      </c>
      <c r="D145" s="179" t="s">
        <v>78</v>
      </c>
      <c r="E145" s="184">
        <f>E144*1.05</f>
        <v>0.70350000000000013</v>
      </c>
      <c r="F145" s="185"/>
      <c r="G145" s="159"/>
      <c r="H145" s="161"/>
      <c r="I145" s="161"/>
      <c r="J145" s="161"/>
      <c r="K145" s="75">
        <f t="shared" si="26"/>
        <v>0</v>
      </c>
      <c r="L145" s="76">
        <f t="shared" si="27"/>
        <v>0</v>
      </c>
      <c r="M145" s="75">
        <f t="shared" si="28"/>
        <v>0</v>
      </c>
      <c r="N145" s="75">
        <f t="shared" si="29"/>
        <v>0</v>
      </c>
      <c r="O145" s="75">
        <f t="shared" si="30"/>
        <v>0</v>
      </c>
      <c r="P145" s="77">
        <f t="shared" si="31"/>
        <v>0</v>
      </c>
    </row>
    <row r="146" spans="1:16" s="61" customFormat="1" x14ac:dyDescent="0.2">
      <c r="A146" s="155">
        <v>0</v>
      </c>
      <c r="B146" s="194"/>
      <c r="C146" s="183" t="s">
        <v>136</v>
      </c>
      <c r="D146" s="179" t="s">
        <v>137</v>
      </c>
      <c r="E146" s="184">
        <f>E144*0.25</f>
        <v>0.16750000000000001</v>
      </c>
      <c r="F146" s="185"/>
      <c r="G146" s="159"/>
      <c r="H146" s="161"/>
      <c r="I146" s="154"/>
      <c r="J146" s="161"/>
      <c r="K146" s="75">
        <f t="shared" si="26"/>
        <v>0</v>
      </c>
      <c r="L146" s="76">
        <f t="shared" si="27"/>
        <v>0</v>
      </c>
      <c r="M146" s="75">
        <f t="shared" si="28"/>
        <v>0</v>
      </c>
      <c r="N146" s="75">
        <f t="shared" si="29"/>
        <v>0</v>
      </c>
      <c r="O146" s="75">
        <f t="shared" si="30"/>
        <v>0</v>
      </c>
      <c r="P146" s="77">
        <f t="shared" si="31"/>
        <v>0</v>
      </c>
    </row>
    <row r="147" spans="1:16" s="61" customFormat="1" ht="25.5" x14ac:dyDescent="0.2">
      <c r="A147" s="155">
        <v>63</v>
      </c>
      <c r="B147" s="281" t="s">
        <v>126</v>
      </c>
      <c r="C147" s="176" t="s">
        <v>138</v>
      </c>
      <c r="D147" s="179" t="s">
        <v>78</v>
      </c>
      <c r="E147" s="164">
        <v>0.2</v>
      </c>
      <c r="F147" s="159"/>
      <c r="G147" s="159"/>
      <c r="H147" s="161"/>
      <c r="I147" s="161"/>
      <c r="J147" s="161"/>
      <c r="K147" s="75">
        <f t="shared" si="26"/>
        <v>0</v>
      </c>
      <c r="L147" s="76">
        <f t="shared" si="27"/>
        <v>0</v>
      </c>
      <c r="M147" s="75">
        <f t="shared" si="28"/>
        <v>0</v>
      </c>
      <c r="N147" s="75">
        <f t="shared" si="29"/>
        <v>0</v>
      </c>
      <c r="O147" s="75">
        <f t="shared" si="30"/>
        <v>0</v>
      </c>
      <c r="P147" s="77">
        <f t="shared" si="31"/>
        <v>0</v>
      </c>
    </row>
    <row r="148" spans="1:16" s="61" customFormat="1" x14ac:dyDescent="0.2">
      <c r="A148" s="155">
        <v>0</v>
      </c>
      <c r="B148" s="194"/>
      <c r="C148" s="183" t="s">
        <v>139</v>
      </c>
      <c r="D148" s="179" t="s">
        <v>78</v>
      </c>
      <c r="E148" s="184">
        <f>E147*1.05</f>
        <v>0.21000000000000002</v>
      </c>
      <c r="F148" s="185"/>
      <c r="G148" s="159"/>
      <c r="H148" s="161"/>
      <c r="I148" s="161"/>
      <c r="J148" s="161"/>
      <c r="K148" s="75">
        <f t="shared" si="26"/>
        <v>0</v>
      </c>
      <c r="L148" s="76">
        <f t="shared" si="27"/>
        <v>0</v>
      </c>
      <c r="M148" s="75">
        <f t="shared" si="28"/>
        <v>0</v>
      </c>
      <c r="N148" s="75">
        <f t="shared" si="29"/>
        <v>0</v>
      </c>
      <c r="O148" s="75">
        <f t="shared" si="30"/>
        <v>0</v>
      </c>
      <c r="P148" s="77">
        <f t="shared" si="31"/>
        <v>0</v>
      </c>
    </row>
    <row r="149" spans="1:16" s="61" customFormat="1" x14ac:dyDescent="0.2">
      <c r="A149" s="155">
        <v>0</v>
      </c>
      <c r="B149" s="194"/>
      <c r="C149" s="183" t="s">
        <v>136</v>
      </c>
      <c r="D149" s="179" t="s">
        <v>137</v>
      </c>
      <c r="E149" s="184">
        <f>E147*0.25</f>
        <v>0.05</v>
      </c>
      <c r="F149" s="185"/>
      <c r="G149" s="159"/>
      <c r="H149" s="161"/>
      <c r="I149" s="154"/>
      <c r="J149" s="161"/>
      <c r="K149" s="75">
        <f t="shared" si="26"/>
        <v>0</v>
      </c>
      <c r="L149" s="76">
        <f t="shared" si="27"/>
        <v>0</v>
      </c>
      <c r="M149" s="75">
        <f t="shared" si="28"/>
        <v>0</v>
      </c>
      <c r="N149" s="75">
        <f t="shared" si="29"/>
        <v>0</v>
      </c>
      <c r="O149" s="75">
        <f t="shared" si="30"/>
        <v>0</v>
      </c>
      <c r="P149" s="77">
        <f t="shared" si="31"/>
        <v>0</v>
      </c>
    </row>
    <row r="150" spans="1:16" s="61" customFormat="1" x14ac:dyDescent="0.2">
      <c r="A150" s="155">
        <v>0</v>
      </c>
      <c r="B150" s="281"/>
      <c r="C150" s="186"/>
      <c r="D150" s="182"/>
      <c r="E150" s="182"/>
      <c r="F150" s="159"/>
      <c r="G150" s="159"/>
      <c r="H150" s="161"/>
      <c r="I150" s="161"/>
      <c r="J150" s="161"/>
      <c r="K150" s="75">
        <f t="shared" si="26"/>
        <v>0</v>
      </c>
      <c r="L150" s="76">
        <f t="shared" si="27"/>
        <v>0</v>
      </c>
      <c r="M150" s="75">
        <f t="shared" si="28"/>
        <v>0</v>
      </c>
      <c r="N150" s="75">
        <f t="shared" si="29"/>
        <v>0</v>
      </c>
      <c r="O150" s="75">
        <f t="shared" si="30"/>
        <v>0</v>
      </c>
      <c r="P150" s="77">
        <f t="shared" si="31"/>
        <v>0</v>
      </c>
    </row>
    <row r="151" spans="1:16" s="61" customFormat="1" x14ac:dyDescent="0.2">
      <c r="A151" s="155">
        <v>0</v>
      </c>
      <c r="B151" s="281"/>
      <c r="C151" s="464" t="s">
        <v>782</v>
      </c>
      <c r="D151" s="182"/>
      <c r="E151" s="182"/>
      <c r="F151" s="159"/>
      <c r="G151" s="159"/>
      <c r="H151" s="161"/>
      <c r="I151" s="161"/>
      <c r="J151" s="161"/>
      <c r="K151" s="75">
        <f t="shared" si="26"/>
        <v>0</v>
      </c>
      <c r="L151" s="76">
        <f t="shared" si="27"/>
        <v>0</v>
      </c>
      <c r="M151" s="75">
        <f t="shared" si="28"/>
        <v>0</v>
      </c>
      <c r="N151" s="75">
        <f t="shared" si="29"/>
        <v>0</v>
      </c>
      <c r="O151" s="75">
        <f t="shared" si="30"/>
        <v>0</v>
      </c>
      <c r="P151" s="77">
        <f t="shared" si="31"/>
        <v>0</v>
      </c>
    </row>
    <row r="152" spans="1:16" s="61" customFormat="1" ht="25.5" x14ac:dyDescent="0.2">
      <c r="A152" s="155">
        <v>64</v>
      </c>
      <c r="B152" s="281" t="s">
        <v>126</v>
      </c>
      <c r="C152" s="176" t="s">
        <v>144</v>
      </c>
      <c r="D152" s="465" t="s">
        <v>83</v>
      </c>
      <c r="E152" s="172">
        <v>1.5</v>
      </c>
      <c r="F152" s="161"/>
      <c r="G152" s="159"/>
      <c r="H152" s="161"/>
      <c r="I152" s="161"/>
      <c r="J152" s="161"/>
      <c r="K152" s="75">
        <f t="shared" si="26"/>
        <v>0</v>
      </c>
      <c r="L152" s="76">
        <f t="shared" si="27"/>
        <v>0</v>
      </c>
      <c r="M152" s="75">
        <f t="shared" si="28"/>
        <v>0</v>
      </c>
      <c r="N152" s="75">
        <f t="shared" si="29"/>
        <v>0</v>
      </c>
      <c r="O152" s="75">
        <f t="shared" si="30"/>
        <v>0</v>
      </c>
      <c r="P152" s="77">
        <f t="shared" si="31"/>
        <v>0</v>
      </c>
    </row>
    <row r="153" spans="1:16" s="61" customFormat="1" ht="25.5" x14ac:dyDescent="0.2">
      <c r="A153" s="155">
        <v>65</v>
      </c>
      <c r="B153" s="281" t="s">
        <v>126</v>
      </c>
      <c r="C153" s="176" t="s">
        <v>128</v>
      </c>
      <c r="D153" s="182" t="s">
        <v>83</v>
      </c>
      <c r="E153" s="164">
        <v>5</v>
      </c>
      <c r="F153" s="161"/>
      <c r="G153" s="159"/>
      <c r="H153" s="161"/>
      <c r="I153" s="161"/>
      <c r="J153" s="161"/>
      <c r="K153" s="75">
        <f t="shared" si="26"/>
        <v>0</v>
      </c>
      <c r="L153" s="76">
        <f t="shared" si="27"/>
        <v>0</v>
      </c>
      <c r="M153" s="75">
        <f t="shared" si="28"/>
        <v>0</v>
      </c>
      <c r="N153" s="75">
        <f t="shared" si="29"/>
        <v>0</v>
      </c>
      <c r="O153" s="75">
        <f t="shared" si="30"/>
        <v>0</v>
      </c>
      <c r="P153" s="77">
        <f t="shared" si="31"/>
        <v>0</v>
      </c>
    </row>
    <row r="154" spans="1:16" s="61" customFormat="1" ht="25.5" x14ac:dyDescent="0.2">
      <c r="A154" s="155">
        <v>66</v>
      </c>
      <c r="B154" s="281"/>
      <c r="C154" s="466" t="s">
        <v>129</v>
      </c>
      <c r="D154" s="182" t="s">
        <v>78</v>
      </c>
      <c r="E154" s="164">
        <v>0.25</v>
      </c>
      <c r="F154" s="161"/>
      <c r="G154" s="159"/>
      <c r="H154" s="161"/>
      <c r="I154" s="161"/>
      <c r="J154" s="161"/>
      <c r="K154" s="75">
        <f t="shared" si="26"/>
        <v>0</v>
      </c>
      <c r="L154" s="76">
        <f t="shared" si="27"/>
        <v>0</v>
      </c>
      <c r="M154" s="75">
        <f t="shared" si="28"/>
        <v>0</v>
      </c>
      <c r="N154" s="75">
        <f t="shared" si="29"/>
        <v>0</v>
      </c>
      <c r="O154" s="75">
        <f t="shared" si="30"/>
        <v>0</v>
      </c>
      <c r="P154" s="77">
        <f t="shared" si="31"/>
        <v>0</v>
      </c>
    </row>
    <row r="155" spans="1:16" s="61" customFormat="1" ht="76.5" x14ac:dyDescent="0.2">
      <c r="A155" s="155">
        <v>67</v>
      </c>
      <c r="B155" s="281" t="s">
        <v>126</v>
      </c>
      <c r="C155" s="176" t="s">
        <v>130</v>
      </c>
      <c r="D155" s="182" t="s">
        <v>131</v>
      </c>
      <c r="E155" s="164">
        <f>18.7+85.9+3.15</f>
        <v>107.75000000000001</v>
      </c>
      <c r="F155" s="177"/>
      <c r="G155" s="159"/>
      <c r="H155" s="161"/>
      <c r="I155" s="161"/>
      <c r="J155" s="161"/>
      <c r="K155" s="75">
        <f t="shared" si="26"/>
        <v>0</v>
      </c>
      <c r="L155" s="76">
        <f t="shared" si="27"/>
        <v>0</v>
      </c>
      <c r="M155" s="75">
        <f t="shared" si="28"/>
        <v>0</v>
      </c>
      <c r="N155" s="75">
        <f t="shared" si="29"/>
        <v>0</v>
      </c>
      <c r="O155" s="75">
        <f t="shared" si="30"/>
        <v>0</v>
      </c>
      <c r="P155" s="77">
        <f t="shared" si="31"/>
        <v>0</v>
      </c>
    </row>
    <row r="156" spans="1:16" s="61" customFormat="1" x14ac:dyDescent="0.2">
      <c r="A156" s="155">
        <v>0</v>
      </c>
      <c r="B156" s="281"/>
      <c r="C156" s="178" t="s">
        <v>132</v>
      </c>
      <c r="D156" s="179" t="s">
        <v>131</v>
      </c>
      <c r="E156" s="180">
        <f>E155*1.15</f>
        <v>123.91250000000001</v>
      </c>
      <c r="F156" s="159"/>
      <c r="G156" s="159"/>
      <c r="H156" s="161"/>
      <c r="I156" s="161"/>
      <c r="J156" s="161"/>
      <c r="K156" s="75">
        <f t="shared" si="26"/>
        <v>0</v>
      </c>
      <c r="L156" s="76">
        <f t="shared" si="27"/>
        <v>0</v>
      </c>
      <c r="M156" s="75">
        <f t="shared" si="28"/>
        <v>0</v>
      </c>
      <c r="N156" s="75">
        <f t="shared" si="29"/>
        <v>0</v>
      </c>
      <c r="O156" s="75">
        <f t="shared" si="30"/>
        <v>0</v>
      </c>
      <c r="P156" s="77">
        <f t="shared" si="31"/>
        <v>0</v>
      </c>
    </row>
    <row r="157" spans="1:16" s="61" customFormat="1" ht="25.5" x14ac:dyDescent="0.2">
      <c r="A157" s="155">
        <v>0</v>
      </c>
      <c r="B157" s="281"/>
      <c r="C157" s="181" t="s">
        <v>133</v>
      </c>
      <c r="D157" s="182" t="s">
        <v>66</v>
      </c>
      <c r="E157" s="182">
        <v>1</v>
      </c>
      <c r="F157" s="159"/>
      <c r="G157" s="159"/>
      <c r="H157" s="161"/>
      <c r="I157" s="161"/>
      <c r="J157" s="161"/>
      <c r="K157" s="75">
        <f t="shared" si="26"/>
        <v>0</v>
      </c>
      <c r="L157" s="76">
        <f t="shared" si="27"/>
        <v>0</v>
      </c>
      <c r="M157" s="75">
        <f t="shared" si="28"/>
        <v>0</v>
      </c>
      <c r="N157" s="75">
        <f t="shared" si="29"/>
        <v>0</v>
      </c>
      <c r="O157" s="75">
        <f t="shared" si="30"/>
        <v>0</v>
      </c>
      <c r="P157" s="77">
        <f t="shared" si="31"/>
        <v>0</v>
      </c>
    </row>
    <row r="158" spans="1:16" s="61" customFormat="1" ht="25.5" x14ac:dyDescent="0.2">
      <c r="A158" s="155">
        <v>68</v>
      </c>
      <c r="B158" s="281" t="s">
        <v>126</v>
      </c>
      <c r="C158" s="527" t="s">
        <v>157</v>
      </c>
      <c r="D158" s="179" t="s">
        <v>78</v>
      </c>
      <c r="E158" s="164">
        <v>0.9</v>
      </c>
      <c r="F158" s="159"/>
      <c r="G158" s="159"/>
      <c r="H158" s="161"/>
      <c r="I158" s="161"/>
      <c r="J158" s="161"/>
      <c r="K158" s="75">
        <f t="shared" si="26"/>
        <v>0</v>
      </c>
      <c r="L158" s="76">
        <f t="shared" si="27"/>
        <v>0</v>
      </c>
      <c r="M158" s="75">
        <f t="shared" si="28"/>
        <v>0</v>
      </c>
      <c r="N158" s="75">
        <f t="shared" si="29"/>
        <v>0</v>
      </c>
      <c r="O158" s="75">
        <f t="shared" si="30"/>
        <v>0</v>
      </c>
      <c r="P158" s="77">
        <f t="shared" si="31"/>
        <v>0</v>
      </c>
    </row>
    <row r="159" spans="1:16" s="61" customFormat="1" x14ac:dyDescent="0.2">
      <c r="A159" s="155">
        <v>0</v>
      </c>
      <c r="B159" s="194"/>
      <c r="C159" s="528" t="s">
        <v>158</v>
      </c>
      <c r="D159" s="179" t="s">
        <v>78</v>
      </c>
      <c r="E159" s="184">
        <f>E158*1.05</f>
        <v>0.94500000000000006</v>
      </c>
      <c r="F159" s="185"/>
      <c r="G159" s="159"/>
      <c r="H159" s="161"/>
      <c r="I159" s="161"/>
      <c r="J159" s="161"/>
      <c r="K159" s="75">
        <f t="shared" si="26"/>
        <v>0</v>
      </c>
      <c r="L159" s="76">
        <f t="shared" si="27"/>
        <v>0</v>
      </c>
      <c r="M159" s="75">
        <f t="shared" si="28"/>
        <v>0</v>
      </c>
      <c r="N159" s="75">
        <f t="shared" si="29"/>
        <v>0</v>
      </c>
      <c r="O159" s="75">
        <f t="shared" si="30"/>
        <v>0</v>
      </c>
      <c r="P159" s="77">
        <f t="shared" si="31"/>
        <v>0</v>
      </c>
    </row>
    <row r="160" spans="1:16" s="61" customFormat="1" x14ac:dyDescent="0.2">
      <c r="A160" s="155">
        <v>0</v>
      </c>
      <c r="B160" s="194"/>
      <c r="C160" s="183" t="s">
        <v>136</v>
      </c>
      <c r="D160" s="179" t="s">
        <v>137</v>
      </c>
      <c r="E160" s="184">
        <f>E158*0.25</f>
        <v>0.22500000000000001</v>
      </c>
      <c r="F160" s="185"/>
      <c r="G160" s="159"/>
      <c r="H160" s="161"/>
      <c r="I160" s="154"/>
      <c r="J160" s="161"/>
      <c r="K160" s="75">
        <f t="shared" si="26"/>
        <v>0</v>
      </c>
      <c r="L160" s="76">
        <f t="shared" si="27"/>
        <v>0</v>
      </c>
      <c r="M160" s="75">
        <f t="shared" si="28"/>
        <v>0</v>
      </c>
      <c r="N160" s="75">
        <f t="shared" si="29"/>
        <v>0</v>
      </c>
      <c r="O160" s="75">
        <f t="shared" si="30"/>
        <v>0</v>
      </c>
      <c r="P160" s="77">
        <f t="shared" si="31"/>
        <v>0</v>
      </c>
    </row>
    <row r="161" spans="1:16" s="61" customFormat="1" ht="25.5" x14ac:dyDescent="0.2">
      <c r="A161" s="155">
        <v>69</v>
      </c>
      <c r="B161" s="281" t="s">
        <v>126</v>
      </c>
      <c r="C161" s="176" t="s">
        <v>138</v>
      </c>
      <c r="D161" s="179" t="s">
        <v>78</v>
      </c>
      <c r="E161" s="164">
        <v>0.26</v>
      </c>
      <c r="F161" s="159"/>
      <c r="G161" s="159"/>
      <c r="H161" s="161"/>
      <c r="I161" s="161"/>
      <c r="J161" s="161"/>
      <c r="K161" s="75">
        <f t="shared" si="26"/>
        <v>0</v>
      </c>
      <c r="L161" s="76">
        <f t="shared" si="27"/>
        <v>0</v>
      </c>
      <c r="M161" s="75">
        <f t="shared" si="28"/>
        <v>0</v>
      </c>
      <c r="N161" s="75">
        <f t="shared" si="29"/>
        <v>0</v>
      </c>
      <c r="O161" s="75">
        <f t="shared" si="30"/>
        <v>0</v>
      </c>
      <c r="P161" s="77">
        <f t="shared" si="31"/>
        <v>0</v>
      </c>
    </row>
    <row r="162" spans="1:16" s="61" customFormat="1" x14ac:dyDescent="0.2">
      <c r="A162" s="155">
        <v>0</v>
      </c>
      <c r="B162" s="194"/>
      <c r="C162" s="183" t="s">
        <v>139</v>
      </c>
      <c r="D162" s="179" t="s">
        <v>78</v>
      </c>
      <c r="E162" s="184">
        <f>E161*1.05</f>
        <v>0.27300000000000002</v>
      </c>
      <c r="F162" s="185"/>
      <c r="G162" s="159"/>
      <c r="H162" s="161"/>
      <c r="I162" s="161"/>
      <c r="J162" s="161"/>
      <c r="K162" s="75">
        <f t="shared" si="26"/>
        <v>0</v>
      </c>
      <c r="L162" s="76">
        <f t="shared" si="27"/>
        <v>0</v>
      </c>
      <c r="M162" s="75">
        <f t="shared" si="28"/>
        <v>0</v>
      </c>
      <c r="N162" s="75">
        <f t="shared" si="29"/>
        <v>0</v>
      </c>
      <c r="O162" s="75">
        <f t="shared" si="30"/>
        <v>0</v>
      </c>
      <c r="P162" s="77">
        <f t="shared" si="31"/>
        <v>0</v>
      </c>
    </row>
    <row r="163" spans="1:16" s="61" customFormat="1" x14ac:dyDescent="0.2">
      <c r="A163" s="155">
        <v>0</v>
      </c>
      <c r="B163" s="194"/>
      <c r="C163" s="183" t="s">
        <v>136</v>
      </c>
      <c r="D163" s="179" t="s">
        <v>137</v>
      </c>
      <c r="E163" s="184">
        <f>E161*0.25</f>
        <v>6.5000000000000002E-2</v>
      </c>
      <c r="F163" s="185"/>
      <c r="G163" s="159"/>
      <c r="H163" s="161"/>
      <c r="I163" s="154"/>
      <c r="J163" s="161"/>
      <c r="K163" s="75">
        <f t="shared" si="26"/>
        <v>0</v>
      </c>
      <c r="L163" s="76">
        <f t="shared" si="27"/>
        <v>0</v>
      </c>
      <c r="M163" s="75">
        <f t="shared" si="28"/>
        <v>0</v>
      </c>
      <c r="N163" s="75">
        <f t="shared" si="29"/>
        <v>0</v>
      </c>
      <c r="O163" s="75">
        <f t="shared" si="30"/>
        <v>0</v>
      </c>
      <c r="P163" s="77">
        <f t="shared" si="31"/>
        <v>0</v>
      </c>
    </row>
    <row r="164" spans="1:16" s="61" customFormat="1" x14ac:dyDescent="0.2">
      <c r="A164" s="155">
        <v>0</v>
      </c>
      <c r="B164" s="281"/>
      <c r="C164" s="186"/>
      <c r="D164" s="182"/>
      <c r="E164" s="182"/>
      <c r="F164" s="159"/>
      <c r="G164" s="159"/>
      <c r="H164" s="161"/>
      <c r="I164" s="161"/>
      <c r="J164" s="161"/>
      <c r="K164" s="75">
        <f t="shared" si="26"/>
        <v>0</v>
      </c>
      <c r="L164" s="76">
        <f t="shared" si="27"/>
        <v>0</v>
      </c>
      <c r="M164" s="75">
        <f t="shared" si="28"/>
        <v>0</v>
      </c>
      <c r="N164" s="75">
        <f t="shared" si="29"/>
        <v>0</v>
      </c>
      <c r="O164" s="75">
        <f t="shared" si="30"/>
        <v>0</v>
      </c>
      <c r="P164" s="77">
        <f t="shared" si="31"/>
        <v>0</v>
      </c>
    </row>
    <row r="165" spans="1:16" s="61" customFormat="1" x14ac:dyDescent="0.2">
      <c r="A165" s="155">
        <v>0</v>
      </c>
      <c r="B165" s="281"/>
      <c r="C165" s="464" t="s">
        <v>151</v>
      </c>
      <c r="D165" s="182"/>
      <c r="E165" s="182"/>
      <c r="F165" s="159"/>
      <c r="G165" s="159"/>
      <c r="H165" s="161"/>
      <c r="I165" s="161"/>
      <c r="J165" s="161"/>
      <c r="K165" s="75">
        <f t="shared" si="26"/>
        <v>0</v>
      </c>
      <c r="L165" s="76">
        <f t="shared" si="27"/>
        <v>0</v>
      </c>
      <c r="M165" s="75">
        <f t="shared" si="28"/>
        <v>0</v>
      </c>
      <c r="N165" s="75">
        <f t="shared" si="29"/>
        <v>0</v>
      </c>
      <c r="O165" s="75">
        <f t="shared" si="30"/>
        <v>0</v>
      </c>
      <c r="P165" s="77">
        <f t="shared" si="31"/>
        <v>0</v>
      </c>
    </row>
    <row r="166" spans="1:16" s="61" customFormat="1" ht="25.5" x14ac:dyDescent="0.2">
      <c r="A166" s="155">
        <v>70</v>
      </c>
      <c r="B166" s="281" t="s">
        <v>126</v>
      </c>
      <c r="C166" s="176" t="s">
        <v>144</v>
      </c>
      <c r="D166" s="465" t="s">
        <v>83</v>
      </c>
      <c r="E166" s="172">
        <v>3.5</v>
      </c>
      <c r="F166" s="161"/>
      <c r="G166" s="159"/>
      <c r="H166" s="161"/>
      <c r="I166" s="161"/>
      <c r="J166" s="161"/>
      <c r="K166" s="75">
        <f t="shared" si="26"/>
        <v>0</v>
      </c>
      <c r="L166" s="76">
        <f t="shared" si="27"/>
        <v>0</v>
      </c>
      <c r="M166" s="75">
        <f t="shared" si="28"/>
        <v>0</v>
      </c>
      <c r="N166" s="75">
        <f t="shared" si="29"/>
        <v>0</v>
      </c>
      <c r="O166" s="75">
        <f t="shared" si="30"/>
        <v>0</v>
      </c>
      <c r="P166" s="77">
        <f t="shared" si="31"/>
        <v>0</v>
      </c>
    </row>
    <row r="167" spans="1:16" s="61" customFormat="1" ht="25.5" x14ac:dyDescent="0.2">
      <c r="A167" s="155">
        <v>71</v>
      </c>
      <c r="B167" s="281" t="s">
        <v>126</v>
      </c>
      <c r="C167" s="176" t="s">
        <v>128</v>
      </c>
      <c r="D167" s="182" t="s">
        <v>83</v>
      </c>
      <c r="E167" s="164">
        <v>40</v>
      </c>
      <c r="F167" s="161"/>
      <c r="G167" s="159"/>
      <c r="H167" s="161"/>
      <c r="I167" s="161"/>
      <c r="J167" s="161"/>
      <c r="K167" s="75">
        <f t="shared" si="26"/>
        <v>0</v>
      </c>
      <c r="L167" s="76">
        <f t="shared" si="27"/>
        <v>0</v>
      </c>
      <c r="M167" s="75">
        <f t="shared" si="28"/>
        <v>0</v>
      </c>
      <c r="N167" s="75">
        <f t="shared" si="29"/>
        <v>0</v>
      </c>
      <c r="O167" s="75">
        <f t="shared" si="30"/>
        <v>0</v>
      </c>
      <c r="P167" s="77">
        <f t="shared" si="31"/>
        <v>0</v>
      </c>
    </row>
    <row r="168" spans="1:16" s="61" customFormat="1" ht="25.5" x14ac:dyDescent="0.2">
      <c r="A168" s="155">
        <v>72</v>
      </c>
      <c r="B168" s="281"/>
      <c r="C168" s="466" t="s">
        <v>129</v>
      </c>
      <c r="D168" s="182" t="s">
        <v>78</v>
      </c>
      <c r="E168" s="164">
        <v>1.1000000000000001</v>
      </c>
      <c r="F168" s="161"/>
      <c r="G168" s="159"/>
      <c r="H168" s="161"/>
      <c r="I168" s="161"/>
      <c r="J168" s="161"/>
      <c r="K168" s="75">
        <f t="shared" si="26"/>
        <v>0</v>
      </c>
      <c r="L168" s="76">
        <f t="shared" si="27"/>
        <v>0</v>
      </c>
      <c r="M168" s="75">
        <f t="shared" si="28"/>
        <v>0</v>
      </c>
      <c r="N168" s="75">
        <f t="shared" si="29"/>
        <v>0</v>
      </c>
      <c r="O168" s="75">
        <f t="shared" si="30"/>
        <v>0</v>
      </c>
      <c r="P168" s="77">
        <f t="shared" si="31"/>
        <v>0</v>
      </c>
    </row>
    <row r="169" spans="1:16" s="61" customFormat="1" ht="38.25" x14ac:dyDescent="0.2">
      <c r="A169" s="155">
        <v>73</v>
      </c>
      <c r="B169" s="281"/>
      <c r="C169" s="176" t="s">
        <v>145</v>
      </c>
      <c r="D169" s="182" t="s">
        <v>131</v>
      </c>
      <c r="E169" s="182">
        <v>392.3</v>
      </c>
      <c r="F169" s="158"/>
      <c r="G169" s="159"/>
      <c r="H169" s="161"/>
      <c r="I169" s="161"/>
      <c r="J169" s="161"/>
      <c r="K169" s="75">
        <f t="shared" si="26"/>
        <v>0</v>
      </c>
      <c r="L169" s="76">
        <f t="shared" si="27"/>
        <v>0</v>
      </c>
      <c r="M169" s="75">
        <f t="shared" si="28"/>
        <v>0</v>
      </c>
      <c r="N169" s="75">
        <f t="shared" si="29"/>
        <v>0</v>
      </c>
      <c r="O169" s="75">
        <f t="shared" si="30"/>
        <v>0</v>
      </c>
      <c r="P169" s="77">
        <f t="shared" si="31"/>
        <v>0</v>
      </c>
    </row>
    <row r="170" spans="1:16" s="61" customFormat="1" x14ac:dyDescent="0.2">
      <c r="A170" s="155">
        <v>0</v>
      </c>
      <c r="B170" s="281"/>
      <c r="C170" s="415" t="s">
        <v>146</v>
      </c>
      <c r="D170" s="179" t="s">
        <v>131</v>
      </c>
      <c r="E170" s="191">
        <f>E169*1.1</f>
        <v>431.53000000000003</v>
      </c>
      <c r="F170" s="159"/>
      <c r="G170" s="159"/>
      <c r="H170" s="161"/>
      <c r="I170" s="161"/>
      <c r="J170" s="161"/>
      <c r="K170" s="75">
        <f t="shared" si="26"/>
        <v>0</v>
      </c>
      <c r="L170" s="76">
        <f t="shared" si="27"/>
        <v>0</v>
      </c>
      <c r="M170" s="75">
        <f t="shared" si="28"/>
        <v>0</v>
      </c>
      <c r="N170" s="75">
        <f t="shared" si="29"/>
        <v>0</v>
      </c>
      <c r="O170" s="75">
        <f t="shared" si="30"/>
        <v>0</v>
      </c>
      <c r="P170" s="77">
        <f t="shared" si="31"/>
        <v>0</v>
      </c>
    </row>
    <row r="171" spans="1:16" s="61" customFormat="1" ht="25.5" x14ac:dyDescent="0.2">
      <c r="A171" s="155">
        <v>0</v>
      </c>
      <c r="B171" s="281"/>
      <c r="C171" s="416" t="s">
        <v>147</v>
      </c>
      <c r="D171" s="182" t="s">
        <v>66</v>
      </c>
      <c r="E171" s="180">
        <v>1</v>
      </c>
      <c r="F171" s="190"/>
      <c r="G171" s="159"/>
      <c r="H171" s="161"/>
      <c r="I171" s="161"/>
      <c r="J171" s="161"/>
      <c r="K171" s="75">
        <f t="shared" si="26"/>
        <v>0</v>
      </c>
      <c r="L171" s="76">
        <f t="shared" si="27"/>
        <v>0</v>
      </c>
      <c r="M171" s="75">
        <f t="shared" si="28"/>
        <v>0</v>
      </c>
      <c r="N171" s="75">
        <f t="shared" si="29"/>
        <v>0</v>
      </c>
      <c r="O171" s="75">
        <f t="shared" si="30"/>
        <v>0</v>
      </c>
      <c r="P171" s="77">
        <f t="shared" si="31"/>
        <v>0</v>
      </c>
    </row>
    <row r="172" spans="1:16" s="61" customFormat="1" ht="76.5" x14ac:dyDescent="0.2">
      <c r="A172" s="155">
        <v>74</v>
      </c>
      <c r="B172" s="281" t="s">
        <v>126</v>
      </c>
      <c r="C172" s="176" t="s">
        <v>130</v>
      </c>
      <c r="D172" s="182" t="s">
        <v>131</v>
      </c>
      <c r="E172" s="164">
        <f>185.2+286.9+14.1+5.6</f>
        <v>491.8</v>
      </c>
      <c r="F172" s="177"/>
      <c r="G172" s="159"/>
      <c r="H172" s="161"/>
      <c r="I172" s="161"/>
      <c r="J172" s="161"/>
      <c r="K172" s="75">
        <f t="shared" si="26"/>
        <v>0</v>
      </c>
      <c r="L172" s="76">
        <f t="shared" si="27"/>
        <v>0</v>
      </c>
      <c r="M172" s="75">
        <f t="shared" si="28"/>
        <v>0</v>
      </c>
      <c r="N172" s="75">
        <f t="shared" si="29"/>
        <v>0</v>
      </c>
      <c r="O172" s="75">
        <f t="shared" si="30"/>
        <v>0</v>
      </c>
      <c r="P172" s="77">
        <f t="shared" si="31"/>
        <v>0</v>
      </c>
    </row>
    <row r="173" spans="1:16" s="61" customFormat="1" x14ac:dyDescent="0.2">
      <c r="A173" s="155">
        <v>0</v>
      </c>
      <c r="B173" s="281"/>
      <c r="C173" s="178" t="s">
        <v>132</v>
      </c>
      <c r="D173" s="179" t="s">
        <v>131</v>
      </c>
      <c r="E173" s="180">
        <f>E172*1.15</f>
        <v>565.56999999999994</v>
      </c>
      <c r="F173" s="159"/>
      <c r="G173" s="159"/>
      <c r="H173" s="161"/>
      <c r="I173" s="161"/>
      <c r="J173" s="161"/>
      <c r="K173" s="75">
        <f t="shared" si="26"/>
        <v>0</v>
      </c>
      <c r="L173" s="76">
        <f t="shared" si="27"/>
        <v>0</v>
      </c>
      <c r="M173" s="75">
        <f t="shared" si="28"/>
        <v>0</v>
      </c>
      <c r="N173" s="75">
        <f t="shared" si="29"/>
        <v>0</v>
      </c>
      <c r="O173" s="75">
        <f t="shared" si="30"/>
        <v>0</v>
      </c>
      <c r="P173" s="77">
        <f t="shared" si="31"/>
        <v>0</v>
      </c>
    </row>
    <row r="174" spans="1:16" s="61" customFormat="1" ht="25.5" x14ac:dyDescent="0.2">
      <c r="A174" s="155">
        <v>0</v>
      </c>
      <c r="B174" s="281"/>
      <c r="C174" s="181" t="s">
        <v>133</v>
      </c>
      <c r="D174" s="182" t="s">
        <v>66</v>
      </c>
      <c r="E174" s="182">
        <v>1</v>
      </c>
      <c r="F174" s="159"/>
      <c r="G174" s="159"/>
      <c r="H174" s="161"/>
      <c r="I174" s="161"/>
      <c r="J174" s="161"/>
      <c r="K174" s="75">
        <f t="shared" si="26"/>
        <v>0</v>
      </c>
      <c r="L174" s="76">
        <f t="shared" si="27"/>
        <v>0</v>
      </c>
      <c r="M174" s="75">
        <f t="shared" si="28"/>
        <v>0</v>
      </c>
      <c r="N174" s="75">
        <f t="shared" si="29"/>
        <v>0</v>
      </c>
      <c r="O174" s="75">
        <f t="shared" si="30"/>
        <v>0</v>
      </c>
      <c r="P174" s="77">
        <f t="shared" si="31"/>
        <v>0</v>
      </c>
    </row>
    <row r="175" spans="1:16" s="61" customFormat="1" ht="25.5" x14ac:dyDescent="0.2">
      <c r="A175" s="155">
        <v>75</v>
      </c>
      <c r="B175" s="281" t="s">
        <v>126</v>
      </c>
      <c r="C175" s="527" t="s">
        <v>804</v>
      </c>
      <c r="D175" s="179" t="s">
        <v>78</v>
      </c>
      <c r="E175" s="164">
        <v>7.3</v>
      </c>
      <c r="F175" s="159"/>
      <c r="G175" s="159"/>
      <c r="H175" s="161"/>
      <c r="I175" s="161"/>
      <c r="J175" s="161"/>
      <c r="K175" s="75">
        <f t="shared" si="26"/>
        <v>0</v>
      </c>
      <c r="L175" s="76">
        <f t="shared" si="27"/>
        <v>0</v>
      </c>
      <c r="M175" s="75">
        <f t="shared" si="28"/>
        <v>0</v>
      </c>
      <c r="N175" s="75">
        <f t="shared" si="29"/>
        <v>0</v>
      </c>
      <c r="O175" s="75">
        <f t="shared" si="30"/>
        <v>0</v>
      </c>
      <c r="P175" s="77">
        <f t="shared" si="31"/>
        <v>0</v>
      </c>
    </row>
    <row r="176" spans="1:16" s="61" customFormat="1" x14ac:dyDescent="0.2">
      <c r="A176" s="155">
        <v>0</v>
      </c>
      <c r="B176" s="194"/>
      <c r="C176" s="528" t="s">
        <v>158</v>
      </c>
      <c r="D176" s="179" t="s">
        <v>78</v>
      </c>
      <c r="E176" s="184">
        <f>E175*1.05</f>
        <v>7.665</v>
      </c>
      <c r="F176" s="185"/>
      <c r="G176" s="159"/>
      <c r="H176" s="161"/>
      <c r="I176" s="161"/>
      <c r="J176" s="161"/>
      <c r="K176" s="75">
        <f t="shared" si="26"/>
        <v>0</v>
      </c>
      <c r="L176" s="76">
        <f t="shared" si="27"/>
        <v>0</v>
      </c>
      <c r="M176" s="75">
        <f t="shared" si="28"/>
        <v>0</v>
      </c>
      <c r="N176" s="75">
        <f t="shared" si="29"/>
        <v>0</v>
      </c>
      <c r="O176" s="75">
        <f t="shared" si="30"/>
        <v>0</v>
      </c>
      <c r="P176" s="77">
        <f t="shared" si="31"/>
        <v>0</v>
      </c>
    </row>
    <row r="177" spans="1:16" s="61" customFormat="1" x14ac:dyDescent="0.2">
      <c r="A177" s="155">
        <v>0</v>
      </c>
      <c r="B177" s="194"/>
      <c r="C177" s="183" t="s">
        <v>136</v>
      </c>
      <c r="D177" s="179" t="s">
        <v>137</v>
      </c>
      <c r="E177" s="184">
        <f>E175*0.25</f>
        <v>1.825</v>
      </c>
      <c r="F177" s="185"/>
      <c r="G177" s="159"/>
      <c r="H177" s="161"/>
      <c r="I177" s="154"/>
      <c r="J177" s="161"/>
      <c r="K177" s="75">
        <f t="shared" si="26"/>
        <v>0</v>
      </c>
      <c r="L177" s="76">
        <f t="shared" si="27"/>
        <v>0</v>
      </c>
      <c r="M177" s="75">
        <f t="shared" si="28"/>
        <v>0</v>
      </c>
      <c r="N177" s="75">
        <f t="shared" si="29"/>
        <v>0</v>
      </c>
      <c r="O177" s="75">
        <f t="shared" si="30"/>
        <v>0</v>
      </c>
      <c r="P177" s="77">
        <f t="shared" si="31"/>
        <v>0</v>
      </c>
    </row>
    <row r="178" spans="1:16" s="61" customFormat="1" ht="25.5" x14ac:dyDescent="0.2">
      <c r="A178" s="155">
        <v>76</v>
      </c>
      <c r="B178" s="281" t="s">
        <v>126</v>
      </c>
      <c r="C178" s="176" t="s">
        <v>138</v>
      </c>
      <c r="D178" s="179" t="s">
        <v>78</v>
      </c>
      <c r="E178" s="164">
        <v>0.7</v>
      </c>
      <c r="F178" s="159"/>
      <c r="G178" s="159"/>
      <c r="H178" s="161"/>
      <c r="I178" s="161"/>
      <c r="J178" s="161"/>
      <c r="K178" s="75">
        <f t="shared" si="26"/>
        <v>0</v>
      </c>
      <c r="L178" s="76">
        <f t="shared" si="27"/>
        <v>0</v>
      </c>
      <c r="M178" s="75">
        <f t="shared" si="28"/>
        <v>0</v>
      </c>
      <c r="N178" s="75">
        <f t="shared" si="29"/>
        <v>0</v>
      </c>
      <c r="O178" s="75">
        <f t="shared" si="30"/>
        <v>0</v>
      </c>
      <c r="P178" s="77">
        <f t="shared" si="31"/>
        <v>0</v>
      </c>
    </row>
    <row r="179" spans="1:16" s="61" customFormat="1" x14ac:dyDescent="0.2">
      <c r="A179" s="155">
        <v>0</v>
      </c>
      <c r="B179" s="194"/>
      <c r="C179" s="183" t="s">
        <v>139</v>
      </c>
      <c r="D179" s="179" t="s">
        <v>78</v>
      </c>
      <c r="E179" s="184">
        <f>E178*1.05</f>
        <v>0.73499999999999999</v>
      </c>
      <c r="F179" s="185"/>
      <c r="G179" s="159"/>
      <c r="H179" s="161"/>
      <c r="I179" s="161"/>
      <c r="J179" s="161"/>
      <c r="K179" s="75">
        <f t="shared" si="26"/>
        <v>0</v>
      </c>
      <c r="L179" s="76">
        <f t="shared" si="27"/>
        <v>0</v>
      </c>
      <c r="M179" s="75">
        <f t="shared" si="28"/>
        <v>0</v>
      </c>
      <c r="N179" s="75">
        <f t="shared" si="29"/>
        <v>0</v>
      </c>
      <c r="O179" s="75">
        <f t="shared" si="30"/>
        <v>0</v>
      </c>
      <c r="P179" s="77">
        <f t="shared" si="31"/>
        <v>0</v>
      </c>
    </row>
    <row r="180" spans="1:16" s="61" customFormat="1" ht="15" x14ac:dyDescent="0.25">
      <c r="A180" s="155">
        <v>0</v>
      </c>
      <c r="B180" s="194"/>
      <c r="C180" s="193" t="s">
        <v>136</v>
      </c>
      <c r="D180" s="179" t="s">
        <v>137</v>
      </c>
      <c r="E180" s="184">
        <f>E178*0.25</f>
        <v>0.17499999999999999</v>
      </c>
      <c r="F180" s="185"/>
      <c r="G180" s="159"/>
      <c r="H180" s="161"/>
      <c r="I180" s="154"/>
      <c r="J180" s="161"/>
      <c r="K180" s="75">
        <f t="shared" si="26"/>
        <v>0</v>
      </c>
      <c r="L180" s="76">
        <f t="shared" si="27"/>
        <v>0</v>
      </c>
      <c r="M180" s="75">
        <f t="shared" si="28"/>
        <v>0</v>
      </c>
      <c r="N180" s="75">
        <f t="shared" si="29"/>
        <v>0</v>
      </c>
      <c r="O180" s="75">
        <f t="shared" si="30"/>
        <v>0</v>
      </c>
      <c r="P180" s="77">
        <f t="shared" si="31"/>
        <v>0</v>
      </c>
    </row>
    <row r="181" spans="1:16" s="61" customFormat="1" x14ac:dyDescent="0.2">
      <c r="A181" s="155">
        <v>0</v>
      </c>
      <c r="B181" s="194"/>
      <c r="C181" s="183"/>
      <c r="D181" s="179"/>
      <c r="E181" s="184"/>
      <c r="F181" s="185"/>
      <c r="G181" s="159"/>
      <c r="H181" s="161"/>
      <c r="I181" s="154"/>
      <c r="J181" s="161"/>
      <c r="K181" s="75">
        <f t="shared" si="26"/>
        <v>0</v>
      </c>
      <c r="L181" s="76">
        <f t="shared" si="27"/>
        <v>0</v>
      </c>
      <c r="M181" s="75">
        <f t="shared" si="28"/>
        <v>0</v>
      </c>
      <c r="N181" s="75">
        <f t="shared" si="29"/>
        <v>0</v>
      </c>
      <c r="O181" s="75">
        <f t="shared" si="30"/>
        <v>0</v>
      </c>
      <c r="P181" s="77">
        <f t="shared" si="31"/>
        <v>0</v>
      </c>
    </row>
    <row r="182" spans="1:16" s="61" customFormat="1" x14ac:dyDescent="0.2">
      <c r="A182" s="155">
        <v>0</v>
      </c>
      <c r="B182" s="281"/>
      <c r="C182" s="464" t="s">
        <v>766</v>
      </c>
      <c r="D182" s="182"/>
      <c r="E182" s="182"/>
      <c r="F182" s="309"/>
      <c r="G182" s="309"/>
      <c r="H182" s="310"/>
      <c r="I182" s="310"/>
      <c r="J182" s="310"/>
      <c r="K182" s="75">
        <f t="shared" si="26"/>
        <v>0</v>
      </c>
      <c r="L182" s="76">
        <f t="shared" si="27"/>
        <v>0</v>
      </c>
      <c r="M182" s="75">
        <f t="shared" si="28"/>
        <v>0</v>
      </c>
      <c r="N182" s="75">
        <f t="shared" si="29"/>
        <v>0</v>
      </c>
      <c r="O182" s="75">
        <f t="shared" si="30"/>
        <v>0</v>
      </c>
      <c r="P182" s="77">
        <f t="shared" si="31"/>
        <v>0</v>
      </c>
    </row>
    <row r="183" spans="1:16" s="61" customFormat="1" ht="25.5" x14ac:dyDescent="0.2">
      <c r="A183" s="155">
        <v>77</v>
      </c>
      <c r="B183" s="281" t="s">
        <v>113</v>
      </c>
      <c r="C183" s="468" t="s">
        <v>114</v>
      </c>
      <c r="D183" s="182" t="s">
        <v>115</v>
      </c>
      <c r="E183" s="164">
        <v>11</v>
      </c>
      <c r="F183" s="342"/>
      <c r="G183" s="309"/>
      <c r="H183" s="310"/>
      <c r="I183" s="310"/>
      <c r="J183" s="343"/>
      <c r="K183" s="75">
        <f t="shared" si="26"/>
        <v>0</v>
      </c>
      <c r="L183" s="76">
        <f t="shared" si="27"/>
        <v>0</v>
      </c>
      <c r="M183" s="75">
        <f t="shared" si="28"/>
        <v>0</v>
      </c>
      <c r="N183" s="75">
        <f t="shared" si="29"/>
        <v>0</v>
      </c>
      <c r="O183" s="75">
        <f t="shared" si="30"/>
        <v>0</v>
      </c>
      <c r="P183" s="77">
        <f t="shared" si="31"/>
        <v>0</v>
      </c>
    </row>
    <row r="184" spans="1:16" s="61" customFormat="1" x14ac:dyDescent="0.2">
      <c r="A184" s="155">
        <v>78</v>
      </c>
      <c r="B184" s="281" t="s">
        <v>113</v>
      </c>
      <c r="C184" s="468" t="s">
        <v>116</v>
      </c>
      <c r="D184" s="182" t="s">
        <v>115</v>
      </c>
      <c r="E184" s="164">
        <v>3</v>
      </c>
      <c r="F184" s="344"/>
      <c r="G184" s="309"/>
      <c r="H184" s="310"/>
      <c r="I184" s="310"/>
      <c r="J184" s="343"/>
      <c r="K184" s="75">
        <f t="shared" si="26"/>
        <v>0</v>
      </c>
      <c r="L184" s="76">
        <f t="shared" si="27"/>
        <v>0</v>
      </c>
      <c r="M184" s="75">
        <f t="shared" si="28"/>
        <v>0</v>
      </c>
      <c r="N184" s="75">
        <f t="shared" si="29"/>
        <v>0</v>
      </c>
      <c r="O184" s="75">
        <f t="shared" si="30"/>
        <v>0</v>
      </c>
      <c r="P184" s="77">
        <f t="shared" si="31"/>
        <v>0</v>
      </c>
    </row>
    <row r="185" spans="1:16" s="61" customFormat="1" ht="25.5" x14ac:dyDescent="0.2">
      <c r="A185" s="155">
        <v>79</v>
      </c>
      <c r="B185" s="281" t="s">
        <v>113</v>
      </c>
      <c r="C185" s="468" t="s">
        <v>117</v>
      </c>
      <c r="D185" s="182" t="s">
        <v>115</v>
      </c>
      <c r="E185" s="164">
        <v>7</v>
      </c>
      <c r="F185" s="342"/>
      <c r="G185" s="309"/>
      <c r="H185" s="310"/>
      <c r="I185" s="310"/>
      <c r="J185" s="343"/>
      <c r="K185" s="75">
        <f t="shared" ref="K185:K248" si="32">SUM(H185:J185)</f>
        <v>0</v>
      </c>
      <c r="L185" s="76">
        <f t="shared" ref="L185:L248" si="33">ROUND(F185*E185,2)</f>
        <v>0</v>
      </c>
      <c r="M185" s="75">
        <f t="shared" ref="M185:M248" si="34">ROUND(H185*E185,2)</f>
        <v>0</v>
      </c>
      <c r="N185" s="75">
        <f t="shared" ref="N185:N248" si="35">ROUND(I185*E185,2)</f>
        <v>0</v>
      </c>
      <c r="O185" s="75">
        <f t="shared" ref="O185:O248" si="36">ROUND(J185*E185,2)</f>
        <v>0</v>
      </c>
      <c r="P185" s="77">
        <f t="shared" ref="P185:P248" si="37">SUM(M185:O185)</f>
        <v>0</v>
      </c>
    </row>
    <row r="186" spans="1:16" s="61" customFormat="1" ht="25.5" x14ac:dyDescent="0.2">
      <c r="A186" s="155">
        <v>80</v>
      </c>
      <c r="B186" s="281" t="s">
        <v>113</v>
      </c>
      <c r="C186" s="469" t="s">
        <v>118</v>
      </c>
      <c r="D186" s="182" t="s">
        <v>115</v>
      </c>
      <c r="E186" s="164">
        <v>2</v>
      </c>
      <c r="F186" s="342"/>
      <c r="G186" s="309"/>
      <c r="H186" s="310"/>
      <c r="I186" s="310"/>
      <c r="J186" s="343"/>
      <c r="K186" s="75">
        <f t="shared" si="32"/>
        <v>0</v>
      </c>
      <c r="L186" s="76">
        <f t="shared" si="33"/>
        <v>0</v>
      </c>
      <c r="M186" s="75">
        <f t="shared" si="34"/>
        <v>0</v>
      </c>
      <c r="N186" s="75">
        <f t="shared" si="35"/>
        <v>0</v>
      </c>
      <c r="O186" s="75">
        <f t="shared" si="36"/>
        <v>0</v>
      </c>
      <c r="P186" s="77">
        <f t="shared" si="37"/>
        <v>0</v>
      </c>
    </row>
    <row r="187" spans="1:16" s="61" customFormat="1" x14ac:dyDescent="0.2">
      <c r="A187" s="155">
        <v>81</v>
      </c>
      <c r="B187" s="281" t="s">
        <v>113</v>
      </c>
      <c r="C187" s="469" t="s">
        <v>119</v>
      </c>
      <c r="D187" s="182" t="s">
        <v>115</v>
      </c>
      <c r="E187" s="164">
        <v>14</v>
      </c>
      <c r="F187" s="342"/>
      <c r="G187" s="309"/>
      <c r="H187" s="310"/>
      <c r="I187" s="310"/>
      <c r="J187" s="343"/>
      <c r="K187" s="75">
        <f t="shared" si="32"/>
        <v>0</v>
      </c>
      <c r="L187" s="76">
        <f t="shared" si="33"/>
        <v>0</v>
      </c>
      <c r="M187" s="75">
        <f t="shared" si="34"/>
        <v>0</v>
      </c>
      <c r="N187" s="75">
        <f t="shared" si="35"/>
        <v>0</v>
      </c>
      <c r="O187" s="75">
        <f t="shared" si="36"/>
        <v>0</v>
      </c>
      <c r="P187" s="77">
        <f t="shared" si="37"/>
        <v>0</v>
      </c>
    </row>
    <row r="188" spans="1:16" s="61" customFormat="1" ht="25.5" x14ac:dyDescent="0.2">
      <c r="A188" s="155">
        <v>82</v>
      </c>
      <c r="B188" s="281" t="s">
        <v>126</v>
      </c>
      <c r="C188" s="176" t="s">
        <v>127</v>
      </c>
      <c r="D188" s="465" t="s">
        <v>83</v>
      </c>
      <c r="E188" s="172">
        <v>2</v>
      </c>
      <c r="F188" s="310"/>
      <c r="G188" s="309"/>
      <c r="H188" s="310"/>
      <c r="I188" s="310"/>
      <c r="J188" s="310"/>
      <c r="K188" s="75">
        <f t="shared" si="32"/>
        <v>0</v>
      </c>
      <c r="L188" s="76">
        <f t="shared" si="33"/>
        <v>0</v>
      </c>
      <c r="M188" s="75">
        <f t="shared" si="34"/>
        <v>0</v>
      </c>
      <c r="N188" s="75">
        <f t="shared" si="35"/>
        <v>0</v>
      </c>
      <c r="O188" s="75">
        <f t="shared" si="36"/>
        <v>0</v>
      </c>
      <c r="P188" s="77">
        <f t="shared" si="37"/>
        <v>0</v>
      </c>
    </row>
    <row r="189" spans="1:16" s="61" customFormat="1" ht="25.5" x14ac:dyDescent="0.2">
      <c r="A189" s="155">
        <v>83</v>
      </c>
      <c r="B189" s="281" t="s">
        <v>126</v>
      </c>
      <c r="C189" s="176" t="s">
        <v>128</v>
      </c>
      <c r="D189" s="182" t="s">
        <v>83</v>
      </c>
      <c r="E189" s="164">
        <v>16</v>
      </c>
      <c r="F189" s="310"/>
      <c r="G189" s="309"/>
      <c r="H189" s="310"/>
      <c r="I189" s="310"/>
      <c r="J189" s="310"/>
      <c r="K189" s="75">
        <f t="shared" si="32"/>
        <v>0</v>
      </c>
      <c r="L189" s="76">
        <f t="shared" si="33"/>
        <v>0</v>
      </c>
      <c r="M189" s="75">
        <f t="shared" si="34"/>
        <v>0</v>
      </c>
      <c r="N189" s="75">
        <f t="shared" si="35"/>
        <v>0</v>
      </c>
      <c r="O189" s="75">
        <f t="shared" si="36"/>
        <v>0</v>
      </c>
      <c r="P189" s="77">
        <f t="shared" si="37"/>
        <v>0</v>
      </c>
    </row>
    <row r="190" spans="1:16" s="61" customFormat="1" ht="25.5" x14ac:dyDescent="0.2">
      <c r="A190" s="155">
        <v>84</v>
      </c>
      <c r="B190" s="281"/>
      <c r="C190" s="466" t="s">
        <v>129</v>
      </c>
      <c r="D190" s="182" t="s">
        <v>78</v>
      </c>
      <c r="E190" s="164">
        <f>2.5*2.5*0.1</f>
        <v>0.625</v>
      </c>
      <c r="F190" s="310"/>
      <c r="G190" s="309"/>
      <c r="H190" s="310"/>
      <c r="I190" s="310"/>
      <c r="J190" s="310"/>
      <c r="K190" s="75">
        <f t="shared" si="32"/>
        <v>0</v>
      </c>
      <c r="L190" s="76">
        <f t="shared" si="33"/>
        <v>0</v>
      </c>
      <c r="M190" s="75">
        <f t="shared" si="34"/>
        <v>0</v>
      </c>
      <c r="N190" s="75">
        <f t="shared" si="35"/>
        <v>0</v>
      </c>
      <c r="O190" s="75">
        <f t="shared" si="36"/>
        <v>0</v>
      </c>
      <c r="P190" s="77">
        <f t="shared" si="37"/>
        <v>0</v>
      </c>
    </row>
    <row r="191" spans="1:16" s="61" customFormat="1" ht="76.5" x14ac:dyDescent="0.2">
      <c r="A191" s="155">
        <v>85</v>
      </c>
      <c r="B191" s="281" t="s">
        <v>126</v>
      </c>
      <c r="C191" s="176" t="s">
        <v>130</v>
      </c>
      <c r="D191" s="182" t="s">
        <v>131</v>
      </c>
      <c r="E191" s="164">
        <v>223.8</v>
      </c>
      <c r="F191" s="313"/>
      <c r="G191" s="309"/>
      <c r="H191" s="310"/>
      <c r="I191" s="310"/>
      <c r="J191" s="310"/>
      <c r="K191" s="75">
        <f t="shared" si="32"/>
        <v>0</v>
      </c>
      <c r="L191" s="76">
        <f t="shared" si="33"/>
        <v>0</v>
      </c>
      <c r="M191" s="75">
        <f t="shared" si="34"/>
        <v>0</v>
      </c>
      <c r="N191" s="75">
        <f t="shared" si="35"/>
        <v>0</v>
      </c>
      <c r="O191" s="75">
        <f t="shared" si="36"/>
        <v>0</v>
      </c>
      <c r="P191" s="77">
        <f t="shared" si="37"/>
        <v>0</v>
      </c>
    </row>
    <row r="192" spans="1:16" s="61" customFormat="1" x14ac:dyDescent="0.2">
      <c r="A192" s="155">
        <v>0</v>
      </c>
      <c r="B192" s="281"/>
      <c r="C192" s="178" t="s">
        <v>132</v>
      </c>
      <c r="D192" s="179" t="s">
        <v>131</v>
      </c>
      <c r="E192" s="180">
        <f>E191*1.15</f>
        <v>257.37</v>
      </c>
      <c r="F192" s="309"/>
      <c r="G192" s="309"/>
      <c r="H192" s="310"/>
      <c r="I192" s="310"/>
      <c r="J192" s="310"/>
      <c r="K192" s="75">
        <f t="shared" si="32"/>
        <v>0</v>
      </c>
      <c r="L192" s="76">
        <f t="shared" si="33"/>
        <v>0</v>
      </c>
      <c r="M192" s="75">
        <f t="shared" si="34"/>
        <v>0</v>
      </c>
      <c r="N192" s="75">
        <f t="shared" si="35"/>
        <v>0</v>
      </c>
      <c r="O192" s="75">
        <f t="shared" si="36"/>
        <v>0</v>
      </c>
      <c r="P192" s="77">
        <f t="shared" si="37"/>
        <v>0</v>
      </c>
    </row>
    <row r="193" spans="1:16" s="61" customFormat="1" x14ac:dyDescent="0.2">
      <c r="A193" s="155">
        <v>0</v>
      </c>
      <c r="B193" s="281"/>
      <c r="C193" s="178" t="s">
        <v>152</v>
      </c>
      <c r="D193" s="179" t="s">
        <v>59</v>
      </c>
      <c r="E193" s="180">
        <v>12</v>
      </c>
      <c r="F193" s="309"/>
      <c r="G193" s="309"/>
      <c r="H193" s="310"/>
      <c r="I193" s="310"/>
      <c r="J193" s="310"/>
      <c r="K193" s="75">
        <f t="shared" si="32"/>
        <v>0</v>
      </c>
      <c r="L193" s="76">
        <f t="shared" si="33"/>
        <v>0</v>
      </c>
      <c r="M193" s="75">
        <f t="shared" si="34"/>
        <v>0</v>
      </c>
      <c r="N193" s="75">
        <f t="shared" si="35"/>
        <v>0</v>
      </c>
      <c r="O193" s="75">
        <f t="shared" si="36"/>
        <v>0</v>
      </c>
      <c r="P193" s="77">
        <f t="shared" si="37"/>
        <v>0</v>
      </c>
    </row>
    <row r="194" spans="1:16" s="61" customFormat="1" ht="25.5" x14ac:dyDescent="0.2">
      <c r="A194" s="155">
        <v>0</v>
      </c>
      <c r="B194" s="281"/>
      <c r="C194" s="181" t="s">
        <v>133</v>
      </c>
      <c r="D194" s="182" t="s">
        <v>66</v>
      </c>
      <c r="E194" s="182">
        <v>1</v>
      </c>
      <c r="F194" s="309"/>
      <c r="G194" s="309"/>
      <c r="H194" s="310"/>
      <c r="I194" s="310"/>
      <c r="J194" s="310"/>
      <c r="K194" s="75">
        <f t="shared" si="32"/>
        <v>0</v>
      </c>
      <c r="L194" s="76">
        <f t="shared" si="33"/>
        <v>0</v>
      </c>
      <c r="M194" s="75">
        <f t="shared" si="34"/>
        <v>0</v>
      </c>
      <c r="N194" s="75">
        <f t="shared" si="35"/>
        <v>0</v>
      </c>
      <c r="O194" s="75">
        <f t="shared" si="36"/>
        <v>0</v>
      </c>
      <c r="P194" s="77">
        <f t="shared" si="37"/>
        <v>0</v>
      </c>
    </row>
    <row r="195" spans="1:16" s="61" customFormat="1" ht="25.5" x14ac:dyDescent="0.2">
      <c r="A195" s="155">
        <v>86</v>
      </c>
      <c r="B195" s="281" t="s">
        <v>126</v>
      </c>
      <c r="C195" s="527" t="s">
        <v>157</v>
      </c>
      <c r="D195" s="179" t="s">
        <v>78</v>
      </c>
      <c r="E195" s="164">
        <v>4</v>
      </c>
      <c r="F195" s="309"/>
      <c r="G195" s="309"/>
      <c r="H195" s="310"/>
      <c r="I195" s="310"/>
      <c r="J195" s="310"/>
      <c r="K195" s="75">
        <f t="shared" si="32"/>
        <v>0</v>
      </c>
      <c r="L195" s="76">
        <f t="shared" si="33"/>
        <v>0</v>
      </c>
      <c r="M195" s="75">
        <f t="shared" si="34"/>
        <v>0</v>
      </c>
      <c r="N195" s="75">
        <f t="shared" si="35"/>
        <v>0</v>
      </c>
      <c r="O195" s="75">
        <f t="shared" si="36"/>
        <v>0</v>
      </c>
      <c r="P195" s="77">
        <f t="shared" si="37"/>
        <v>0</v>
      </c>
    </row>
    <row r="196" spans="1:16" s="61" customFormat="1" x14ac:dyDescent="0.2">
      <c r="A196" s="155">
        <v>0</v>
      </c>
      <c r="B196" s="194"/>
      <c r="C196" s="528" t="s">
        <v>158</v>
      </c>
      <c r="D196" s="179" t="s">
        <v>78</v>
      </c>
      <c r="E196" s="184">
        <f>E195*1.05</f>
        <v>4.2</v>
      </c>
      <c r="F196" s="320"/>
      <c r="G196" s="309"/>
      <c r="H196" s="310"/>
      <c r="I196" s="310"/>
      <c r="J196" s="310"/>
      <c r="K196" s="75">
        <f t="shared" si="32"/>
        <v>0</v>
      </c>
      <c r="L196" s="76">
        <f t="shared" si="33"/>
        <v>0</v>
      </c>
      <c r="M196" s="75">
        <f t="shared" si="34"/>
        <v>0</v>
      </c>
      <c r="N196" s="75">
        <f t="shared" si="35"/>
        <v>0</v>
      </c>
      <c r="O196" s="75">
        <f t="shared" si="36"/>
        <v>0</v>
      </c>
      <c r="P196" s="77">
        <f t="shared" si="37"/>
        <v>0</v>
      </c>
    </row>
    <row r="197" spans="1:16" s="61" customFormat="1" x14ac:dyDescent="0.2">
      <c r="A197" s="155">
        <v>0</v>
      </c>
      <c r="B197" s="194"/>
      <c r="C197" s="183" t="s">
        <v>136</v>
      </c>
      <c r="D197" s="179" t="s">
        <v>137</v>
      </c>
      <c r="E197" s="184">
        <f>E195*0.25</f>
        <v>1</v>
      </c>
      <c r="F197" s="320"/>
      <c r="G197" s="309"/>
      <c r="H197" s="310"/>
      <c r="I197" s="321"/>
      <c r="J197" s="310"/>
      <c r="K197" s="75">
        <f t="shared" si="32"/>
        <v>0</v>
      </c>
      <c r="L197" s="76">
        <f t="shared" si="33"/>
        <v>0</v>
      </c>
      <c r="M197" s="75">
        <f t="shared" si="34"/>
        <v>0</v>
      </c>
      <c r="N197" s="75">
        <f t="shared" si="35"/>
        <v>0</v>
      </c>
      <c r="O197" s="75">
        <f t="shared" si="36"/>
        <v>0</v>
      </c>
      <c r="P197" s="77">
        <f t="shared" si="37"/>
        <v>0</v>
      </c>
    </row>
    <row r="198" spans="1:16" s="61" customFormat="1" ht="25.5" x14ac:dyDescent="0.2">
      <c r="A198" s="155">
        <v>87</v>
      </c>
      <c r="B198" s="281" t="s">
        <v>126</v>
      </c>
      <c r="C198" s="176" t="s">
        <v>138</v>
      </c>
      <c r="D198" s="179" t="s">
        <v>78</v>
      </c>
      <c r="E198" s="164">
        <v>0.48</v>
      </c>
      <c r="F198" s="309"/>
      <c r="G198" s="309"/>
      <c r="H198" s="310"/>
      <c r="I198" s="310"/>
      <c r="J198" s="310"/>
      <c r="K198" s="75">
        <f t="shared" si="32"/>
        <v>0</v>
      </c>
      <c r="L198" s="76">
        <f t="shared" si="33"/>
        <v>0</v>
      </c>
      <c r="M198" s="75">
        <f t="shared" si="34"/>
        <v>0</v>
      </c>
      <c r="N198" s="75">
        <f t="shared" si="35"/>
        <v>0</v>
      </c>
      <c r="O198" s="75">
        <f t="shared" si="36"/>
        <v>0</v>
      </c>
      <c r="P198" s="77">
        <f t="shared" si="37"/>
        <v>0</v>
      </c>
    </row>
    <row r="199" spans="1:16" s="61" customFormat="1" x14ac:dyDescent="0.2">
      <c r="A199" s="155">
        <v>0</v>
      </c>
      <c r="B199" s="194"/>
      <c r="C199" s="183" t="s">
        <v>139</v>
      </c>
      <c r="D199" s="179" t="s">
        <v>78</v>
      </c>
      <c r="E199" s="184">
        <f>E198*1.05</f>
        <v>0.504</v>
      </c>
      <c r="F199" s="320"/>
      <c r="G199" s="309"/>
      <c r="H199" s="310"/>
      <c r="I199" s="310"/>
      <c r="J199" s="310"/>
      <c r="K199" s="75">
        <f t="shared" si="32"/>
        <v>0</v>
      </c>
      <c r="L199" s="76">
        <f t="shared" si="33"/>
        <v>0</v>
      </c>
      <c r="M199" s="75">
        <f t="shared" si="34"/>
        <v>0</v>
      </c>
      <c r="N199" s="75">
        <f t="shared" si="35"/>
        <v>0</v>
      </c>
      <c r="O199" s="75">
        <f t="shared" si="36"/>
        <v>0</v>
      </c>
      <c r="P199" s="77">
        <f t="shared" si="37"/>
        <v>0</v>
      </c>
    </row>
    <row r="200" spans="1:16" s="61" customFormat="1" x14ac:dyDescent="0.2">
      <c r="A200" s="155">
        <v>0</v>
      </c>
      <c r="B200" s="194"/>
      <c r="C200" s="183" t="s">
        <v>136</v>
      </c>
      <c r="D200" s="179" t="s">
        <v>137</v>
      </c>
      <c r="E200" s="184">
        <f>E198*0.25</f>
        <v>0.12</v>
      </c>
      <c r="F200" s="320"/>
      <c r="G200" s="309"/>
      <c r="H200" s="310"/>
      <c r="I200" s="321"/>
      <c r="J200" s="310"/>
      <c r="K200" s="75">
        <f t="shared" si="32"/>
        <v>0</v>
      </c>
      <c r="L200" s="76">
        <f t="shared" si="33"/>
        <v>0</v>
      </c>
      <c r="M200" s="75">
        <f t="shared" si="34"/>
        <v>0</v>
      </c>
      <c r="N200" s="75">
        <f t="shared" si="35"/>
        <v>0</v>
      </c>
      <c r="O200" s="75">
        <f t="shared" si="36"/>
        <v>0</v>
      </c>
      <c r="P200" s="77">
        <f t="shared" si="37"/>
        <v>0</v>
      </c>
    </row>
    <row r="201" spans="1:16" s="61" customFormat="1" x14ac:dyDescent="0.2">
      <c r="A201" s="155">
        <v>0</v>
      </c>
      <c r="B201" s="194"/>
      <c r="C201" s="183"/>
      <c r="D201" s="179"/>
      <c r="E201" s="184"/>
      <c r="F201" s="195"/>
      <c r="G201" s="164"/>
      <c r="H201" s="167"/>
      <c r="I201" s="196"/>
      <c r="J201" s="167"/>
      <c r="K201" s="75">
        <f t="shared" si="32"/>
        <v>0</v>
      </c>
      <c r="L201" s="76">
        <f t="shared" si="33"/>
        <v>0</v>
      </c>
      <c r="M201" s="75">
        <f t="shared" si="34"/>
        <v>0</v>
      </c>
      <c r="N201" s="75">
        <f t="shared" si="35"/>
        <v>0</v>
      </c>
      <c r="O201" s="75">
        <f t="shared" si="36"/>
        <v>0</v>
      </c>
      <c r="P201" s="77">
        <f t="shared" si="37"/>
        <v>0</v>
      </c>
    </row>
    <row r="202" spans="1:16" s="61" customFormat="1" ht="15" x14ac:dyDescent="0.25">
      <c r="A202" s="155">
        <v>0</v>
      </c>
      <c r="B202" s="442"/>
      <c r="C202" s="470" t="s">
        <v>153</v>
      </c>
      <c r="D202" s="443"/>
      <c r="E202" s="444"/>
      <c r="F202" s="445"/>
      <c r="G202" s="446"/>
      <c r="H202" s="447"/>
      <c r="I202" s="448"/>
      <c r="J202" s="447"/>
      <c r="K202" s="75">
        <f t="shared" si="32"/>
        <v>0</v>
      </c>
      <c r="L202" s="76">
        <f t="shared" si="33"/>
        <v>0</v>
      </c>
      <c r="M202" s="75">
        <f t="shared" si="34"/>
        <v>0</v>
      </c>
      <c r="N202" s="75">
        <f t="shared" si="35"/>
        <v>0</v>
      </c>
      <c r="O202" s="75">
        <f t="shared" si="36"/>
        <v>0</v>
      </c>
      <c r="P202" s="77">
        <f t="shared" si="37"/>
        <v>0</v>
      </c>
    </row>
    <row r="203" spans="1:16" s="61" customFormat="1" ht="25.5" x14ac:dyDescent="0.2">
      <c r="A203" s="440">
        <v>88</v>
      </c>
      <c r="B203" s="281" t="s">
        <v>126</v>
      </c>
      <c r="C203" s="176" t="s">
        <v>144</v>
      </c>
      <c r="D203" s="465" t="s">
        <v>83</v>
      </c>
      <c r="E203" s="172">
        <v>16</v>
      </c>
      <c r="F203" s="310"/>
      <c r="G203" s="309"/>
      <c r="H203" s="310"/>
      <c r="I203" s="310"/>
      <c r="J203" s="310"/>
      <c r="K203" s="441">
        <f t="shared" si="32"/>
        <v>0</v>
      </c>
      <c r="L203" s="76">
        <f t="shared" si="33"/>
        <v>0</v>
      </c>
      <c r="M203" s="75">
        <f t="shared" si="34"/>
        <v>0</v>
      </c>
      <c r="N203" s="75">
        <f t="shared" si="35"/>
        <v>0</v>
      </c>
      <c r="O203" s="75">
        <f t="shared" si="36"/>
        <v>0</v>
      </c>
      <c r="P203" s="77">
        <f t="shared" si="37"/>
        <v>0</v>
      </c>
    </row>
    <row r="204" spans="1:16" s="61" customFormat="1" ht="25.5" x14ac:dyDescent="0.2">
      <c r="A204" s="440">
        <v>89</v>
      </c>
      <c r="B204" s="281" t="s">
        <v>126</v>
      </c>
      <c r="C204" s="176" t="s">
        <v>128</v>
      </c>
      <c r="D204" s="182" t="s">
        <v>83</v>
      </c>
      <c r="E204" s="164">
        <v>302</v>
      </c>
      <c r="F204" s="310"/>
      <c r="G204" s="309"/>
      <c r="H204" s="310"/>
      <c r="I204" s="310"/>
      <c r="J204" s="310"/>
      <c r="K204" s="441">
        <f t="shared" si="32"/>
        <v>0</v>
      </c>
      <c r="L204" s="76">
        <f t="shared" si="33"/>
        <v>0</v>
      </c>
      <c r="M204" s="75">
        <f t="shared" si="34"/>
        <v>0</v>
      </c>
      <c r="N204" s="75">
        <f t="shared" si="35"/>
        <v>0</v>
      </c>
      <c r="O204" s="75">
        <f t="shared" si="36"/>
        <v>0</v>
      </c>
      <c r="P204" s="77">
        <f t="shared" si="37"/>
        <v>0</v>
      </c>
    </row>
    <row r="205" spans="1:16" s="61" customFormat="1" ht="25.5" x14ac:dyDescent="0.2">
      <c r="A205" s="440">
        <v>90</v>
      </c>
      <c r="B205" s="281"/>
      <c r="C205" s="466" t="s">
        <v>129</v>
      </c>
      <c r="D205" s="182" t="s">
        <v>78</v>
      </c>
      <c r="E205" s="164">
        <v>18</v>
      </c>
      <c r="F205" s="310"/>
      <c r="G205" s="309"/>
      <c r="H205" s="310"/>
      <c r="I205" s="310"/>
      <c r="J205" s="310"/>
      <c r="K205" s="441">
        <f t="shared" si="32"/>
        <v>0</v>
      </c>
      <c r="L205" s="76">
        <f t="shared" si="33"/>
        <v>0</v>
      </c>
      <c r="M205" s="75">
        <f t="shared" si="34"/>
        <v>0</v>
      </c>
      <c r="N205" s="75">
        <f t="shared" si="35"/>
        <v>0</v>
      </c>
      <c r="O205" s="75">
        <f t="shared" si="36"/>
        <v>0</v>
      </c>
      <c r="P205" s="77">
        <f t="shared" si="37"/>
        <v>0</v>
      </c>
    </row>
    <row r="206" spans="1:16" s="61" customFormat="1" ht="76.5" x14ac:dyDescent="0.2">
      <c r="A206" s="440">
        <v>91</v>
      </c>
      <c r="B206" s="281" t="s">
        <v>126</v>
      </c>
      <c r="C206" s="176" t="s">
        <v>130</v>
      </c>
      <c r="D206" s="182" t="s">
        <v>131</v>
      </c>
      <c r="E206" s="164">
        <f>4204.4+232.5+112+(0.71*3)</f>
        <v>4551.03</v>
      </c>
      <c r="F206" s="313"/>
      <c r="G206" s="309"/>
      <c r="H206" s="310"/>
      <c r="I206" s="310"/>
      <c r="J206" s="310"/>
      <c r="K206" s="441">
        <f t="shared" si="32"/>
        <v>0</v>
      </c>
      <c r="L206" s="76">
        <f t="shared" si="33"/>
        <v>0</v>
      </c>
      <c r="M206" s="75">
        <f t="shared" si="34"/>
        <v>0</v>
      </c>
      <c r="N206" s="75">
        <f t="shared" si="35"/>
        <v>0</v>
      </c>
      <c r="O206" s="75">
        <f t="shared" si="36"/>
        <v>0</v>
      </c>
      <c r="P206" s="77">
        <f t="shared" si="37"/>
        <v>0</v>
      </c>
    </row>
    <row r="207" spans="1:16" s="61" customFormat="1" x14ac:dyDescent="0.2">
      <c r="A207" s="440">
        <v>0</v>
      </c>
      <c r="B207" s="281"/>
      <c r="C207" s="178" t="s">
        <v>132</v>
      </c>
      <c r="D207" s="179" t="s">
        <v>131</v>
      </c>
      <c r="E207" s="180">
        <f>E206*1.15</f>
        <v>5233.6844999999994</v>
      </c>
      <c r="F207" s="309"/>
      <c r="G207" s="309"/>
      <c r="H207" s="310"/>
      <c r="I207" s="310"/>
      <c r="J207" s="310"/>
      <c r="K207" s="441">
        <f t="shared" si="32"/>
        <v>0</v>
      </c>
      <c r="L207" s="76">
        <f t="shared" si="33"/>
        <v>0</v>
      </c>
      <c r="M207" s="75">
        <f t="shared" si="34"/>
        <v>0</v>
      </c>
      <c r="N207" s="75">
        <f t="shared" si="35"/>
        <v>0</v>
      </c>
      <c r="O207" s="75">
        <f t="shared" si="36"/>
        <v>0</v>
      </c>
      <c r="P207" s="77">
        <f t="shared" si="37"/>
        <v>0</v>
      </c>
    </row>
    <row r="208" spans="1:16" s="61" customFormat="1" ht="25.5" x14ac:dyDescent="0.2">
      <c r="A208" s="440">
        <v>0</v>
      </c>
      <c r="B208" s="281"/>
      <c r="C208" s="471" t="s">
        <v>133</v>
      </c>
      <c r="D208" s="182" t="s">
        <v>66</v>
      </c>
      <c r="E208" s="182">
        <v>1</v>
      </c>
      <c r="F208" s="309"/>
      <c r="G208" s="309"/>
      <c r="H208" s="310"/>
      <c r="I208" s="310"/>
      <c r="J208" s="310"/>
      <c r="K208" s="441">
        <f t="shared" si="32"/>
        <v>0</v>
      </c>
      <c r="L208" s="76">
        <f t="shared" si="33"/>
        <v>0</v>
      </c>
      <c r="M208" s="75">
        <f t="shared" si="34"/>
        <v>0</v>
      </c>
      <c r="N208" s="75">
        <f t="shared" si="35"/>
        <v>0</v>
      </c>
      <c r="O208" s="75">
        <f t="shared" si="36"/>
        <v>0</v>
      </c>
      <c r="P208" s="77">
        <f t="shared" si="37"/>
        <v>0</v>
      </c>
    </row>
    <row r="209" spans="1:16" s="61" customFormat="1" ht="25.5" x14ac:dyDescent="0.2">
      <c r="A209" s="440">
        <v>92</v>
      </c>
      <c r="B209" s="281" t="s">
        <v>126</v>
      </c>
      <c r="C209" s="527" t="s">
        <v>157</v>
      </c>
      <c r="D209" s="179" t="s">
        <v>78</v>
      </c>
      <c r="E209" s="164">
        <v>51.1</v>
      </c>
      <c r="F209" s="309"/>
      <c r="G209" s="309"/>
      <c r="H209" s="310"/>
      <c r="I209" s="310"/>
      <c r="J209" s="310"/>
      <c r="K209" s="441">
        <f t="shared" si="32"/>
        <v>0</v>
      </c>
      <c r="L209" s="76">
        <f t="shared" si="33"/>
        <v>0</v>
      </c>
      <c r="M209" s="75">
        <f t="shared" si="34"/>
        <v>0</v>
      </c>
      <c r="N209" s="75">
        <f t="shared" si="35"/>
        <v>0</v>
      </c>
      <c r="O209" s="75">
        <f t="shared" si="36"/>
        <v>0</v>
      </c>
      <c r="P209" s="77">
        <f t="shared" si="37"/>
        <v>0</v>
      </c>
    </row>
    <row r="210" spans="1:16" s="61" customFormat="1" x14ac:dyDescent="0.2">
      <c r="A210" s="440">
        <v>0</v>
      </c>
      <c r="B210" s="194"/>
      <c r="C210" s="528" t="s">
        <v>158</v>
      </c>
      <c r="D210" s="179" t="s">
        <v>78</v>
      </c>
      <c r="E210" s="184">
        <f>E209*1.05</f>
        <v>53.655000000000001</v>
      </c>
      <c r="F210" s="321"/>
      <c r="G210" s="309"/>
      <c r="H210" s="310"/>
      <c r="I210" s="310"/>
      <c r="J210" s="310"/>
      <c r="K210" s="441">
        <f t="shared" si="32"/>
        <v>0</v>
      </c>
      <c r="L210" s="76">
        <f t="shared" si="33"/>
        <v>0</v>
      </c>
      <c r="M210" s="75">
        <f t="shared" si="34"/>
        <v>0</v>
      </c>
      <c r="N210" s="75">
        <f t="shared" si="35"/>
        <v>0</v>
      </c>
      <c r="O210" s="75">
        <f t="shared" si="36"/>
        <v>0</v>
      </c>
      <c r="P210" s="77">
        <f t="shared" si="37"/>
        <v>0</v>
      </c>
    </row>
    <row r="211" spans="1:16" s="61" customFormat="1" x14ac:dyDescent="0.2">
      <c r="A211" s="440">
        <v>0</v>
      </c>
      <c r="B211" s="194"/>
      <c r="C211" s="183" t="s">
        <v>136</v>
      </c>
      <c r="D211" s="179" t="s">
        <v>137</v>
      </c>
      <c r="E211" s="184">
        <f>E209*0.25</f>
        <v>12.775</v>
      </c>
      <c r="F211" s="321"/>
      <c r="G211" s="309"/>
      <c r="H211" s="310"/>
      <c r="I211" s="321"/>
      <c r="J211" s="310"/>
      <c r="K211" s="441">
        <f t="shared" si="32"/>
        <v>0</v>
      </c>
      <c r="L211" s="76">
        <f t="shared" si="33"/>
        <v>0</v>
      </c>
      <c r="M211" s="75">
        <f t="shared" si="34"/>
        <v>0</v>
      </c>
      <c r="N211" s="75">
        <f t="shared" si="35"/>
        <v>0</v>
      </c>
      <c r="O211" s="75">
        <f t="shared" si="36"/>
        <v>0</v>
      </c>
      <c r="P211" s="77">
        <f t="shared" si="37"/>
        <v>0</v>
      </c>
    </row>
    <row r="212" spans="1:16" s="61" customFormat="1" ht="25.5" x14ac:dyDescent="0.2">
      <c r="A212" s="440">
        <v>93</v>
      </c>
      <c r="B212" s="281" t="s">
        <v>126</v>
      </c>
      <c r="C212" s="176" t="s">
        <v>138</v>
      </c>
      <c r="D212" s="179" t="s">
        <v>78</v>
      </c>
      <c r="E212" s="164">
        <v>6.7</v>
      </c>
      <c r="F212" s="309"/>
      <c r="G212" s="309"/>
      <c r="H212" s="310"/>
      <c r="I212" s="310"/>
      <c r="J212" s="310"/>
      <c r="K212" s="441">
        <f t="shared" si="32"/>
        <v>0</v>
      </c>
      <c r="L212" s="76">
        <f t="shared" si="33"/>
        <v>0</v>
      </c>
      <c r="M212" s="75">
        <f t="shared" si="34"/>
        <v>0</v>
      </c>
      <c r="N212" s="75">
        <f t="shared" si="35"/>
        <v>0</v>
      </c>
      <c r="O212" s="75">
        <f t="shared" si="36"/>
        <v>0</v>
      </c>
      <c r="P212" s="77">
        <f t="shared" si="37"/>
        <v>0</v>
      </c>
    </row>
    <row r="213" spans="1:16" s="61" customFormat="1" x14ac:dyDescent="0.2">
      <c r="A213" s="440">
        <v>0</v>
      </c>
      <c r="B213" s="194"/>
      <c r="C213" s="183" t="s">
        <v>139</v>
      </c>
      <c r="D213" s="179" t="s">
        <v>78</v>
      </c>
      <c r="E213" s="184">
        <f>E212*1.05</f>
        <v>7.0350000000000001</v>
      </c>
      <c r="F213" s="321"/>
      <c r="G213" s="309"/>
      <c r="H213" s="310"/>
      <c r="I213" s="310"/>
      <c r="J213" s="310"/>
      <c r="K213" s="441">
        <f t="shared" si="32"/>
        <v>0</v>
      </c>
      <c r="L213" s="76">
        <f t="shared" si="33"/>
        <v>0</v>
      </c>
      <c r="M213" s="75">
        <f t="shared" si="34"/>
        <v>0</v>
      </c>
      <c r="N213" s="75">
        <f t="shared" si="35"/>
        <v>0</v>
      </c>
      <c r="O213" s="75">
        <f t="shared" si="36"/>
        <v>0</v>
      </c>
      <c r="P213" s="77">
        <f t="shared" si="37"/>
        <v>0</v>
      </c>
    </row>
    <row r="214" spans="1:16" s="61" customFormat="1" x14ac:dyDescent="0.2">
      <c r="A214" s="440">
        <v>0</v>
      </c>
      <c r="B214" s="194"/>
      <c r="C214" s="183" t="s">
        <v>136</v>
      </c>
      <c r="D214" s="179" t="s">
        <v>137</v>
      </c>
      <c r="E214" s="184">
        <f>E212*0.25</f>
        <v>1.675</v>
      </c>
      <c r="F214" s="321"/>
      <c r="G214" s="309"/>
      <c r="H214" s="310"/>
      <c r="I214" s="321"/>
      <c r="J214" s="310"/>
      <c r="K214" s="441">
        <f t="shared" si="32"/>
        <v>0</v>
      </c>
      <c r="L214" s="76">
        <f t="shared" si="33"/>
        <v>0</v>
      </c>
      <c r="M214" s="75">
        <f t="shared" si="34"/>
        <v>0</v>
      </c>
      <c r="N214" s="75">
        <f t="shared" si="35"/>
        <v>0</v>
      </c>
      <c r="O214" s="75">
        <f t="shared" si="36"/>
        <v>0</v>
      </c>
      <c r="P214" s="77">
        <f t="shared" si="37"/>
        <v>0</v>
      </c>
    </row>
    <row r="215" spans="1:16" s="61" customFormat="1" ht="15" x14ac:dyDescent="0.25">
      <c r="A215" s="440">
        <v>94</v>
      </c>
      <c r="B215" s="194"/>
      <c r="C215" s="472" t="s">
        <v>724</v>
      </c>
      <c r="D215" s="473" t="s">
        <v>131</v>
      </c>
      <c r="E215" s="184">
        <f>3.014*3</f>
        <v>9.0419999999999998</v>
      </c>
      <c r="F215" s="309"/>
      <c r="G215" s="309"/>
      <c r="H215" s="310"/>
      <c r="I215" s="310"/>
      <c r="J215" s="310"/>
      <c r="K215" s="441">
        <f t="shared" si="32"/>
        <v>0</v>
      </c>
      <c r="L215" s="76">
        <f t="shared" si="33"/>
        <v>0</v>
      </c>
      <c r="M215" s="75">
        <f t="shared" si="34"/>
        <v>0</v>
      </c>
      <c r="N215" s="75">
        <f t="shared" si="35"/>
        <v>0</v>
      </c>
      <c r="O215" s="75">
        <f t="shared" si="36"/>
        <v>0</v>
      </c>
      <c r="P215" s="77">
        <f t="shared" si="37"/>
        <v>0</v>
      </c>
    </row>
    <row r="216" spans="1:16" s="61" customFormat="1" x14ac:dyDescent="0.2">
      <c r="A216" s="155">
        <v>0</v>
      </c>
      <c r="B216" s="474"/>
      <c r="C216" s="449" t="s">
        <v>103</v>
      </c>
      <c r="D216" s="450"/>
      <c r="E216" s="451"/>
      <c r="F216" s="452"/>
      <c r="G216" s="453"/>
      <c r="H216" s="452"/>
      <c r="I216" s="452"/>
      <c r="J216" s="452"/>
      <c r="K216" s="75">
        <f t="shared" si="32"/>
        <v>0</v>
      </c>
      <c r="L216" s="76">
        <f t="shared" si="33"/>
        <v>0</v>
      </c>
      <c r="M216" s="75">
        <f t="shared" si="34"/>
        <v>0</v>
      </c>
      <c r="N216" s="75">
        <f t="shared" si="35"/>
        <v>0</v>
      </c>
      <c r="O216" s="75">
        <f t="shared" si="36"/>
        <v>0</v>
      </c>
      <c r="P216" s="77">
        <f t="shared" si="37"/>
        <v>0</v>
      </c>
    </row>
    <row r="217" spans="1:16" s="61" customFormat="1" x14ac:dyDescent="0.2">
      <c r="A217" s="155">
        <v>0</v>
      </c>
      <c r="B217" s="281"/>
      <c r="C217" s="464" t="s">
        <v>746</v>
      </c>
      <c r="D217" s="171"/>
      <c r="E217" s="172"/>
      <c r="F217" s="161"/>
      <c r="G217" s="159"/>
      <c r="H217" s="161"/>
      <c r="I217" s="161"/>
      <c r="J217" s="161"/>
      <c r="K217" s="75">
        <f t="shared" si="32"/>
        <v>0</v>
      </c>
      <c r="L217" s="76">
        <f t="shared" si="33"/>
        <v>0</v>
      </c>
      <c r="M217" s="75">
        <f t="shared" si="34"/>
        <v>0</v>
      </c>
      <c r="N217" s="75">
        <f t="shared" si="35"/>
        <v>0</v>
      </c>
      <c r="O217" s="75">
        <f t="shared" si="36"/>
        <v>0</v>
      </c>
      <c r="P217" s="77">
        <f t="shared" si="37"/>
        <v>0</v>
      </c>
    </row>
    <row r="218" spans="1:16" s="61" customFormat="1" ht="25.5" x14ac:dyDescent="0.2">
      <c r="A218" s="155">
        <v>95</v>
      </c>
      <c r="B218" s="281" t="s">
        <v>126</v>
      </c>
      <c r="C218" s="176" t="s">
        <v>127</v>
      </c>
      <c r="D218" s="465" t="s">
        <v>83</v>
      </c>
      <c r="E218" s="172">
        <v>3.5</v>
      </c>
      <c r="F218" s="161"/>
      <c r="G218" s="159"/>
      <c r="H218" s="161"/>
      <c r="I218" s="161"/>
      <c r="J218" s="161"/>
      <c r="K218" s="75">
        <f t="shared" si="32"/>
        <v>0</v>
      </c>
      <c r="L218" s="76">
        <f t="shared" si="33"/>
        <v>0</v>
      </c>
      <c r="M218" s="75">
        <f t="shared" si="34"/>
        <v>0</v>
      </c>
      <c r="N218" s="75">
        <f t="shared" si="35"/>
        <v>0</v>
      </c>
      <c r="O218" s="75">
        <f t="shared" si="36"/>
        <v>0</v>
      </c>
      <c r="P218" s="77">
        <f t="shared" si="37"/>
        <v>0</v>
      </c>
    </row>
    <row r="219" spans="1:16" s="61" customFormat="1" ht="25.5" x14ac:dyDescent="0.2">
      <c r="A219" s="155">
        <v>96</v>
      </c>
      <c r="B219" s="281" t="s">
        <v>126</v>
      </c>
      <c r="C219" s="176" t="s">
        <v>128</v>
      </c>
      <c r="D219" s="182" t="s">
        <v>83</v>
      </c>
      <c r="E219" s="164">
        <v>13.6</v>
      </c>
      <c r="F219" s="161"/>
      <c r="G219" s="159"/>
      <c r="H219" s="161"/>
      <c r="I219" s="161"/>
      <c r="J219" s="161"/>
      <c r="K219" s="75">
        <f t="shared" si="32"/>
        <v>0</v>
      </c>
      <c r="L219" s="76">
        <f t="shared" si="33"/>
        <v>0</v>
      </c>
      <c r="M219" s="75">
        <f t="shared" si="34"/>
        <v>0</v>
      </c>
      <c r="N219" s="75">
        <f t="shared" si="35"/>
        <v>0</v>
      </c>
      <c r="O219" s="75">
        <f t="shared" si="36"/>
        <v>0</v>
      </c>
      <c r="P219" s="77">
        <f t="shared" si="37"/>
        <v>0</v>
      </c>
    </row>
    <row r="220" spans="1:16" s="61" customFormat="1" ht="25.5" x14ac:dyDescent="0.2">
      <c r="A220" s="155">
        <v>97</v>
      </c>
      <c r="B220" s="281"/>
      <c r="C220" s="466" t="s">
        <v>154</v>
      </c>
      <c r="D220" s="182" t="s">
        <v>78</v>
      </c>
      <c r="E220" s="164">
        <f>0.7*5</f>
        <v>3.5</v>
      </c>
      <c r="F220" s="161"/>
      <c r="G220" s="159"/>
      <c r="H220" s="161"/>
      <c r="I220" s="161"/>
      <c r="J220" s="161"/>
      <c r="K220" s="75">
        <f t="shared" si="32"/>
        <v>0</v>
      </c>
      <c r="L220" s="76">
        <f t="shared" si="33"/>
        <v>0</v>
      </c>
      <c r="M220" s="75">
        <f t="shared" si="34"/>
        <v>0</v>
      </c>
      <c r="N220" s="75">
        <f t="shared" si="35"/>
        <v>0</v>
      </c>
      <c r="O220" s="75">
        <f t="shared" si="36"/>
        <v>0</v>
      </c>
      <c r="P220" s="77">
        <f t="shared" si="37"/>
        <v>0</v>
      </c>
    </row>
    <row r="221" spans="1:16" s="61" customFormat="1" ht="89.25" x14ac:dyDescent="0.2">
      <c r="A221" s="155">
        <v>98</v>
      </c>
      <c r="B221" s="281" t="s">
        <v>126</v>
      </c>
      <c r="C221" s="176" t="s">
        <v>155</v>
      </c>
      <c r="D221" s="182" t="s">
        <v>131</v>
      </c>
      <c r="E221" s="164">
        <f>(5+5.15+12.44+31.82)*5</f>
        <v>272.04999999999995</v>
      </c>
      <c r="F221" s="177"/>
      <c r="G221" s="159"/>
      <c r="H221" s="161"/>
      <c r="I221" s="161"/>
      <c r="J221" s="161"/>
      <c r="K221" s="75">
        <f t="shared" si="32"/>
        <v>0</v>
      </c>
      <c r="L221" s="76">
        <f t="shared" si="33"/>
        <v>0</v>
      </c>
      <c r="M221" s="75">
        <f t="shared" si="34"/>
        <v>0</v>
      </c>
      <c r="N221" s="75">
        <f t="shared" si="35"/>
        <v>0</v>
      </c>
      <c r="O221" s="75">
        <f t="shared" si="36"/>
        <v>0</v>
      </c>
      <c r="P221" s="77">
        <f t="shared" si="37"/>
        <v>0</v>
      </c>
    </row>
    <row r="222" spans="1:16" s="61" customFormat="1" x14ac:dyDescent="0.2">
      <c r="A222" s="155">
        <v>0</v>
      </c>
      <c r="B222" s="281"/>
      <c r="C222" s="178" t="s">
        <v>132</v>
      </c>
      <c r="D222" s="179" t="s">
        <v>131</v>
      </c>
      <c r="E222" s="180">
        <f>E221*1.15</f>
        <v>312.8574999999999</v>
      </c>
      <c r="F222" s="159"/>
      <c r="G222" s="159"/>
      <c r="H222" s="161"/>
      <c r="I222" s="161"/>
      <c r="J222" s="161"/>
      <c r="K222" s="75">
        <f t="shared" si="32"/>
        <v>0</v>
      </c>
      <c r="L222" s="76">
        <f t="shared" si="33"/>
        <v>0</v>
      </c>
      <c r="M222" s="75">
        <f t="shared" si="34"/>
        <v>0</v>
      </c>
      <c r="N222" s="75">
        <f t="shared" si="35"/>
        <v>0</v>
      </c>
      <c r="O222" s="75">
        <f t="shared" si="36"/>
        <v>0</v>
      </c>
      <c r="P222" s="77">
        <f t="shared" si="37"/>
        <v>0</v>
      </c>
    </row>
    <row r="223" spans="1:16" s="61" customFormat="1" x14ac:dyDescent="0.2">
      <c r="A223" s="155">
        <v>0</v>
      </c>
      <c r="B223" s="281"/>
      <c r="C223" s="178" t="s">
        <v>156</v>
      </c>
      <c r="D223" s="179" t="s">
        <v>59</v>
      </c>
      <c r="E223" s="180">
        <f>4*5</f>
        <v>20</v>
      </c>
      <c r="F223" s="159"/>
      <c r="G223" s="159"/>
      <c r="H223" s="161"/>
      <c r="I223" s="167"/>
      <c r="J223" s="161"/>
      <c r="K223" s="75">
        <f t="shared" si="32"/>
        <v>0</v>
      </c>
      <c r="L223" s="76">
        <f t="shared" si="33"/>
        <v>0</v>
      </c>
      <c r="M223" s="75">
        <f t="shared" si="34"/>
        <v>0</v>
      </c>
      <c r="N223" s="75">
        <f t="shared" si="35"/>
        <v>0</v>
      </c>
      <c r="O223" s="75">
        <f t="shared" si="36"/>
        <v>0</v>
      </c>
      <c r="P223" s="77">
        <f t="shared" si="37"/>
        <v>0</v>
      </c>
    </row>
    <row r="224" spans="1:16" s="61" customFormat="1" ht="25.5" x14ac:dyDescent="0.2">
      <c r="A224" s="155">
        <v>0</v>
      </c>
      <c r="B224" s="281"/>
      <c r="C224" s="181" t="s">
        <v>133</v>
      </c>
      <c r="D224" s="182" t="s">
        <v>66</v>
      </c>
      <c r="E224" s="182">
        <v>1</v>
      </c>
      <c r="F224" s="159"/>
      <c r="G224" s="159"/>
      <c r="H224" s="161"/>
      <c r="I224" s="161"/>
      <c r="J224" s="161"/>
      <c r="K224" s="75">
        <f t="shared" si="32"/>
        <v>0</v>
      </c>
      <c r="L224" s="76">
        <f t="shared" si="33"/>
        <v>0</v>
      </c>
      <c r="M224" s="75">
        <f t="shared" si="34"/>
        <v>0</v>
      </c>
      <c r="N224" s="75">
        <f t="shared" si="35"/>
        <v>0</v>
      </c>
      <c r="O224" s="75">
        <f t="shared" si="36"/>
        <v>0</v>
      </c>
      <c r="P224" s="77">
        <f t="shared" si="37"/>
        <v>0</v>
      </c>
    </row>
    <row r="225" spans="1:16" s="61" customFormat="1" ht="25.5" x14ac:dyDescent="0.2">
      <c r="A225" s="155">
        <v>99</v>
      </c>
      <c r="B225" s="281" t="s">
        <v>126</v>
      </c>
      <c r="C225" s="176" t="s">
        <v>157</v>
      </c>
      <c r="D225" s="179" t="s">
        <v>78</v>
      </c>
      <c r="E225" s="164">
        <f>0.9*5</f>
        <v>4.5</v>
      </c>
      <c r="F225" s="159"/>
      <c r="G225" s="159"/>
      <c r="H225" s="161"/>
      <c r="I225" s="161"/>
      <c r="J225" s="161"/>
      <c r="K225" s="75">
        <f t="shared" si="32"/>
        <v>0</v>
      </c>
      <c r="L225" s="76">
        <f t="shared" si="33"/>
        <v>0</v>
      </c>
      <c r="M225" s="75">
        <f t="shared" si="34"/>
        <v>0</v>
      </c>
      <c r="N225" s="75">
        <f t="shared" si="35"/>
        <v>0</v>
      </c>
      <c r="O225" s="75">
        <f t="shared" si="36"/>
        <v>0</v>
      </c>
      <c r="P225" s="77">
        <f t="shared" si="37"/>
        <v>0</v>
      </c>
    </row>
    <row r="226" spans="1:16" s="61" customFormat="1" x14ac:dyDescent="0.2">
      <c r="A226" s="155">
        <v>0</v>
      </c>
      <c r="B226" s="194"/>
      <c r="C226" s="183" t="s">
        <v>158</v>
      </c>
      <c r="D226" s="179" t="s">
        <v>78</v>
      </c>
      <c r="E226" s="184">
        <f>E225*1.05</f>
        <v>4.7250000000000005</v>
      </c>
      <c r="F226" s="185"/>
      <c r="G226" s="159"/>
      <c r="H226" s="161"/>
      <c r="I226" s="161"/>
      <c r="J226" s="161"/>
      <c r="K226" s="75">
        <f t="shared" si="32"/>
        <v>0</v>
      </c>
      <c r="L226" s="76">
        <f t="shared" si="33"/>
        <v>0</v>
      </c>
      <c r="M226" s="75">
        <f t="shared" si="34"/>
        <v>0</v>
      </c>
      <c r="N226" s="75">
        <f t="shared" si="35"/>
        <v>0</v>
      </c>
      <c r="O226" s="75">
        <f t="shared" si="36"/>
        <v>0</v>
      </c>
      <c r="P226" s="77">
        <f t="shared" si="37"/>
        <v>0</v>
      </c>
    </row>
    <row r="227" spans="1:16" s="61" customFormat="1" x14ac:dyDescent="0.2">
      <c r="A227" s="155">
        <v>0</v>
      </c>
      <c r="B227" s="194"/>
      <c r="C227" s="183" t="s">
        <v>136</v>
      </c>
      <c r="D227" s="179" t="s">
        <v>137</v>
      </c>
      <c r="E227" s="184">
        <f>E225*0.25</f>
        <v>1.125</v>
      </c>
      <c r="F227" s="185"/>
      <c r="G227" s="159"/>
      <c r="H227" s="161"/>
      <c r="I227" s="154"/>
      <c r="J227" s="161"/>
      <c r="K227" s="75">
        <f t="shared" si="32"/>
        <v>0</v>
      </c>
      <c r="L227" s="76">
        <f t="shared" si="33"/>
        <v>0</v>
      </c>
      <c r="M227" s="75">
        <f t="shared" si="34"/>
        <v>0</v>
      </c>
      <c r="N227" s="75">
        <f t="shared" si="35"/>
        <v>0</v>
      </c>
      <c r="O227" s="75">
        <f t="shared" si="36"/>
        <v>0</v>
      </c>
      <c r="P227" s="77">
        <f t="shared" si="37"/>
        <v>0</v>
      </c>
    </row>
    <row r="228" spans="1:16" s="61" customFormat="1" ht="25.5" x14ac:dyDescent="0.2">
      <c r="A228" s="155">
        <v>100</v>
      </c>
      <c r="B228" s="281" t="s">
        <v>126</v>
      </c>
      <c r="C228" s="176" t="s">
        <v>159</v>
      </c>
      <c r="D228" s="179" t="s">
        <v>78</v>
      </c>
      <c r="E228" s="164">
        <f>0.29*5</f>
        <v>1.45</v>
      </c>
      <c r="F228" s="159"/>
      <c r="G228" s="159"/>
      <c r="H228" s="161"/>
      <c r="I228" s="161"/>
      <c r="J228" s="161"/>
      <c r="K228" s="75">
        <f t="shared" si="32"/>
        <v>0</v>
      </c>
      <c r="L228" s="76">
        <f t="shared" si="33"/>
        <v>0</v>
      </c>
      <c r="M228" s="75">
        <f t="shared" si="34"/>
        <v>0</v>
      </c>
      <c r="N228" s="75">
        <f t="shared" si="35"/>
        <v>0</v>
      </c>
      <c r="O228" s="75">
        <f t="shared" si="36"/>
        <v>0</v>
      </c>
      <c r="P228" s="77">
        <f t="shared" si="37"/>
        <v>0</v>
      </c>
    </row>
    <row r="229" spans="1:16" s="61" customFormat="1" x14ac:dyDescent="0.2">
      <c r="A229" s="155">
        <v>0</v>
      </c>
      <c r="B229" s="194"/>
      <c r="C229" s="183" t="s">
        <v>160</v>
      </c>
      <c r="D229" s="179" t="s">
        <v>78</v>
      </c>
      <c r="E229" s="184">
        <f>E228*1.05</f>
        <v>1.5225</v>
      </c>
      <c r="F229" s="185"/>
      <c r="G229" s="159"/>
      <c r="H229" s="161"/>
      <c r="I229" s="161"/>
      <c r="J229" s="161"/>
      <c r="K229" s="75">
        <f t="shared" si="32"/>
        <v>0</v>
      </c>
      <c r="L229" s="76">
        <f t="shared" si="33"/>
        <v>0</v>
      </c>
      <c r="M229" s="75">
        <f t="shared" si="34"/>
        <v>0</v>
      </c>
      <c r="N229" s="75">
        <f t="shared" si="35"/>
        <v>0</v>
      </c>
      <c r="O229" s="75">
        <f t="shared" si="36"/>
        <v>0</v>
      </c>
      <c r="P229" s="77">
        <f t="shared" si="37"/>
        <v>0</v>
      </c>
    </row>
    <row r="230" spans="1:16" s="61" customFormat="1" x14ac:dyDescent="0.2">
      <c r="A230" s="155">
        <v>0</v>
      </c>
      <c r="B230" s="194"/>
      <c r="C230" s="183" t="s">
        <v>136</v>
      </c>
      <c r="D230" s="179" t="s">
        <v>137</v>
      </c>
      <c r="E230" s="184">
        <f>E228*0.25</f>
        <v>0.36249999999999999</v>
      </c>
      <c r="F230" s="185"/>
      <c r="G230" s="159"/>
      <c r="H230" s="161"/>
      <c r="I230" s="154"/>
      <c r="J230" s="161"/>
      <c r="K230" s="75">
        <f t="shared" si="32"/>
        <v>0</v>
      </c>
      <c r="L230" s="76">
        <f t="shared" si="33"/>
        <v>0</v>
      </c>
      <c r="M230" s="75">
        <f t="shared" si="34"/>
        <v>0</v>
      </c>
      <c r="N230" s="75">
        <f t="shared" si="35"/>
        <v>0</v>
      </c>
      <c r="O230" s="75">
        <f t="shared" si="36"/>
        <v>0</v>
      </c>
      <c r="P230" s="77">
        <f t="shared" si="37"/>
        <v>0</v>
      </c>
    </row>
    <row r="231" spans="1:16" s="61" customFormat="1" ht="25.5" x14ac:dyDescent="0.2">
      <c r="A231" s="155">
        <v>101</v>
      </c>
      <c r="B231" s="281" t="s">
        <v>126</v>
      </c>
      <c r="C231" s="186" t="s">
        <v>140</v>
      </c>
      <c r="D231" s="182" t="s">
        <v>59</v>
      </c>
      <c r="E231" s="182">
        <v>5</v>
      </c>
      <c r="F231" s="159"/>
      <c r="G231" s="159"/>
      <c r="H231" s="161"/>
      <c r="I231" s="161"/>
      <c r="J231" s="161"/>
      <c r="K231" s="75">
        <f t="shared" si="32"/>
        <v>0</v>
      </c>
      <c r="L231" s="76">
        <f t="shared" si="33"/>
        <v>0</v>
      </c>
      <c r="M231" s="75">
        <f t="shared" si="34"/>
        <v>0</v>
      </c>
      <c r="N231" s="75">
        <f t="shared" si="35"/>
        <v>0</v>
      </c>
      <c r="O231" s="75">
        <f t="shared" si="36"/>
        <v>0</v>
      </c>
      <c r="P231" s="77">
        <f t="shared" si="37"/>
        <v>0</v>
      </c>
    </row>
    <row r="232" spans="1:16" s="61" customFormat="1" x14ac:dyDescent="0.2">
      <c r="A232" s="155">
        <v>0</v>
      </c>
      <c r="B232" s="281"/>
      <c r="C232" s="464" t="s">
        <v>747</v>
      </c>
      <c r="D232" s="182"/>
      <c r="E232" s="164"/>
      <c r="F232" s="159"/>
      <c r="G232" s="159"/>
      <c r="H232" s="161"/>
      <c r="I232" s="161"/>
      <c r="J232" s="161"/>
      <c r="K232" s="75">
        <f t="shared" si="32"/>
        <v>0</v>
      </c>
      <c r="L232" s="76">
        <f t="shared" si="33"/>
        <v>0</v>
      </c>
      <c r="M232" s="75">
        <f t="shared" si="34"/>
        <v>0</v>
      </c>
      <c r="N232" s="75">
        <f t="shared" si="35"/>
        <v>0</v>
      </c>
      <c r="O232" s="75">
        <f t="shared" si="36"/>
        <v>0</v>
      </c>
      <c r="P232" s="77">
        <f t="shared" si="37"/>
        <v>0</v>
      </c>
    </row>
    <row r="233" spans="1:16" s="61" customFormat="1" ht="25.5" x14ac:dyDescent="0.2">
      <c r="A233" s="155">
        <v>102</v>
      </c>
      <c r="B233" s="281" t="s">
        <v>126</v>
      </c>
      <c r="C233" s="176" t="s">
        <v>127</v>
      </c>
      <c r="D233" s="465" t="s">
        <v>83</v>
      </c>
      <c r="E233" s="172">
        <v>4</v>
      </c>
      <c r="F233" s="161"/>
      <c r="G233" s="159"/>
      <c r="H233" s="161"/>
      <c r="I233" s="161"/>
      <c r="J233" s="161"/>
      <c r="K233" s="75">
        <f t="shared" si="32"/>
        <v>0</v>
      </c>
      <c r="L233" s="76">
        <f t="shared" si="33"/>
        <v>0</v>
      </c>
      <c r="M233" s="75">
        <f t="shared" si="34"/>
        <v>0</v>
      </c>
      <c r="N233" s="75">
        <f t="shared" si="35"/>
        <v>0</v>
      </c>
      <c r="O233" s="75">
        <f t="shared" si="36"/>
        <v>0</v>
      </c>
      <c r="P233" s="77">
        <f t="shared" si="37"/>
        <v>0</v>
      </c>
    </row>
    <row r="234" spans="1:16" s="61" customFormat="1" ht="25.5" x14ac:dyDescent="0.2">
      <c r="A234" s="155">
        <v>103</v>
      </c>
      <c r="B234" s="281" t="s">
        <v>126</v>
      </c>
      <c r="C234" s="176" t="s">
        <v>128</v>
      </c>
      <c r="D234" s="182" t="s">
        <v>83</v>
      </c>
      <c r="E234" s="164">
        <v>16</v>
      </c>
      <c r="F234" s="161"/>
      <c r="G234" s="159"/>
      <c r="H234" s="161"/>
      <c r="I234" s="161"/>
      <c r="J234" s="161"/>
      <c r="K234" s="75">
        <f t="shared" si="32"/>
        <v>0</v>
      </c>
      <c r="L234" s="76">
        <f t="shared" si="33"/>
        <v>0</v>
      </c>
      <c r="M234" s="75">
        <f t="shared" si="34"/>
        <v>0</v>
      </c>
      <c r="N234" s="75">
        <f t="shared" si="35"/>
        <v>0</v>
      </c>
      <c r="O234" s="75">
        <f t="shared" si="36"/>
        <v>0</v>
      </c>
      <c r="P234" s="77">
        <f t="shared" si="37"/>
        <v>0</v>
      </c>
    </row>
    <row r="235" spans="1:16" s="61" customFormat="1" ht="25.5" x14ac:dyDescent="0.2">
      <c r="A235" s="155">
        <v>104</v>
      </c>
      <c r="B235" s="281"/>
      <c r="C235" s="466" t="s">
        <v>161</v>
      </c>
      <c r="D235" s="182" t="s">
        <v>78</v>
      </c>
      <c r="E235" s="164">
        <f>0.52*7</f>
        <v>3.64</v>
      </c>
      <c r="F235" s="161"/>
      <c r="G235" s="159"/>
      <c r="H235" s="161"/>
      <c r="I235" s="161"/>
      <c r="J235" s="161"/>
      <c r="K235" s="75">
        <f t="shared" si="32"/>
        <v>0</v>
      </c>
      <c r="L235" s="76">
        <f t="shared" si="33"/>
        <v>0</v>
      </c>
      <c r="M235" s="75">
        <f t="shared" si="34"/>
        <v>0</v>
      </c>
      <c r="N235" s="75">
        <f t="shared" si="35"/>
        <v>0</v>
      </c>
      <c r="O235" s="75">
        <f t="shared" si="36"/>
        <v>0</v>
      </c>
      <c r="P235" s="77">
        <f t="shared" si="37"/>
        <v>0</v>
      </c>
    </row>
    <row r="236" spans="1:16" s="61" customFormat="1" ht="89.25" x14ac:dyDescent="0.2">
      <c r="A236" s="155">
        <v>105</v>
      </c>
      <c r="B236" s="281" t="s">
        <v>126</v>
      </c>
      <c r="C236" s="176" t="s">
        <v>155</v>
      </c>
      <c r="D236" s="182" t="s">
        <v>131</v>
      </c>
      <c r="E236" s="164">
        <f>39.26*7</f>
        <v>274.82</v>
      </c>
      <c r="F236" s="177"/>
      <c r="G236" s="159"/>
      <c r="H236" s="161"/>
      <c r="I236" s="161"/>
      <c r="J236" s="161"/>
      <c r="K236" s="75">
        <f t="shared" si="32"/>
        <v>0</v>
      </c>
      <c r="L236" s="76">
        <f t="shared" si="33"/>
        <v>0</v>
      </c>
      <c r="M236" s="75">
        <f t="shared" si="34"/>
        <v>0</v>
      </c>
      <c r="N236" s="75">
        <f t="shared" si="35"/>
        <v>0</v>
      </c>
      <c r="O236" s="75">
        <f t="shared" si="36"/>
        <v>0</v>
      </c>
      <c r="P236" s="77">
        <f t="shared" si="37"/>
        <v>0</v>
      </c>
    </row>
    <row r="237" spans="1:16" s="61" customFormat="1" x14ac:dyDescent="0.2">
      <c r="A237" s="155">
        <v>0</v>
      </c>
      <c r="B237" s="281"/>
      <c r="C237" s="178" t="s">
        <v>132</v>
      </c>
      <c r="D237" s="179" t="s">
        <v>131</v>
      </c>
      <c r="E237" s="180">
        <f>E236*1.15</f>
        <v>316.04299999999995</v>
      </c>
      <c r="F237" s="159"/>
      <c r="G237" s="159"/>
      <c r="H237" s="161"/>
      <c r="I237" s="161"/>
      <c r="J237" s="161"/>
      <c r="K237" s="75">
        <f t="shared" si="32"/>
        <v>0</v>
      </c>
      <c r="L237" s="76">
        <f t="shared" si="33"/>
        <v>0</v>
      </c>
      <c r="M237" s="75">
        <f t="shared" si="34"/>
        <v>0</v>
      </c>
      <c r="N237" s="75">
        <f t="shared" si="35"/>
        <v>0</v>
      </c>
      <c r="O237" s="75">
        <f t="shared" si="36"/>
        <v>0</v>
      </c>
      <c r="P237" s="77">
        <f t="shared" si="37"/>
        <v>0</v>
      </c>
    </row>
    <row r="238" spans="1:16" s="61" customFormat="1" x14ac:dyDescent="0.2">
      <c r="A238" s="187">
        <v>0</v>
      </c>
      <c r="B238" s="281"/>
      <c r="C238" s="178" t="s">
        <v>156</v>
      </c>
      <c r="D238" s="179" t="s">
        <v>59</v>
      </c>
      <c r="E238" s="182">
        <f>4*7</f>
        <v>28</v>
      </c>
      <c r="F238" s="159"/>
      <c r="G238" s="159"/>
      <c r="H238" s="161"/>
      <c r="I238" s="167"/>
      <c r="J238" s="161"/>
      <c r="K238" s="75">
        <f t="shared" si="32"/>
        <v>0</v>
      </c>
      <c r="L238" s="76">
        <f t="shared" si="33"/>
        <v>0</v>
      </c>
      <c r="M238" s="75">
        <f t="shared" si="34"/>
        <v>0</v>
      </c>
      <c r="N238" s="75">
        <f t="shared" si="35"/>
        <v>0</v>
      </c>
      <c r="O238" s="75">
        <f t="shared" si="36"/>
        <v>0</v>
      </c>
      <c r="P238" s="77">
        <f t="shared" si="37"/>
        <v>0</v>
      </c>
    </row>
    <row r="239" spans="1:16" s="61" customFormat="1" ht="25.5" x14ac:dyDescent="0.2">
      <c r="A239" s="155">
        <v>0</v>
      </c>
      <c r="B239" s="281"/>
      <c r="C239" s="181" t="s">
        <v>133</v>
      </c>
      <c r="D239" s="182" t="s">
        <v>66</v>
      </c>
      <c r="E239" s="164">
        <v>1</v>
      </c>
      <c r="F239" s="159"/>
      <c r="G239" s="159"/>
      <c r="H239" s="161"/>
      <c r="I239" s="161"/>
      <c r="J239" s="161"/>
      <c r="K239" s="75">
        <f t="shared" si="32"/>
        <v>0</v>
      </c>
      <c r="L239" s="76">
        <f t="shared" si="33"/>
        <v>0</v>
      </c>
      <c r="M239" s="75">
        <f t="shared" si="34"/>
        <v>0</v>
      </c>
      <c r="N239" s="75">
        <f t="shared" si="35"/>
        <v>0</v>
      </c>
      <c r="O239" s="75">
        <f t="shared" si="36"/>
        <v>0</v>
      </c>
      <c r="P239" s="77">
        <f t="shared" si="37"/>
        <v>0</v>
      </c>
    </row>
    <row r="240" spans="1:16" s="61" customFormat="1" ht="25.5" x14ac:dyDescent="0.2">
      <c r="A240" s="155">
        <v>106</v>
      </c>
      <c r="B240" s="281" t="s">
        <v>126</v>
      </c>
      <c r="C240" s="176" t="s">
        <v>157</v>
      </c>
      <c r="D240" s="179" t="s">
        <v>78</v>
      </c>
      <c r="E240" s="164">
        <f>0.65*7</f>
        <v>4.55</v>
      </c>
      <c r="F240" s="159"/>
      <c r="G240" s="159"/>
      <c r="H240" s="161"/>
      <c r="I240" s="161"/>
      <c r="J240" s="161"/>
      <c r="K240" s="75">
        <f t="shared" si="32"/>
        <v>0</v>
      </c>
      <c r="L240" s="76">
        <f t="shared" si="33"/>
        <v>0</v>
      </c>
      <c r="M240" s="75">
        <f t="shared" si="34"/>
        <v>0</v>
      </c>
      <c r="N240" s="75">
        <f t="shared" si="35"/>
        <v>0</v>
      </c>
      <c r="O240" s="75">
        <f t="shared" si="36"/>
        <v>0</v>
      </c>
      <c r="P240" s="77">
        <f t="shared" si="37"/>
        <v>0</v>
      </c>
    </row>
    <row r="241" spans="1:16" s="61" customFormat="1" x14ac:dyDescent="0.2">
      <c r="A241" s="155">
        <v>0</v>
      </c>
      <c r="B241" s="194"/>
      <c r="C241" s="183" t="s">
        <v>158</v>
      </c>
      <c r="D241" s="179" t="s">
        <v>78</v>
      </c>
      <c r="E241" s="184">
        <f>E240*1.05</f>
        <v>4.7774999999999999</v>
      </c>
      <c r="F241" s="185"/>
      <c r="G241" s="159"/>
      <c r="H241" s="161"/>
      <c r="I241" s="161"/>
      <c r="J241" s="161"/>
      <c r="K241" s="75">
        <f t="shared" si="32"/>
        <v>0</v>
      </c>
      <c r="L241" s="76">
        <f t="shared" si="33"/>
        <v>0</v>
      </c>
      <c r="M241" s="75">
        <f t="shared" si="34"/>
        <v>0</v>
      </c>
      <c r="N241" s="75">
        <f t="shared" si="35"/>
        <v>0</v>
      </c>
      <c r="O241" s="75">
        <f t="shared" si="36"/>
        <v>0</v>
      </c>
      <c r="P241" s="77">
        <f t="shared" si="37"/>
        <v>0</v>
      </c>
    </row>
    <row r="242" spans="1:16" s="61" customFormat="1" x14ac:dyDescent="0.2">
      <c r="A242" s="155">
        <v>0</v>
      </c>
      <c r="B242" s="194"/>
      <c r="C242" s="183" t="s">
        <v>136</v>
      </c>
      <c r="D242" s="179" t="s">
        <v>137</v>
      </c>
      <c r="E242" s="184">
        <f>E240*0.25</f>
        <v>1.1375</v>
      </c>
      <c r="F242" s="185"/>
      <c r="G242" s="159"/>
      <c r="H242" s="161"/>
      <c r="I242" s="154"/>
      <c r="J242" s="161"/>
      <c r="K242" s="75">
        <f t="shared" si="32"/>
        <v>0</v>
      </c>
      <c r="L242" s="76">
        <f t="shared" si="33"/>
        <v>0</v>
      </c>
      <c r="M242" s="75">
        <f t="shared" si="34"/>
        <v>0</v>
      </c>
      <c r="N242" s="75">
        <f t="shared" si="35"/>
        <v>0</v>
      </c>
      <c r="O242" s="75">
        <f t="shared" si="36"/>
        <v>0</v>
      </c>
      <c r="P242" s="77">
        <f t="shared" si="37"/>
        <v>0</v>
      </c>
    </row>
    <row r="243" spans="1:16" s="61" customFormat="1" ht="25.5" x14ac:dyDescent="0.2">
      <c r="A243" s="155">
        <v>107</v>
      </c>
      <c r="B243" s="281" t="s">
        <v>126</v>
      </c>
      <c r="C243" s="176" t="s">
        <v>159</v>
      </c>
      <c r="D243" s="179" t="s">
        <v>78</v>
      </c>
      <c r="E243" s="164">
        <f>0.2*7</f>
        <v>1.4000000000000001</v>
      </c>
      <c r="F243" s="159"/>
      <c r="G243" s="159"/>
      <c r="H243" s="161"/>
      <c r="I243" s="161"/>
      <c r="J243" s="161"/>
      <c r="K243" s="75">
        <f t="shared" si="32"/>
        <v>0</v>
      </c>
      <c r="L243" s="76">
        <f t="shared" si="33"/>
        <v>0</v>
      </c>
      <c r="M243" s="75">
        <f t="shared" si="34"/>
        <v>0</v>
      </c>
      <c r="N243" s="75">
        <f t="shared" si="35"/>
        <v>0</v>
      </c>
      <c r="O243" s="75">
        <f t="shared" si="36"/>
        <v>0</v>
      </c>
      <c r="P243" s="77">
        <f t="shared" si="37"/>
        <v>0</v>
      </c>
    </row>
    <row r="244" spans="1:16" s="61" customFormat="1" x14ac:dyDescent="0.2">
      <c r="A244" s="155">
        <v>0</v>
      </c>
      <c r="B244" s="194"/>
      <c r="C244" s="183" t="s">
        <v>160</v>
      </c>
      <c r="D244" s="179" t="s">
        <v>78</v>
      </c>
      <c r="E244" s="184">
        <f>E243*1.05</f>
        <v>1.4700000000000002</v>
      </c>
      <c r="F244" s="185"/>
      <c r="G244" s="159"/>
      <c r="H244" s="161"/>
      <c r="I244" s="161"/>
      <c r="J244" s="161"/>
      <c r="K244" s="75">
        <f t="shared" si="32"/>
        <v>0</v>
      </c>
      <c r="L244" s="76">
        <f t="shared" si="33"/>
        <v>0</v>
      </c>
      <c r="M244" s="75">
        <f t="shared" si="34"/>
        <v>0</v>
      </c>
      <c r="N244" s="75">
        <f t="shared" si="35"/>
        <v>0</v>
      </c>
      <c r="O244" s="75">
        <f t="shared" si="36"/>
        <v>0</v>
      </c>
      <c r="P244" s="77">
        <f t="shared" si="37"/>
        <v>0</v>
      </c>
    </row>
    <row r="245" spans="1:16" s="61" customFormat="1" x14ac:dyDescent="0.2">
      <c r="A245" s="155">
        <v>0</v>
      </c>
      <c r="B245" s="194"/>
      <c r="C245" s="183" t="s">
        <v>136</v>
      </c>
      <c r="D245" s="179" t="s">
        <v>137</v>
      </c>
      <c r="E245" s="184">
        <f>E243*0.25</f>
        <v>0.35000000000000003</v>
      </c>
      <c r="F245" s="185"/>
      <c r="G245" s="159"/>
      <c r="H245" s="161"/>
      <c r="I245" s="154"/>
      <c r="J245" s="161"/>
      <c r="K245" s="75">
        <f t="shared" si="32"/>
        <v>0</v>
      </c>
      <c r="L245" s="76">
        <f t="shared" si="33"/>
        <v>0</v>
      </c>
      <c r="M245" s="75">
        <f t="shared" si="34"/>
        <v>0</v>
      </c>
      <c r="N245" s="75">
        <f t="shared" si="35"/>
        <v>0</v>
      </c>
      <c r="O245" s="75">
        <f t="shared" si="36"/>
        <v>0</v>
      </c>
      <c r="P245" s="77">
        <f t="shared" si="37"/>
        <v>0</v>
      </c>
    </row>
    <row r="246" spans="1:16" s="61" customFormat="1" ht="25.5" x14ac:dyDescent="0.2">
      <c r="A246" s="155">
        <v>108</v>
      </c>
      <c r="B246" s="281" t="s">
        <v>126</v>
      </c>
      <c r="C246" s="186" t="s">
        <v>140</v>
      </c>
      <c r="D246" s="182" t="s">
        <v>59</v>
      </c>
      <c r="E246" s="172">
        <v>7</v>
      </c>
      <c r="F246" s="159"/>
      <c r="G246" s="159"/>
      <c r="H246" s="161"/>
      <c r="I246" s="161"/>
      <c r="J246" s="161"/>
      <c r="K246" s="75">
        <f t="shared" si="32"/>
        <v>0</v>
      </c>
      <c r="L246" s="76">
        <f t="shared" si="33"/>
        <v>0</v>
      </c>
      <c r="M246" s="75">
        <f t="shared" si="34"/>
        <v>0</v>
      </c>
      <c r="N246" s="75">
        <f t="shared" si="35"/>
        <v>0</v>
      </c>
      <c r="O246" s="75">
        <f t="shared" si="36"/>
        <v>0</v>
      </c>
      <c r="P246" s="77">
        <f t="shared" si="37"/>
        <v>0</v>
      </c>
    </row>
    <row r="247" spans="1:16" s="61" customFormat="1" x14ac:dyDescent="0.2">
      <c r="A247" s="155">
        <v>0</v>
      </c>
      <c r="B247" s="281"/>
      <c r="C247" s="464" t="s">
        <v>748</v>
      </c>
      <c r="D247" s="182"/>
      <c r="E247" s="164"/>
      <c r="F247" s="159"/>
      <c r="G247" s="159"/>
      <c r="H247" s="161"/>
      <c r="I247" s="161"/>
      <c r="J247" s="161"/>
      <c r="K247" s="75">
        <f t="shared" si="32"/>
        <v>0</v>
      </c>
      <c r="L247" s="76">
        <f t="shared" si="33"/>
        <v>0</v>
      </c>
      <c r="M247" s="75">
        <f t="shared" si="34"/>
        <v>0</v>
      </c>
      <c r="N247" s="75">
        <f t="shared" si="35"/>
        <v>0</v>
      </c>
      <c r="O247" s="75">
        <f t="shared" si="36"/>
        <v>0</v>
      </c>
      <c r="P247" s="77">
        <f t="shared" si="37"/>
        <v>0</v>
      </c>
    </row>
    <row r="248" spans="1:16" s="61" customFormat="1" ht="25.5" x14ac:dyDescent="0.2">
      <c r="A248" s="155">
        <v>109</v>
      </c>
      <c r="B248" s="281" t="s">
        <v>126</v>
      </c>
      <c r="C248" s="176" t="s">
        <v>127</v>
      </c>
      <c r="D248" s="465" t="s">
        <v>83</v>
      </c>
      <c r="E248" s="172">
        <f>0.8/12</f>
        <v>6.6666666666666666E-2</v>
      </c>
      <c r="F248" s="161"/>
      <c r="G248" s="159"/>
      <c r="H248" s="161"/>
      <c r="I248" s="161"/>
      <c r="J248" s="161"/>
      <c r="K248" s="75">
        <f t="shared" si="32"/>
        <v>0</v>
      </c>
      <c r="L248" s="76">
        <f t="shared" si="33"/>
        <v>0</v>
      </c>
      <c r="M248" s="75">
        <f t="shared" si="34"/>
        <v>0</v>
      </c>
      <c r="N248" s="75">
        <f t="shared" si="35"/>
        <v>0</v>
      </c>
      <c r="O248" s="75">
        <f t="shared" si="36"/>
        <v>0</v>
      </c>
      <c r="P248" s="77">
        <f t="shared" si="37"/>
        <v>0</v>
      </c>
    </row>
    <row r="249" spans="1:16" s="61" customFormat="1" ht="25.5" x14ac:dyDescent="0.2">
      <c r="A249" s="155">
        <v>110</v>
      </c>
      <c r="B249" s="281" t="s">
        <v>126</v>
      </c>
      <c r="C249" s="176" t="s">
        <v>128</v>
      </c>
      <c r="D249" s="182" t="s">
        <v>83</v>
      </c>
      <c r="E249" s="164">
        <f>3.25*12</f>
        <v>39</v>
      </c>
      <c r="F249" s="161"/>
      <c r="G249" s="159"/>
      <c r="H249" s="161"/>
      <c r="I249" s="161"/>
      <c r="J249" s="161"/>
      <c r="K249" s="75">
        <f t="shared" ref="K249:K326" si="38">SUM(H249:J249)</f>
        <v>0</v>
      </c>
      <c r="L249" s="76">
        <f t="shared" ref="L249:L326" si="39">ROUND(F249*E249,2)</f>
        <v>0</v>
      </c>
      <c r="M249" s="75">
        <f t="shared" ref="M249:M326" si="40">ROUND(H249*E249,2)</f>
        <v>0</v>
      </c>
      <c r="N249" s="75">
        <f t="shared" ref="N249:N326" si="41">ROUND(I249*E249,2)</f>
        <v>0</v>
      </c>
      <c r="O249" s="75">
        <f t="shared" ref="O249:O326" si="42">ROUND(J249*E249,2)</f>
        <v>0</v>
      </c>
      <c r="P249" s="77">
        <f t="shared" ref="P249:P326" si="43">SUM(M249:O249)</f>
        <v>0</v>
      </c>
    </row>
    <row r="250" spans="1:16" s="61" customFormat="1" ht="25.5" x14ac:dyDescent="0.2">
      <c r="A250" s="155">
        <v>111</v>
      </c>
      <c r="B250" s="281"/>
      <c r="C250" s="466" t="s">
        <v>162</v>
      </c>
      <c r="D250" s="182" t="s">
        <v>78</v>
      </c>
      <c r="E250" s="164">
        <f>0.9*12</f>
        <v>10.8</v>
      </c>
      <c r="F250" s="161"/>
      <c r="G250" s="159"/>
      <c r="H250" s="161"/>
      <c r="I250" s="161"/>
      <c r="J250" s="161"/>
      <c r="K250" s="75">
        <f t="shared" si="38"/>
        <v>0</v>
      </c>
      <c r="L250" s="76">
        <f t="shared" si="39"/>
        <v>0</v>
      </c>
      <c r="M250" s="75">
        <f t="shared" si="40"/>
        <v>0</v>
      </c>
      <c r="N250" s="75">
        <f t="shared" si="41"/>
        <v>0</v>
      </c>
      <c r="O250" s="75">
        <f t="shared" si="42"/>
        <v>0</v>
      </c>
      <c r="P250" s="77">
        <f t="shared" si="43"/>
        <v>0</v>
      </c>
    </row>
    <row r="251" spans="1:16" s="61" customFormat="1" ht="89.25" x14ac:dyDescent="0.2">
      <c r="A251" s="155">
        <v>112</v>
      </c>
      <c r="B251" s="281" t="s">
        <v>126</v>
      </c>
      <c r="C251" s="176" t="s">
        <v>155</v>
      </c>
      <c r="D251" s="182" t="s">
        <v>131</v>
      </c>
      <c r="E251" s="164">
        <f>80.36*12</f>
        <v>964.31999999999994</v>
      </c>
      <c r="F251" s="177"/>
      <c r="G251" s="159"/>
      <c r="H251" s="161"/>
      <c r="I251" s="161"/>
      <c r="J251" s="161"/>
      <c r="K251" s="75">
        <f t="shared" si="38"/>
        <v>0</v>
      </c>
      <c r="L251" s="76">
        <f t="shared" si="39"/>
        <v>0</v>
      </c>
      <c r="M251" s="75">
        <f t="shared" si="40"/>
        <v>0</v>
      </c>
      <c r="N251" s="75">
        <f t="shared" si="41"/>
        <v>0</v>
      </c>
      <c r="O251" s="75">
        <f t="shared" si="42"/>
        <v>0</v>
      </c>
      <c r="P251" s="77">
        <f t="shared" si="43"/>
        <v>0</v>
      </c>
    </row>
    <row r="252" spans="1:16" s="61" customFormat="1" x14ac:dyDescent="0.2">
      <c r="A252" s="155">
        <v>0</v>
      </c>
      <c r="B252" s="281"/>
      <c r="C252" s="178" t="s">
        <v>132</v>
      </c>
      <c r="D252" s="179" t="s">
        <v>131</v>
      </c>
      <c r="E252" s="180">
        <f>E251*1.15</f>
        <v>1108.9679999999998</v>
      </c>
      <c r="F252" s="159"/>
      <c r="G252" s="159"/>
      <c r="H252" s="161"/>
      <c r="I252" s="161"/>
      <c r="J252" s="161"/>
      <c r="K252" s="75">
        <f t="shared" si="38"/>
        <v>0</v>
      </c>
      <c r="L252" s="76">
        <f t="shared" si="39"/>
        <v>0</v>
      </c>
      <c r="M252" s="75">
        <f t="shared" si="40"/>
        <v>0</v>
      </c>
      <c r="N252" s="75">
        <f t="shared" si="41"/>
        <v>0</v>
      </c>
      <c r="O252" s="75">
        <f t="shared" si="42"/>
        <v>0</v>
      </c>
      <c r="P252" s="77">
        <f t="shared" si="43"/>
        <v>0</v>
      </c>
    </row>
    <row r="253" spans="1:16" s="61" customFormat="1" x14ac:dyDescent="0.2">
      <c r="A253" s="155">
        <v>0</v>
      </c>
      <c r="B253" s="281"/>
      <c r="C253" s="178" t="s">
        <v>156</v>
      </c>
      <c r="D253" s="179" t="s">
        <v>59</v>
      </c>
      <c r="E253" s="182">
        <f>4*12</f>
        <v>48</v>
      </c>
      <c r="F253" s="159"/>
      <c r="G253" s="159"/>
      <c r="H253" s="161"/>
      <c r="I253" s="167"/>
      <c r="J253" s="161"/>
      <c r="K253" s="75">
        <f t="shared" si="38"/>
        <v>0</v>
      </c>
      <c r="L253" s="76">
        <f t="shared" si="39"/>
        <v>0</v>
      </c>
      <c r="M253" s="75">
        <f t="shared" si="40"/>
        <v>0</v>
      </c>
      <c r="N253" s="75">
        <f t="shared" si="41"/>
        <v>0</v>
      </c>
      <c r="O253" s="75">
        <f t="shared" si="42"/>
        <v>0</v>
      </c>
      <c r="P253" s="77">
        <f t="shared" si="43"/>
        <v>0</v>
      </c>
    </row>
    <row r="254" spans="1:16" s="61" customFormat="1" ht="25.5" x14ac:dyDescent="0.2">
      <c r="A254" s="155">
        <v>0</v>
      </c>
      <c r="B254" s="281"/>
      <c r="C254" s="181" t="s">
        <v>133</v>
      </c>
      <c r="D254" s="182" t="s">
        <v>66</v>
      </c>
      <c r="E254" s="182">
        <v>1</v>
      </c>
      <c r="F254" s="159"/>
      <c r="G254" s="159"/>
      <c r="H254" s="161"/>
      <c r="I254" s="161"/>
      <c r="J254" s="161"/>
      <c r="K254" s="75">
        <f t="shared" si="38"/>
        <v>0</v>
      </c>
      <c r="L254" s="76">
        <f t="shared" si="39"/>
        <v>0</v>
      </c>
      <c r="M254" s="75">
        <f t="shared" si="40"/>
        <v>0</v>
      </c>
      <c r="N254" s="75">
        <f t="shared" si="41"/>
        <v>0</v>
      </c>
      <c r="O254" s="75">
        <f t="shared" si="42"/>
        <v>0</v>
      </c>
      <c r="P254" s="77">
        <f t="shared" si="43"/>
        <v>0</v>
      </c>
    </row>
    <row r="255" spans="1:16" s="61" customFormat="1" ht="25.5" x14ac:dyDescent="0.2">
      <c r="A255" s="155">
        <v>113</v>
      </c>
      <c r="B255" s="281" t="s">
        <v>126</v>
      </c>
      <c r="C255" s="527" t="s">
        <v>157</v>
      </c>
      <c r="D255" s="179" t="s">
        <v>78</v>
      </c>
      <c r="E255" s="164">
        <f>1.46*12</f>
        <v>17.52</v>
      </c>
      <c r="F255" s="159"/>
      <c r="G255" s="159"/>
      <c r="H255" s="161"/>
      <c r="I255" s="161"/>
      <c r="J255" s="161"/>
      <c r="K255" s="75">
        <f t="shared" si="38"/>
        <v>0</v>
      </c>
      <c r="L255" s="76">
        <f t="shared" si="39"/>
        <v>0</v>
      </c>
      <c r="M255" s="75">
        <f t="shared" si="40"/>
        <v>0</v>
      </c>
      <c r="N255" s="75">
        <f t="shared" si="41"/>
        <v>0</v>
      </c>
      <c r="O255" s="75">
        <f t="shared" si="42"/>
        <v>0</v>
      </c>
      <c r="P255" s="77">
        <f t="shared" si="43"/>
        <v>0</v>
      </c>
    </row>
    <row r="256" spans="1:16" s="61" customFormat="1" x14ac:dyDescent="0.2">
      <c r="A256" s="155">
        <v>0</v>
      </c>
      <c r="B256" s="194"/>
      <c r="C256" s="528" t="s">
        <v>158</v>
      </c>
      <c r="D256" s="179" t="s">
        <v>78</v>
      </c>
      <c r="E256" s="184">
        <f>E255*1.05</f>
        <v>18.396000000000001</v>
      </c>
      <c r="F256" s="185"/>
      <c r="G256" s="159"/>
      <c r="H256" s="161"/>
      <c r="I256" s="161"/>
      <c r="J256" s="161"/>
      <c r="K256" s="75">
        <f t="shared" si="38"/>
        <v>0</v>
      </c>
      <c r="L256" s="76">
        <f t="shared" si="39"/>
        <v>0</v>
      </c>
      <c r="M256" s="75">
        <f t="shared" si="40"/>
        <v>0</v>
      </c>
      <c r="N256" s="75">
        <f t="shared" si="41"/>
        <v>0</v>
      </c>
      <c r="O256" s="75">
        <f t="shared" si="42"/>
        <v>0</v>
      </c>
      <c r="P256" s="77">
        <f t="shared" si="43"/>
        <v>0</v>
      </c>
    </row>
    <row r="257" spans="1:16" s="61" customFormat="1" x14ac:dyDescent="0.2">
      <c r="A257" s="155">
        <v>0</v>
      </c>
      <c r="B257" s="194"/>
      <c r="C257" s="183" t="s">
        <v>136</v>
      </c>
      <c r="D257" s="179" t="s">
        <v>137</v>
      </c>
      <c r="E257" s="184">
        <f>E255*0.25</f>
        <v>4.38</v>
      </c>
      <c r="F257" s="185"/>
      <c r="G257" s="159"/>
      <c r="H257" s="161"/>
      <c r="I257" s="154"/>
      <c r="J257" s="161"/>
      <c r="K257" s="75">
        <f t="shared" si="38"/>
        <v>0</v>
      </c>
      <c r="L257" s="76">
        <f t="shared" si="39"/>
        <v>0</v>
      </c>
      <c r="M257" s="75">
        <f t="shared" si="40"/>
        <v>0</v>
      </c>
      <c r="N257" s="75">
        <f t="shared" si="41"/>
        <v>0</v>
      </c>
      <c r="O257" s="75">
        <f t="shared" si="42"/>
        <v>0</v>
      </c>
      <c r="P257" s="77">
        <f t="shared" si="43"/>
        <v>0</v>
      </c>
    </row>
    <row r="258" spans="1:16" s="61" customFormat="1" ht="25.5" x14ac:dyDescent="0.2">
      <c r="A258" s="155">
        <v>114</v>
      </c>
      <c r="B258" s="281" t="s">
        <v>126</v>
      </c>
      <c r="C258" s="176" t="s">
        <v>159</v>
      </c>
      <c r="D258" s="179" t="s">
        <v>78</v>
      </c>
      <c r="E258" s="164">
        <f>0.4*12</f>
        <v>4.8000000000000007</v>
      </c>
      <c r="F258" s="159"/>
      <c r="G258" s="159"/>
      <c r="H258" s="161"/>
      <c r="I258" s="161"/>
      <c r="J258" s="161"/>
      <c r="K258" s="75">
        <f t="shared" si="38"/>
        <v>0</v>
      </c>
      <c r="L258" s="76">
        <f t="shared" si="39"/>
        <v>0</v>
      </c>
      <c r="M258" s="75">
        <f t="shared" si="40"/>
        <v>0</v>
      </c>
      <c r="N258" s="75">
        <f t="shared" si="41"/>
        <v>0</v>
      </c>
      <c r="O258" s="75">
        <f t="shared" si="42"/>
        <v>0</v>
      </c>
      <c r="P258" s="77">
        <f t="shared" si="43"/>
        <v>0</v>
      </c>
    </row>
    <row r="259" spans="1:16" s="61" customFormat="1" x14ac:dyDescent="0.2">
      <c r="A259" s="155">
        <v>0</v>
      </c>
      <c r="B259" s="194"/>
      <c r="C259" s="183" t="s">
        <v>160</v>
      </c>
      <c r="D259" s="179" t="s">
        <v>78</v>
      </c>
      <c r="E259" s="184">
        <f>E258*1.05</f>
        <v>5.0400000000000009</v>
      </c>
      <c r="F259" s="185"/>
      <c r="G259" s="159"/>
      <c r="H259" s="161"/>
      <c r="I259" s="161"/>
      <c r="J259" s="161"/>
      <c r="K259" s="75">
        <f t="shared" si="38"/>
        <v>0</v>
      </c>
      <c r="L259" s="76">
        <f t="shared" si="39"/>
        <v>0</v>
      </c>
      <c r="M259" s="75">
        <f t="shared" si="40"/>
        <v>0</v>
      </c>
      <c r="N259" s="75">
        <f t="shared" si="41"/>
        <v>0</v>
      </c>
      <c r="O259" s="75">
        <f t="shared" si="42"/>
        <v>0</v>
      </c>
      <c r="P259" s="77">
        <f t="shared" si="43"/>
        <v>0</v>
      </c>
    </row>
    <row r="260" spans="1:16" s="61" customFormat="1" x14ac:dyDescent="0.2">
      <c r="A260" s="155">
        <v>0</v>
      </c>
      <c r="B260" s="194"/>
      <c r="C260" s="183" t="s">
        <v>136</v>
      </c>
      <c r="D260" s="179" t="s">
        <v>137</v>
      </c>
      <c r="E260" s="184">
        <f>E258*0.25</f>
        <v>1.2000000000000002</v>
      </c>
      <c r="F260" s="185"/>
      <c r="G260" s="159"/>
      <c r="H260" s="161"/>
      <c r="I260" s="154"/>
      <c r="J260" s="161"/>
      <c r="K260" s="75">
        <f t="shared" si="38"/>
        <v>0</v>
      </c>
      <c r="L260" s="76">
        <f t="shared" si="39"/>
        <v>0</v>
      </c>
      <c r="M260" s="75">
        <f t="shared" si="40"/>
        <v>0</v>
      </c>
      <c r="N260" s="75">
        <f t="shared" si="41"/>
        <v>0</v>
      </c>
      <c r="O260" s="75">
        <f t="shared" si="42"/>
        <v>0</v>
      </c>
      <c r="P260" s="77">
        <f t="shared" si="43"/>
        <v>0</v>
      </c>
    </row>
    <row r="261" spans="1:16" s="61" customFormat="1" ht="25.5" x14ac:dyDescent="0.2">
      <c r="A261" s="155">
        <v>115</v>
      </c>
      <c r="B261" s="281" t="s">
        <v>126</v>
      </c>
      <c r="C261" s="186" t="s">
        <v>140</v>
      </c>
      <c r="D261" s="182" t="s">
        <v>59</v>
      </c>
      <c r="E261" s="182">
        <v>12</v>
      </c>
      <c r="F261" s="159"/>
      <c r="G261" s="159"/>
      <c r="H261" s="161"/>
      <c r="I261" s="161"/>
      <c r="J261" s="161"/>
      <c r="K261" s="75">
        <f t="shared" si="38"/>
        <v>0</v>
      </c>
      <c r="L261" s="76">
        <f t="shared" si="39"/>
        <v>0</v>
      </c>
      <c r="M261" s="75">
        <f t="shared" si="40"/>
        <v>0</v>
      </c>
      <c r="N261" s="75">
        <f t="shared" si="41"/>
        <v>0</v>
      </c>
      <c r="O261" s="75">
        <f t="shared" si="42"/>
        <v>0</v>
      </c>
      <c r="P261" s="77">
        <f t="shared" si="43"/>
        <v>0</v>
      </c>
    </row>
    <row r="262" spans="1:16" s="61" customFormat="1" x14ac:dyDescent="0.2">
      <c r="A262" s="155">
        <v>0</v>
      </c>
      <c r="B262" s="281"/>
      <c r="C262" s="186"/>
      <c r="D262" s="182"/>
      <c r="E262" s="182"/>
      <c r="F262" s="159"/>
      <c r="G262" s="159"/>
      <c r="H262" s="161"/>
      <c r="I262" s="161"/>
      <c r="J262" s="161"/>
      <c r="K262" s="75">
        <f t="shared" si="38"/>
        <v>0</v>
      </c>
      <c r="L262" s="76">
        <f t="shared" si="39"/>
        <v>0</v>
      </c>
      <c r="M262" s="75">
        <f t="shared" si="40"/>
        <v>0</v>
      </c>
      <c r="N262" s="75">
        <f t="shared" si="41"/>
        <v>0</v>
      </c>
      <c r="O262" s="75">
        <f t="shared" si="42"/>
        <v>0</v>
      </c>
      <c r="P262" s="77">
        <f t="shared" si="43"/>
        <v>0</v>
      </c>
    </row>
    <row r="263" spans="1:16" s="61" customFormat="1" x14ac:dyDescent="0.2">
      <c r="A263" s="155"/>
      <c r="B263" s="281"/>
      <c r="C263" s="464" t="s">
        <v>749</v>
      </c>
      <c r="D263" s="182"/>
      <c r="E263" s="164"/>
      <c r="F263" s="159"/>
      <c r="G263" s="159"/>
      <c r="H263" s="161"/>
      <c r="I263" s="161"/>
      <c r="J263" s="161"/>
      <c r="K263" s="75">
        <f t="shared" ref="K263:K264" si="44">SUM(H263:J263)</f>
        <v>0</v>
      </c>
      <c r="L263" s="76">
        <f t="shared" si="39"/>
        <v>0</v>
      </c>
      <c r="M263" s="75">
        <f t="shared" si="40"/>
        <v>0</v>
      </c>
      <c r="N263" s="75">
        <f t="shared" si="41"/>
        <v>0</v>
      </c>
      <c r="O263" s="75">
        <f t="shared" si="42"/>
        <v>0</v>
      </c>
      <c r="P263" s="77">
        <f t="shared" si="43"/>
        <v>0</v>
      </c>
    </row>
    <row r="264" spans="1:16" s="61" customFormat="1" ht="25.5" x14ac:dyDescent="0.2">
      <c r="A264" s="155"/>
      <c r="B264" s="281" t="s">
        <v>126</v>
      </c>
      <c r="C264" s="176" t="s">
        <v>127</v>
      </c>
      <c r="D264" s="465" t="s">
        <v>83</v>
      </c>
      <c r="E264" s="172">
        <v>1</v>
      </c>
      <c r="F264" s="161"/>
      <c r="G264" s="159"/>
      <c r="H264" s="161"/>
      <c r="I264" s="161"/>
      <c r="J264" s="161"/>
      <c r="K264" s="75">
        <f t="shared" si="44"/>
        <v>0</v>
      </c>
      <c r="L264" s="76">
        <f t="shared" si="39"/>
        <v>0</v>
      </c>
      <c r="M264" s="75">
        <f t="shared" si="40"/>
        <v>0</v>
      </c>
      <c r="N264" s="75">
        <f t="shared" si="41"/>
        <v>0</v>
      </c>
      <c r="O264" s="75">
        <f t="shared" si="42"/>
        <v>0</v>
      </c>
      <c r="P264" s="77">
        <f t="shared" si="43"/>
        <v>0</v>
      </c>
    </row>
    <row r="265" spans="1:16" s="61" customFormat="1" ht="25.5" x14ac:dyDescent="0.2">
      <c r="A265" s="155"/>
      <c r="B265" s="281" t="s">
        <v>126</v>
      </c>
      <c r="C265" s="176" t="s">
        <v>128</v>
      </c>
      <c r="D265" s="182" t="s">
        <v>83</v>
      </c>
      <c r="E265" s="164">
        <v>5</v>
      </c>
      <c r="F265" s="161"/>
      <c r="G265" s="159"/>
      <c r="H265" s="161"/>
      <c r="I265" s="161"/>
      <c r="J265" s="161"/>
      <c r="K265" s="75">
        <f t="shared" ref="K265:K276" si="45">SUM(H265:J265)</f>
        <v>0</v>
      </c>
      <c r="L265" s="76">
        <f t="shared" ref="L265:L276" si="46">ROUND(F265*E265,2)</f>
        <v>0</v>
      </c>
      <c r="M265" s="75">
        <f t="shared" ref="M265:M276" si="47">ROUND(H265*E265,2)</f>
        <v>0</v>
      </c>
      <c r="N265" s="75">
        <f t="shared" ref="N265:N276" si="48">ROUND(I265*E265,2)</f>
        <v>0</v>
      </c>
      <c r="O265" s="75">
        <f t="shared" ref="O265:O276" si="49">ROUND(J265*E265,2)</f>
        <v>0</v>
      </c>
      <c r="P265" s="77">
        <f t="shared" ref="P265:P276" si="50">SUM(M265:O265)</f>
        <v>0</v>
      </c>
    </row>
    <row r="266" spans="1:16" s="61" customFormat="1" ht="25.5" x14ac:dyDescent="0.2">
      <c r="A266" s="155"/>
      <c r="B266" s="281"/>
      <c r="C266" s="466" t="s">
        <v>162</v>
      </c>
      <c r="D266" s="182" t="s">
        <v>78</v>
      </c>
      <c r="E266" s="164">
        <v>0.15</v>
      </c>
      <c r="F266" s="161"/>
      <c r="G266" s="159"/>
      <c r="H266" s="161"/>
      <c r="I266" s="161"/>
      <c r="J266" s="161"/>
      <c r="K266" s="75">
        <f t="shared" si="45"/>
        <v>0</v>
      </c>
      <c r="L266" s="76">
        <f t="shared" si="46"/>
        <v>0</v>
      </c>
      <c r="M266" s="75">
        <f t="shared" si="47"/>
        <v>0</v>
      </c>
      <c r="N266" s="75">
        <f t="shared" si="48"/>
        <v>0</v>
      </c>
      <c r="O266" s="75">
        <f t="shared" si="49"/>
        <v>0</v>
      </c>
      <c r="P266" s="77">
        <f t="shared" si="50"/>
        <v>0</v>
      </c>
    </row>
    <row r="267" spans="1:16" s="61" customFormat="1" ht="89.25" x14ac:dyDescent="0.2">
      <c r="A267" s="155"/>
      <c r="B267" s="281" t="s">
        <v>126</v>
      </c>
      <c r="C267" s="176" t="s">
        <v>155</v>
      </c>
      <c r="D267" s="182" t="s">
        <v>131</v>
      </c>
      <c r="E267" s="164">
        <v>27.9</v>
      </c>
      <c r="F267" s="177"/>
      <c r="G267" s="159"/>
      <c r="H267" s="161"/>
      <c r="I267" s="161"/>
      <c r="J267" s="161"/>
      <c r="K267" s="75">
        <f t="shared" si="45"/>
        <v>0</v>
      </c>
      <c r="L267" s="76">
        <f t="shared" si="46"/>
        <v>0</v>
      </c>
      <c r="M267" s="75">
        <f t="shared" si="47"/>
        <v>0</v>
      </c>
      <c r="N267" s="75">
        <f t="shared" si="48"/>
        <v>0</v>
      </c>
      <c r="O267" s="75">
        <f t="shared" si="49"/>
        <v>0</v>
      </c>
      <c r="P267" s="77">
        <f t="shared" si="50"/>
        <v>0</v>
      </c>
    </row>
    <row r="268" spans="1:16" s="61" customFormat="1" x14ac:dyDescent="0.2">
      <c r="A268" s="155"/>
      <c r="B268" s="281"/>
      <c r="C268" s="178" t="s">
        <v>132</v>
      </c>
      <c r="D268" s="179" t="s">
        <v>131</v>
      </c>
      <c r="E268" s="180">
        <f>E267*1.15</f>
        <v>32.084999999999994</v>
      </c>
      <c r="F268" s="159"/>
      <c r="G268" s="159"/>
      <c r="H268" s="161"/>
      <c r="I268" s="161"/>
      <c r="J268" s="161"/>
      <c r="K268" s="75">
        <f t="shared" si="45"/>
        <v>0</v>
      </c>
      <c r="L268" s="76">
        <f t="shared" si="46"/>
        <v>0</v>
      </c>
      <c r="M268" s="75">
        <f t="shared" si="47"/>
        <v>0</v>
      </c>
      <c r="N268" s="75">
        <f t="shared" si="48"/>
        <v>0</v>
      </c>
      <c r="O268" s="75">
        <f t="shared" si="49"/>
        <v>0</v>
      </c>
      <c r="P268" s="77">
        <f t="shared" si="50"/>
        <v>0</v>
      </c>
    </row>
    <row r="269" spans="1:16" s="61" customFormat="1" x14ac:dyDescent="0.2">
      <c r="A269" s="155"/>
      <c r="B269" s="281"/>
      <c r="C269" s="178" t="s">
        <v>156</v>
      </c>
      <c r="D269" s="179" t="s">
        <v>59</v>
      </c>
      <c r="E269" s="182">
        <f>4*12</f>
        <v>48</v>
      </c>
      <c r="F269" s="159"/>
      <c r="G269" s="159"/>
      <c r="H269" s="161"/>
      <c r="I269" s="167"/>
      <c r="J269" s="161"/>
      <c r="K269" s="75">
        <f t="shared" si="45"/>
        <v>0</v>
      </c>
      <c r="L269" s="76">
        <f t="shared" si="46"/>
        <v>0</v>
      </c>
      <c r="M269" s="75">
        <f t="shared" si="47"/>
        <v>0</v>
      </c>
      <c r="N269" s="75">
        <f t="shared" si="48"/>
        <v>0</v>
      </c>
      <c r="O269" s="75">
        <f t="shared" si="49"/>
        <v>0</v>
      </c>
      <c r="P269" s="77">
        <f t="shared" si="50"/>
        <v>0</v>
      </c>
    </row>
    <row r="270" spans="1:16" s="61" customFormat="1" ht="25.5" x14ac:dyDescent="0.2">
      <c r="A270" s="155"/>
      <c r="B270" s="281"/>
      <c r="C270" s="181" t="s">
        <v>133</v>
      </c>
      <c r="D270" s="182" t="s">
        <v>66</v>
      </c>
      <c r="E270" s="182">
        <v>1</v>
      </c>
      <c r="F270" s="159"/>
      <c r="G270" s="159"/>
      <c r="H270" s="161"/>
      <c r="I270" s="161"/>
      <c r="J270" s="161"/>
      <c r="K270" s="75">
        <f t="shared" si="45"/>
        <v>0</v>
      </c>
      <c r="L270" s="76">
        <f t="shared" si="46"/>
        <v>0</v>
      </c>
      <c r="M270" s="75">
        <f t="shared" si="47"/>
        <v>0</v>
      </c>
      <c r="N270" s="75">
        <f t="shared" si="48"/>
        <v>0</v>
      </c>
      <c r="O270" s="75">
        <f t="shared" si="49"/>
        <v>0</v>
      </c>
      <c r="P270" s="77">
        <f t="shared" si="50"/>
        <v>0</v>
      </c>
    </row>
    <row r="271" spans="1:16" s="61" customFormat="1" ht="25.5" x14ac:dyDescent="0.2">
      <c r="A271" s="155"/>
      <c r="B271" s="281" t="s">
        <v>126</v>
      </c>
      <c r="C271" s="176" t="s">
        <v>157</v>
      </c>
      <c r="D271" s="179" t="s">
        <v>78</v>
      </c>
      <c r="E271" s="164">
        <v>0.36</v>
      </c>
      <c r="F271" s="159"/>
      <c r="G271" s="159"/>
      <c r="H271" s="161"/>
      <c r="I271" s="161"/>
      <c r="J271" s="161"/>
      <c r="K271" s="75">
        <f t="shared" si="45"/>
        <v>0</v>
      </c>
      <c r="L271" s="76">
        <f t="shared" si="46"/>
        <v>0</v>
      </c>
      <c r="M271" s="75">
        <f t="shared" si="47"/>
        <v>0</v>
      </c>
      <c r="N271" s="75">
        <f t="shared" si="48"/>
        <v>0</v>
      </c>
      <c r="O271" s="75">
        <f t="shared" si="49"/>
        <v>0</v>
      </c>
      <c r="P271" s="77">
        <f t="shared" si="50"/>
        <v>0</v>
      </c>
    </row>
    <row r="272" spans="1:16" s="61" customFormat="1" x14ac:dyDescent="0.2">
      <c r="A272" s="155"/>
      <c r="B272" s="194"/>
      <c r="C272" s="183" t="s">
        <v>158</v>
      </c>
      <c r="D272" s="179" t="s">
        <v>78</v>
      </c>
      <c r="E272" s="184">
        <f>E271*1.05</f>
        <v>0.378</v>
      </c>
      <c r="F272" s="185"/>
      <c r="G272" s="159"/>
      <c r="H272" s="161"/>
      <c r="I272" s="161"/>
      <c r="J272" s="161"/>
      <c r="K272" s="75">
        <f t="shared" si="45"/>
        <v>0</v>
      </c>
      <c r="L272" s="76">
        <f t="shared" si="46"/>
        <v>0</v>
      </c>
      <c r="M272" s="75">
        <f t="shared" si="47"/>
        <v>0</v>
      </c>
      <c r="N272" s="75">
        <f t="shared" si="48"/>
        <v>0</v>
      </c>
      <c r="O272" s="75">
        <f t="shared" si="49"/>
        <v>0</v>
      </c>
      <c r="P272" s="77">
        <f t="shared" si="50"/>
        <v>0</v>
      </c>
    </row>
    <row r="273" spans="1:16" s="61" customFormat="1" x14ac:dyDescent="0.2">
      <c r="A273" s="155"/>
      <c r="B273" s="194"/>
      <c r="C273" s="183" t="s">
        <v>136</v>
      </c>
      <c r="D273" s="179" t="s">
        <v>137</v>
      </c>
      <c r="E273" s="184">
        <f>E271*0.25</f>
        <v>0.09</v>
      </c>
      <c r="F273" s="185"/>
      <c r="G273" s="159"/>
      <c r="H273" s="161"/>
      <c r="I273" s="154"/>
      <c r="J273" s="161"/>
      <c r="K273" s="75">
        <f t="shared" si="45"/>
        <v>0</v>
      </c>
      <c r="L273" s="76">
        <f t="shared" si="46"/>
        <v>0</v>
      </c>
      <c r="M273" s="75">
        <f t="shared" si="47"/>
        <v>0</v>
      </c>
      <c r="N273" s="75">
        <f t="shared" si="48"/>
        <v>0</v>
      </c>
      <c r="O273" s="75">
        <f t="shared" si="49"/>
        <v>0</v>
      </c>
      <c r="P273" s="77">
        <f t="shared" si="50"/>
        <v>0</v>
      </c>
    </row>
    <row r="274" spans="1:16" s="61" customFormat="1" ht="25.5" x14ac:dyDescent="0.2">
      <c r="A274" s="155"/>
      <c r="B274" s="281" t="s">
        <v>126</v>
      </c>
      <c r="C274" s="176" t="s">
        <v>159</v>
      </c>
      <c r="D274" s="179" t="s">
        <v>78</v>
      </c>
      <c r="E274" s="164">
        <v>0.08</v>
      </c>
      <c r="F274" s="159"/>
      <c r="G274" s="159"/>
      <c r="H274" s="161"/>
      <c r="I274" s="161"/>
      <c r="J274" s="161"/>
      <c r="K274" s="75">
        <f t="shared" si="45"/>
        <v>0</v>
      </c>
      <c r="L274" s="76">
        <f t="shared" si="46"/>
        <v>0</v>
      </c>
      <c r="M274" s="75">
        <f t="shared" si="47"/>
        <v>0</v>
      </c>
      <c r="N274" s="75">
        <f t="shared" si="48"/>
        <v>0</v>
      </c>
      <c r="O274" s="75">
        <f t="shared" si="49"/>
        <v>0</v>
      </c>
      <c r="P274" s="77">
        <f t="shared" si="50"/>
        <v>0</v>
      </c>
    </row>
    <row r="275" spans="1:16" s="61" customFormat="1" x14ac:dyDescent="0.2">
      <c r="A275" s="155"/>
      <c r="B275" s="194"/>
      <c r="C275" s="183" t="s">
        <v>160</v>
      </c>
      <c r="D275" s="179" t="s">
        <v>78</v>
      </c>
      <c r="E275" s="184">
        <f>E274*1.05</f>
        <v>8.4000000000000005E-2</v>
      </c>
      <c r="F275" s="185"/>
      <c r="G275" s="159"/>
      <c r="H275" s="161"/>
      <c r="I275" s="161"/>
      <c r="J275" s="161"/>
      <c r="K275" s="75">
        <f t="shared" si="45"/>
        <v>0</v>
      </c>
      <c r="L275" s="76">
        <f t="shared" si="46"/>
        <v>0</v>
      </c>
      <c r="M275" s="75">
        <f t="shared" si="47"/>
        <v>0</v>
      </c>
      <c r="N275" s="75">
        <f t="shared" si="48"/>
        <v>0</v>
      </c>
      <c r="O275" s="75">
        <f t="shared" si="49"/>
        <v>0</v>
      </c>
      <c r="P275" s="77">
        <f t="shared" si="50"/>
        <v>0</v>
      </c>
    </row>
    <row r="276" spans="1:16" s="61" customFormat="1" x14ac:dyDescent="0.2">
      <c r="A276" s="155"/>
      <c r="B276" s="194"/>
      <c r="C276" s="183" t="s">
        <v>136</v>
      </c>
      <c r="D276" s="179" t="s">
        <v>137</v>
      </c>
      <c r="E276" s="184">
        <f>E274*0.25</f>
        <v>0.02</v>
      </c>
      <c r="F276" s="185"/>
      <c r="G276" s="159"/>
      <c r="H276" s="161"/>
      <c r="I276" s="154"/>
      <c r="J276" s="161"/>
      <c r="K276" s="75">
        <f t="shared" si="45"/>
        <v>0</v>
      </c>
      <c r="L276" s="76">
        <f t="shared" si="46"/>
        <v>0</v>
      </c>
      <c r="M276" s="75">
        <f t="shared" si="47"/>
        <v>0</v>
      </c>
      <c r="N276" s="75">
        <f t="shared" si="48"/>
        <v>0</v>
      </c>
      <c r="O276" s="75">
        <f t="shared" si="49"/>
        <v>0</v>
      </c>
      <c r="P276" s="77">
        <f t="shared" si="50"/>
        <v>0</v>
      </c>
    </row>
    <row r="277" spans="1:16" s="61" customFormat="1" x14ac:dyDescent="0.2">
      <c r="A277" s="155"/>
      <c r="B277" s="281"/>
      <c r="C277" s="186"/>
      <c r="D277" s="182"/>
      <c r="E277" s="182"/>
      <c r="F277" s="159"/>
      <c r="G277" s="159"/>
      <c r="H277" s="161"/>
      <c r="I277" s="161"/>
      <c r="J277" s="161"/>
      <c r="K277" s="75"/>
      <c r="L277" s="76"/>
      <c r="M277" s="75"/>
      <c r="N277" s="75"/>
      <c r="O277" s="75"/>
      <c r="P277" s="77"/>
    </row>
    <row r="278" spans="1:16" s="61" customFormat="1" x14ac:dyDescent="0.2">
      <c r="A278" s="155">
        <v>0</v>
      </c>
      <c r="B278" s="281"/>
      <c r="C278" s="186"/>
      <c r="D278" s="182"/>
      <c r="E278" s="182"/>
      <c r="F278" s="159"/>
      <c r="G278" s="159"/>
      <c r="H278" s="161"/>
      <c r="I278" s="161"/>
      <c r="J278" s="161"/>
      <c r="K278" s="75">
        <f t="shared" si="38"/>
        <v>0</v>
      </c>
      <c r="L278" s="76">
        <f t="shared" si="39"/>
        <v>0</v>
      </c>
      <c r="M278" s="75">
        <f t="shared" si="40"/>
        <v>0</v>
      </c>
      <c r="N278" s="75">
        <f t="shared" si="41"/>
        <v>0</v>
      </c>
      <c r="O278" s="75">
        <f t="shared" si="42"/>
        <v>0</v>
      </c>
      <c r="P278" s="77">
        <f t="shared" si="43"/>
        <v>0</v>
      </c>
    </row>
    <row r="279" spans="1:16" s="61" customFormat="1" x14ac:dyDescent="0.2">
      <c r="A279" s="155">
        <v>0</v>
      </c>
      <c r="B279" s="281"/>
      <c r="C279" s="197" t="s">
        <v>163</v>
      </c>
      <c r="D279" s="179"/>
      <c r="E279" s="180"/>
      <c r="F279" s="159"/>
      <c r="G279" s="159"/>
      <c r="H279" s="161"/>
      <c r="I279" s="161"/>
      <c r="J279" s="161"/>
      <c r="K279" s="75">
        <f t="shared" si="38"/>
        <v>0</v>
      </c>
      <c r="L279" s="76">
        <f t="shared" si="39"/>
        <v>0</v>
      </c>
      <c r="M279" s="75">
        <f t="shared" si="40"/>
        <v>0</v>
      </c>
      <c r="N279" s="75">
        <f t="shared" si="41"/>
        <v>0</v>
      </c>
      <c r="O279" s="75">
        <f t="shared" si="42"/>
        <v>0</v>
      </c>
      <c r="P279" s="77">
        <f t="shared" si="43"/>
        <v>0</v>
      </c>
    </row>
    <row r="280" spans="1:16" s="61" customFormat="1" ht="25.5" x14ac:dyDescent="0.2">
      <c r="A280" s="155">
        <v>116</v>
      </c>
      <c r="B280" s="281" t="s">
        <v>126</v>
      </c>
      <c r="C280" s="176" t="s">
        <v>128</v>
      </c>
      <c r="D280" s="182" t="s">
        <v>83</v>
      </c>
      <c r="E280" s="164">
        <v>830</v>
      </c>
      <c r="F280" s="161"/>
      <c r="G280" s="159"/>
      <c r="H280" s="161"/>
      <c r="I280" s="161"/>
      <c r="J280" s="161"/>
      <c r="K280" s="75">
        <f t="shared" si="38"/>
        <v>0</v>
      </c>
      <c r="L280" s="76">
        <f t="shared" si="39"/>
        <v>0</v>
      </c>
      <c r="M280" s="75">
        <f t="shared" si="40"/>
        <v>0</v>
      </c>
      <c r="N280" s="75">
        <f t="shared" si="41"/>
        <v>0</v>
      </c>
      <c r="O280" s="75">
        <f t="shared" si="42"/>
        <v>0</v>
      </c>
      <c r="P280" s="77">
        <f t="shared" si="43"/>
        <v>0</v>
      </c>
    </row>
    <row r="281" spans="1:16" s="61" customFormat="1" ht="76.5" x14ac:dyDescent="0.2">
      <c r="A281" s="155">
        <v>117</v>
      </c>
      <c r="B281" s="281" t="s">
        <v>126</v>
      </c>
      <c r="C281" s="176" t="s">
        <v>130</v>
      </c>
      <c r="D281" s="182" t="s">
        <v>131</v>
      </c>
      <c r="E281" s="475">
        <f>1496.6+482.1+144.57+6162.72+91.36+45.96+237.54</f>
        <v>8660.85</v>
      </c>
      <c r="F281" s="177"/>
      <c r="G281" s="159"/>
      <c r="H281" s="161"/>
      <c r="I281" s="161"/>
      <c r="J281" s="161"/>
      <c r="K281" s="75">
        <f t="shared" si="38"/>
        <v>0</v>
      </c>
      <c r="L281" s="76">
        <f t="shared" si="39"/>
        <v>0</v>
      </c>
      <c r="M281" s="75">
        <f t="shared" si="40"/>
        <v>0</v>
      </c>
      <c r="N281" s="75">
        <f t="shared" si="41"/>
        <v>0</v>
      </c>
      <c r="O281" s="75">
        <f t="shared" si="42"/>
        <v>0</v>
      </c>
      <c r="P281" s="77">
        <f t="shared" si="43"/>
        <v>0</v>
      </c>
    </row>
    <row r="282" spans="1:16" s="61" customFormat="1" x14ac:dyDescent="0.2">
      <c r="A282" s="155">
        <v>0</v>
      </c>
      <c r="B282" s="281"/>
      <c r="C282" s="178" t="s">
        <v>132</v>
      </c>
      <c r="D282" s="179" t="s">
        <v>131</v>
      </c>
      <c r="E282" s="180">
        <f>E281*1.15</f>
        <v>9959.9774999999991</v>
      </c>
      <c r="F282" s="159"/>
      <c r="G282" s="159"/>
      <c r="H282" s="161"/>
      <c r="I282" s="161"/>
      <c r="J282" s="161"/>
      <c r="K282" s="75">
        <f t="shared" si="38"/>
        <v>0</v>
      </c>
      <c r="L282" s="76">
        <f t="shared" si="39"/>
        <v>0</v>
      </c>
      <c r="M282" s="75">
        <f t="shared" si="40"/>
        <v>0</v>
      </c>
      <c r="N282" s="75">
        <f t="shared" si="41"/>
        <v>0</v>
      </c>
      <c r="O282" s="75">
        <f t="shared" si="42"/>
        <v>0</v>
      </c>
      <c r="P282" s="77">
        <f t="shared" si="43"/>
        <v>0</v>
      </c>
    </row>
    <row r="283" spans="1:16" s="61" customFormat="1" ht="25.5" x14ac:dyDescent="0.2">
      <c r="A283" s="155">
        <v>0</v>
      </c>
      <c r="B283" s="281"/>
      <c r="C283" s="181" t="s">
        <v>133</v>
      </c>
      <c r="D283" s="182" t="s">
        <v>66</v>
      </c>
      <c r="E283" s="182">
        <v>1</v>
      </c>
      <c r="F283" s="159"/>
      <c r="G283" s="159"/>
      <c r="H283" s="161"/>
      <c r="I283" s="161"/>
      <c r="J283" s="161"/>
      <c r="K283" s="75">
        <f t="shared" si="38"/>
        <v>0</v>
      </c>
      <c r="L283" s="76">
        <f t="shared" si="39"/>
        <v>0</v>
      </c>
      <c r="M283" s="75">
        <f t="shared" si="40"/>
        <v>0</v>
      </c>
      <c r="N283" s="75">
        <f t="shared" si="41"/>
        <v>0</v>
      </c>
      <c r="O283" s="75">
        <f t="shared" si="42"/>
        <v>0</v>
      </c>
      <c r="P283" s="77">
        <f t="shared" si="43"/>
        <v>0</v>
      </c>
    </row>
    <row r="284" spans="1:16" s="61" customFormat="1" ht="25.5" x14ac:dyDescent="0.2">
      <c r="A284" s="155">
        <v>118</v>
      </c>
      <c r="B284" s="281" t="s">
        <v>126</v>
      </c>
      <c r="C284" s="176" t="s">
        <v>134</v>
      </c>
      <c r="D284" s="179" t="s">
        <v>78</v>
      </c>
      <c r="E284" s="164">
        <f>37.92+83.53</f>
        <v>121.45</v>
      </c>
      <c r="F284" s="159"/>
      <c r="G284" s="159"/>
      <c r="H284" s="161"/>
      <c r="I284" s="161"/>
      <c r="J284" s="161"/>
      <c r="K284" s="75">
        <f t="shared" si="38"/>
        <v>0</v>
      </c>
      <c r="L284" s="76">
        <f t="shared" si="39"/>
        <v>0</v>
      </c>
      <c r="M284" s="75">
        <f t="shared" si="40"/>
        <v>0</v>
      </c>
      <c r="N284" s="75">
        <f t="shared" si="41"/>
        <v>0</v>
      </c>
      <c r="O284" s="75">
        <f t="shared" si="42"/>
        <v>0</v>
      </c>
      <c r="P284" s="77">
        <f t="shared" si="43"/>
        <v>0</v>
      </c>
    </row>
    <row r="285" spans="1:16" s="61" customFormat="1" x14ac:dyDescent="0.2">
      <c r="A285" s="155">
        <v>0</v>
      </c>
      <c r="B285" s="281"/>
      <c r="C285" s="183" t="s">
        <v>135</v>
      </c>
      <c r="D285" s="179" t="s">
        <v>78</v>
      </c>
      <c r="E285" s="184">
        <f>E284*1.05</f>
        <v>127.52250000000001</v>
      </c>
      <c r="F285" s="185"/>
      <c r="G285" s="159"/>
      <c r="H285" s="161"/>
      <c r="I285" s="161"/>
      <c r="J285" s="161"/>
      <c r="K285" s="75">
        <f t="shared" si="38"/>
        <v>0</v>
      </c>
      <c r="L285" s="76">
        <f t="shared" si="39"/>
        <v>0</v>
      </c>
      <c r="M285" s="75">
        <f t="shared" si="40"/>
        <v>0</v>
      </c>
      <c r="N285" s="75">
        <f t="shared" si="41"/>
        <v>0</v>
      </c>
      <c r="O285" s="75">
        <f t="shared" si="42"/>
        <v>0</v>
      </c>
      <c r="P285" s="77">
        <f t="shared" si="43"/>
        <v>0</v>
      </c>
    </row>
    <row r="286" spans="1:16" s="61" customFormat="1" x14ac:dyDescent="0.2">
      <c r="A286" s="155">
        <v>0</v>
      </c>
      <c r="B286" s="281"/>
      <c r="C286" s="183" t="s">
        <v>136</v>
      </c>
      <c r="D286" s="179" t="s">
        <v>137</v>
      </c>
      <c r="E286" s="184">
        <f>E284*0.25</f>
        <v>30.362500000000001</v>
      </c>
      <c r="F286" s="185"/>
      <c r="G286" s="159"/>
      <c r="H286" s="161"/>
      <c r="I286" s="154"/>
      <c r="J286" s="161"/>
      <c r="K286" s="75">
        <f t="shared" si="38"/>
        <v>0</v>
      </c>
      <c r="L286" s="76">
        <f t="shared" si="39"/>
        <v>0</v>
      </c>
      <c r="M286" s="75">
        <f t="shared" si="40"/>
        <v>0</v>
      </c>
      <c r="N286" s="75">
        <f t="shared" si="41"/>
        <v>0</v>
      </c>
      <c r="O286" s="75">
        <f t="shared" si="42"/>
        <v>0</v>
      </c>
      <c r="P286" s="77">
        <f t="shared" si="43"/>
        <v>0</v>
      </c>
    </row>
    <row r="287" spans="1:16" s="61" customFormat="1" ht="25.5" x14ac:dyDescent="0.2">
      <c r="A287" s="155">
        <v>119</v>
      </c>
      <c r="B287" s="281" t="s">
        <v>126</v>
      </c>
      <c r="C287" s="176" t="s">
        <v>164</v>
      </c>
      <c r="D287" s="179" t="s">
        <v>78</v>
      </c>
      <c r="E287" s="164">
        <v>9.27</v>
      </c>
      <c r="F287" s="159"/>
      <c r="G287" s="159"/>
      <c r="H287" s="161"/>
      <c r="I287" s="161"/>
      <c r="J287" s="161"/>
      <c r="K287" s="75">
        <f t="shared" si="38"/>
        <v>0</v>
      </c>
      <c r="L287" s="76">
        <f t="shared" si="39"/>
        <v>0</v>
      </c>
      <c r="M287" s="75">
        <f t="shared" si="40"/>
        <v>0</v>
      </c>
      <c r="N287" s="75">
        <f t="shared" si="41"/>
        <v>0</v>
      </c>
      <c r="O287" s="75">
        <f t="shared" si="42"/>
        <v>0</v>
      </c>
      <c r="P287" s="77">
        <f t="shared" si="43"/>
        <v>0</v>
      </c>
    </row>
    <row r="288" spans="1:16" s="61" customFormat="1" x14ac:dyDescent="0.2">
      <c r="A288" s="155">
        <v>0</v>
      </c>
      <c r="B288" s="281"/>
      <c r="C288" s="183" t="s">
        <v>160</v>
      </c>
      <c r="D288" s="179" t="s">
        <v>78</v>
      </c>
      <c r="E288" s="184">
        <f>E287*1.05</f>
        <v>9.7334999999999994</v>
      </c>
      <c r="F288" s="185"/>
      <c r="G288" s="159"/>
      <c r="H288" s="161"/>
      <c r="I288" s="161"/>
      <c r="J288" s="161"/>
      <c r="K288" s="75">
        <f t="shared" si="38"/>
        <v>0</v>
      </c>
      <c r="L288" s="76">
        <f t="shared" si="39"/>
        <v>0</v>
      </c>
      <c r="M288" s="75">
        <f t="shared" si="40"/>
        <v>0</v>
      </c>
      <c r="N288" s="75">
        <f t="shared" si="41"/>
        <v>0</v>
      </c>
      <c r="O288" s="75">
        <f t="shared" si="42"/>
        <v>0</v>
      </c>
      <c r="P288" s="77">
        <f t="shared" si="43"/>
        <v>0</v>
      </c>
    </row>
    <row r="289" spans="1:16" s="61" customFormat="1" x14ac:dyDescent="0.2">
      <c r="A289" s="155">
        <v>0</v>
      </c>
      <c r="B289" s="281"/>
      <c r="C289" s="183" t="s">
        <v>136</v>
      </c>
      <c r="D289" s="179" t="s">
        <v>137</v>
      </c>
      <c r="E289" s="184">
        <f>E287*0.25</f>
        <v>2.3174999999999999</v>
      </c>
      <c r="F289" s="185"/>
      <c r="G289" s="159"/>
      <c r="H289" s="161"/>
      <c r="I289" s="154"/>
      <c r="J289" s="161"/>
      <c r="K289" s="75">
        <f t="shared" si="38"/>
        <v>0</v>
      </c>
      <c r="L289" s="76">
        <f t="shared" si="39"/>
        <v>0</v>
      </c>
      <c r="M289" s="75">
        <f t="shared" si="40"/>
        <v>0</v>
      </c>
      <c r="N289" s="75">
        <f t="shared" si="41"/>
        <v>0</v>
      </c>
      <c r="O289" s="75">
        <f t="shared" si="42"/>
        <v>0</v>
      </c>
      <c r="P289" s="77">
        <f t="shared" si="43"/>
        <v>0</v>
      </c>
    </row>
    <row r="290" spans="1:16" s="61" customFormat="1" ht="38.25" x14ac:dyDescent="0.2">
      <c r="A290" s="155">
        <v>120</v>
      </c>
      <c r="B290" s="281"/>
      <c r="C290" s="176" t="s">
        <v>165</v>
      </c>
      <c r="D290" s="179" t="s">
        <v>83</v>
      </c>
      <c r="E290" s="184">
        <v>32</v>
      </c>
      <c r="F290" s="199"/>
      <c r="G290" s="159"/>
      <c r="H290" s="200"/>
      <c r="I290" s="200"/>
      <c r="J290" s="200"/>
      <c r="K290" s="75">
        <f t="shared" si="38"/>
        <v>0</v>
      </c>
      <c r="L290" s="76">
        <f t="shared" si="39"/>
        <v>0</v>
      </c>
      <c r="M290" s="75">
        <f t="shared" si="40"/>
        <v>0</v>
      </c>
      <c r="N290" s="75">
        <f t="shared" si="41"/>
        <v>0</v>
      </c>
      <c r="O290" s="75">
        <f t="shared" si="42"/>
        <v>0</v>
      </c>
      <c r="P290" s="77">
        <f t="shared" si="43"/>
        <v>0</v>
      </c>
    </row>
    <row r="291" spans="1:16" s="61" customFormat="1" ht="25.5" x14ac:dyDescent="0.2">
      <c r="A291" s="155">
        <v>121</v>
      </c>
      <c r="B291" s="281"/>
      <c r="C291" s="176" t="s">
        <v>166</v>
      </c>
      <c r="D291" s="179" t="s">
        <v>83</v>
      </c>
      <c r="E291" s="184">
        <v>303</v>
      </c>
      <c r="F291" s="199"/>
      <c r="G291" s="159"/>
      <c r="H291" s="200"/>
      <c r="I291" s="200"/>
      <c r="J291" s="200"/>
      <c r="K291" s="75">
        <f t="shared" si="38"/>
        <v>0</v>
      </c>
      <c r="L291" s="76">
        <f t="shared" si="39"/>
        <v>0</v>
      </c>
      <c r="M291" s="75">
        <f t="shared" si="40"/>
        <v>0</v>
      </c>
      <c r="N291" s="75">
        <f t="shared" si="41"/>
        <v>0</v>
      </c>
      <c r="O291" s="75">
        <f t="shared" si="42"/>
        <v>0</v>
      </c>
      <c r="P291" s="77">
        <f t="shared" si="43"/>
        <v>0</v>
      </c>
    </row>
    <row r="292" spans="1:16" s="61" customFormat="1" ht="38.25" x14ac:dyDescent="0.2">
      <c r="A292" s="155">
        <v>122</v>
      </c>
      <c r="B292" s="281"/>
      <c r="C292" s="176" t="s">
        <v>167</v>
      </c>
      <c r="D292" s="179" t="s">
        <v>83</v>
      </c>
      <c r="E292" s="184">
        <v>147</v>
      </c>
      <c r="F292" s="185"/>
      <c r="G292" s="159"/>
      <c r="H292" s="200"/>
      <c r="I292" s="201"/>
      <c r="J292" s="161"/>
      <c r="K292" s="75">
        <f t="shared" si="38"/>
        <v>0</v>
      </c>
      <c r="L292" s="76">
        <f t="shared" si="39"/>
        <v>0</v>
      </c>
      <c r="M292" s="75">
        <f t="shared" si="40"/>
        <v>0</v>
      </c>
      <c r="N292" s="75">
        <f t="shared" si="41"/>
        <v>0</v>
      </c>
      <c r="O292" s="75">
        <f t="shared" si="42"/>
        <v>0</v>
      </c>
      <c r="P292" s="77">
        <f t="shared" si="43"/>
        <v>0</v>
      </c>
    </row>
    <row r="293" spans="1:16" s="61" customFormat="1" x14ac:dyDescent="0.2">
      <c r="A293" s="155">
        <v>0</v>
      </c>
      <c r="B293" s="281"/>
      <c r="C293" s="183"/>
      <c r="D293" s="179"/>
      <c r="E293" s="184"/>
      <c r="F293" s="185"/>
      <c r="G293" s="159"/>
      <c r="H293" s="161"/>
      <c r="I293" s="154"/>
      <c r="J293" s="161"/>
      <c r="K293" s="75">
        <f t="shared" si="38"/>
        <v>0</v>
      </c>
      <c r="L293" s="76">
        <f t="shared" si="39"/>
        <v>0</v>
      </c>
      <c r="M293" s="75">
        <f t="shared" si="40"/>
        <v>0</v>
      </c>
      <c r="N293" s="75">
        <f t="shared" si="41"/>
        <v>0</v>
      </c>
      <c r="O293" s="75">
        <f t="shared" si="42"/>
        <v>0</v>
      </c>
      <c r="P293" s="77">
        <f t="shared" si="43"/>
        <v>0</v>
      </c>
    </row>
    <row r="294" spans="1:16" s="61" customFormat="1" x14ac:dyDescent="0.2">
      <c r="A294" s="155">
        <v>0</v>
      </c>
      <c r="B294" s="281"/>
      <c r="C294" s="197" t="s">
        <v>168</v>
      </c>
      <c r="D294" s="179"/>
      <c r="E294" s="184"/>
      <c r="F294" s="185"/>
      <c r="G294" s="159"/>
      <c r="H294" s="161"/>
      <c r="I294" s="154"/>
      <c r="J294" s="161"/>
      <c r="K294" s="75">
        <f t="shared" si="38"/>
        <v>0</v>
      </c>
      <c r="L294" s="76">
        <f t="shared" si="39"/>
        <v>0</v>
      </c>
      <c r="M294" s="75">
        <f t="shared" si="40"/>
        <v>0</v>
      </c>
      <c r="N294" s="75">
        <f t="shared" si="41"/>
        <v>0</v>
      </c>
      <c r="O294" s="75">
        <f t="shared" si="42"/>
        <v>0</v>
      </c>
      <c r="P294" s="77">
        <f t="shared" si="43"/>
        <v>0</v>
      </c>
    </row>
    <row r="295" spans="1:16" s="61" customFormat="1" ht="25.5" x14ac:dyDescent="0.2">
      <c r="A295" s="155">
        <v>123</v>
      </c>
      <c r="B295" s="281"/>
      <c r="C295" s="468" t="s">
        <v>169</v>
      </c>
      <c r="D295" s="182" t="s">
        <v>115</v>
      </c>
      <c r="E295" s="164">
        <v>3.3</v>
      </c>
      <c r="F295" s="163"/>
      <c r="G295" s="159"/>
      <c r="H295" s="161"/>
      <c r="I295" s="161"/>
      <c r="J295" s="162"/>
      <c r="K295" s="75">
        <f t="shared" si="38"/>
        <v>0</v>
      </c>
      <c r="L295" s="76">
        <f t="shared" si="39"/>
        <v>0</v>
      </c>
      <c r="M295" s="75">
        <f t="shared" si="40"/>
        <v>0</v>
      </c>
      <c r="N295" s="75">
        <f t="shared" si="41"/>
        <v>0</v>
      </c>
      <c r="O295" s="75">
        <f t="shared" si="42"/>
        <v>0</v>
      </c>
      <c r="P295" s="77">
        <f t="shared" si="43"/>
        <v>0</v>
      </c>
    </row>
    <row r="296" spans="1:16" s="61" customFormat="1" ht="25.5" x14ac:dyDescent="0.2">
      <c r="A296" s="155">
        <v>124</v>
      </c>
      <c r="B296" s="281"/>
      <c r="C296" s="176" t="s">
        <v>127</v>
      </c>
      <c r="D296" s="465" t="s">
        <v>83</v>
      </c>
      <c r="E296" s="172">
        <v>6</v>
      </c>
      <c r="F296" s="161"/>
      <c r="G296" s="159"/>
      <c r="H296" s="161"/>
      <c r="I296" s="161"/>
      <c r="J296" s="161"/>
      <c r="K296" s="75">
        <f t="shared" si="38"/>
        <v>0</v>
      </c>
      <c r="L296" s="76">
        <f t="shared" si="39"/>
        <v>0</v>
      </c>
      <c r="M296" s="75">
        <f t="shared" si="40"/>
        <v>0</v>
      </c>
      <c r="N296" s="75">
        <f t="shared" si="41"/>
        <v>0</v>
      </c>
      <c r="O296" s="75">
        <f t="shared" si="42"/>
        <v>0</v>
      </c>
      <c r="P296" s="77">
        <f t="shared" si="43"/>
        <v>0</v>
      </c>
    </row>
    <row r="297" spans="1:16" s="61" customFormat="1" ht="25.5" x14ac:dyDescent="0.2">
      <c r="A297" s="155">
        <v>125</v>
      </c>
      <c r="B297" s="281"/>
      <c r="C297" s="466" t="s">
        <v>162</v>
      </c>
      <c r="D297" s="182" t="s">
        <v>78</v>
      </c>
      <c r="E297" s="164">
        <v>1.05</v>
      </c>
      <c r="F297" s="161"/>
      <c r="G297" s="159"/>
      <c r="H297" s="161"/>
      <c r="I297" s="161"/>
      <c r="J297" s="161"/>
      <c r="K297" s="75">
        <f t="shared" si="38"/>
        <v>0</v>
      </c>
      <c r="L297" s="76">
        <f t="shared" si="39"/>
        <v>0</v>
      </c>
      <c r="M297" s="75">
        <f t="shared" si="40"/>
        <v>0</v>
      </c>
      <c r="N297" s="75">
        <f t="shared" si="41"/>
        <v>0</v>
      </c>
      <c r="O297" s="75">
        <f t="shared" si="42"/>
        <v>0</v>
      </c>
      <c r="P297" s="77">
        <f t="shared" si="43"/>
        <v>0</v>
      </c>
    </row>
    <row r="298" spans="1:16" s="61" customFormat="1" ht="25.5" x14ac:dyDescent="0.2">
      <c r="A298" s="155">
        <v>126</v>
      </c>
      <c r="B298" s="281"/>
      <c r="C298" s="176" t="s">
        <v>164</v>
      </c>
      <c r="D298" s="179" t="s">
        <v>78</v>
      </c>
      <c r="E298" s="164">
        <v>0.44</v>
      </c>
      <c r="F298" s="159"/>
      <c r="G298" s="159"/>
      <c r="H298" s="161"/>
      <c r="I298" s="161"/>
      <c r="J298" s="161"/>
      <c r="K298" s="75">
        <f t="shared" si="38"/>
        <v>0</v>
      </c>
      <c r="L298" s="76">
        <f t="shared" si="39"/>
        <v>0</v>
      </c>
      <c r="M298" s="75">
        <f t="shared" si="40"/>
        <v>0</v>
      </c>
      <c r="N298" s="75">
        <f t="shared" si="41"/>
        <v>0</v>
      </c>
      <c r="O298" s="75">
        <f t="shared" si="42"/>
        <v>0</v>
      </c>
      <c r="P298" s="77">
        <f t="shared" si="43"/>
        <v>0</v>
      </c>
    </row>
    <row r="299" spans="1:16" s="61" customFormat="1" x14ac:dyDescent="0.2">
      <c r="A299" s="155">
        <v>0</v>
      </c>
      <c r="B299" s="281"/>
      <c r="C299" s="183" t="s">
        <v>160</v>
      </c>
      <c r="D299" s="179" t="s">
        <v>78</v>
      </c>
      <c r="E299" s="184">
        <f>E298*1.05</f>
        <v>0.46200000000000002</v>
      </c>
      <c r="F299" s="185"/>
      <c r="G299" s="159"/>
      <c r="H299" s="161"/>
      <c r="I299" s="161"/>
      <c r="J299" s="161"/>
      <c r="K299" s="75">
        <f t="shared" si="38"/>
        <v>0</v>
      </c>
      <c r="L299" s="76">
        <f t="shared" si="39"/>
        <v>0</v>
      </c>
      <c r="M299" s="75">
        <f t="shared" si="40"/>
        <v>0</v>
      </c>
      <c r="N299" s="75">
        <f t="shared" si="41"/>
        <v>0</v>
      </c>
      <c r="O299" s="75">
        <f t="shared" si="42"/>
        <v>0</v>
      </c>
      <c r="P299" s="77">
        <f t="shared" si="43"/>
        <v>0</v>
      </c>
    </row>
    <row r="300" spans="1:16" s="61" customFormat="1" x14ac:dyDescent="0.2">
      <c r="A300" s="155">
        <v>0</v>
      </c>
      <c r="B300" s="281"/>
      <c r="C300" s="183" t="s">
        <v>136</v>
      </c>
      <c r="D300" s="179" t="s">
        <v>137</v>
      </c>
      <c r="E300" s="184">
        <f>E298*0.25</f>
        <v>0.11</v>
      </c>
      <c r="F300" s="185"/>
      <c r="G300" s="159"/>
      <c r="H300" s="161"/>
      <c r="I300" s="154"/>
      <c r="J300" s="161"/>
      <c r="K300" s="75">
        <f t="shared" si="38"/>
        <v>0</v>
      </c>
      <c r="L300" s="76">
        <f t="shared" si="39"/>
        <v>0</v>
      </c>
      <c r="M300" s="75">
        <f t="shared" si="40"/>
        <v>0</v>
      </c>
      <c r="N300" s="75">
        <f t="shared" si="41"/>
        <v>0</v>
      </c>
      <c r="O300" s="75">
        <f t="shared" si="42"/>
        <v>0</v>
      </c>
      <c r="P300" s="77">
        <f t="shared" si="43"/>
        <v>0</v>
      </c>
    </row>
    <row r="301" spans="1:16" s="61" customFormat="1" ht="25.5" x14ac:dyDescent="0.2">
      <c r="A301" s="155">
        <v>127</v>
      </c>
      <c r="B301" s="281"/>
      <c r="C301" s="176" t="s">
        <v>170</v>
      </c>
      <c r="D301" s="179" t="s">
        <v>78</v>
      </c>
      <c r="E301" s="164">
        <v>0.92</v>
      </c>
      <c r="F301" s="159"/>
      <c r="G301" s="159"/>
      <c r="H301" s="161"/>
      <c r="I301" s="161"/>
      <c r="J301" s="161"/>
      <c r="K301" s="75">
        <f t="shared" si="38"/>
        <v>0</v>
      </c>
      <c r="L301" s="76">
        <f t="shared" si="39"/>
        <v>0</v>
      </c>
      <c r="M301" s="75">
        <f t="shared" si="40"/>
        <v>0</v>
      </c>
      <c r="N301" s="75">
        <f t="shared" si="41"/>
        <v>0</v>
      </c>
      <c r="O301" s="75">
        <f t="shared" si="42"/>
        <v>0</v>
      </c>
      <c r="P301" s="77">
        <f t="shared" si="43"/>
        <v>0</v>
      </c>
    </row>
    <row r="302" spans="1:16" s="61" customFormat="1" x14ac:dyDescent="0.2">
      <c r="A302" s="155">
        <v>0</v>
      </c>
      <c r="B302" s="281"/>
      <c r="C302" s="183" t="s">
        <v>171</v>
      </c>
      <c r="D302" s="179" t="s">
        <v>78</v>
      </c>
      <c r="E302" s="184">
        <f>E301*1.05</f>
        <v>0.96600000000000008</v>
      </c>
      <c r="F302" s="185"/>
      <c r="G302" s="159"/>
      <c r="H302" s="161"/>
      <c r="I302" s="161"/>
      <c r="J302" s="161"/>
      <c r="K302" s="75">
        <f t="shared" si="38"/>
        <v>0</v>
      </c>
      <c r="L302" s="76">
        <f t="shared" si="39"/>
        <v>0</v>
      </c>
      <c r="M302" s="75">
        <f t="shared" si="40"/>
        <v>0</v>
      </c>
      <c r="N302" s="75">
        <f t="shared" si="41"/>
        <v>0</v>
      </c>
      <c r="O302" s="75">
        <f t="shared" si="42"/>
        <v>0</v>
      </c>
      <c r="P302" s="77">
        <f t="shared" si="43"/>
        <v>0</v>
      </c>
    </row>
    <row r="303" spans="1:16" s="61" customFormat="1" x14ac:dyDescent="0.2">
      <c r="A303" s="155">
        <v>0</v>
      </c>
      <c r="B303" s="281"/>
      <c r="C303" s="183" t="s">
        <v>136</v>
      </c>
      <c r="D303" s="179" t="s">
        <v>137</v>
      </c>
      <c r="E303" s="184">
        <f>E301*0.25</f>
        <v>0.23</v>
      </c>
      <c r="F303" s="185"/>
      <c r="G303" s="159"/>
      <c r="H303" s="161"/>
      <c r="I303" s="154"/>
      <c r="J303" s="161"/>
      <c r="K303" s="75">
        <f t="shared" si="38"/>
        <v>0</v>
      </c>
      <c r="L303" s="76">
        <f t="shared" si="39"/>
        <v>0</v>
      </c>
      <c r="M303" s="75">
        <f t="shared" si="40"/>
        <v>0</v>
      </c>
      <c r="N303" s="75">
        <f t="shared" si="41"/>
        <v>0</v>
      </c>
      <c r="O303" s="75">
        <f t="shared" si="42"/>
        <v>0</v>
      </c>
      <c r="P303" s="77">
        <f t="shared" si="43"/>
        <v>0</v>
      </c>
    </row>
    <row r="304" spans="1:16" s="61" customFormat="1" x14ac:dyDescent="0.2">
      <c r="A304" s="155">
        <v>0</v>
      </c>
      <c r="B304" s="281"/>
      <c r="C304" s="183"/>
      <c r="D304" s="179"/>
      <c r="E304" s="184"/>
      <c r="F304" s="185"/>
      <c r="G304" s="159"/>
      <c r="H304" s="161"/>
      <c r="I304" s="154"/>
      <c r="J304" s="161"/>
      <c r="K304" s="75">
        <f t="shared" si="38"/>
        <v>0</v>
      </c>
      <c r="L304" s="76">
        <f t="shared" si="39"/>
        <v>0</v>
      </c>
      <c r="M304" s="75">
        <f t="shared" si="40"/>
        <v>0</v>
      </c>
      <c r="N304" s="75">
        <f t="shared" si="41"/>
        <v>0</v>
      </c>
      <c r="O304" s="75">
        <f t="shared" si="42"/>
        <v>0</v>
      </c>
      <c r="P304" s="77">
        <f t="shared" si="43"/>
        <v>0</v>
      </c>
    </row>
    <row r="305" spans="1:16" s="61" customFormat="1" x14ac:dyDescent="0.2">
      <c r="A305" s="155">
        <v>0</v>
      </c>
      <c r="B305" s="281"/>
      <c r="C305" s="197" t="s">
        <v>172</v>
      </c>
      <c r="D305" s="179"/>
      <c r="E305" s="184"/>
      <c r="F305" s="185"/>
      <c r="G305" s="159"/>
      <c r="H305" s="161"/>
      <c r="I305" s="154"/>
      <c r="J305" s="161"/>
      <c r="K305" s="75">
        <f t="shared" si="38"/>
        <v>0</v>
      </c>
      <c r="L305" s="76">
        <f t="shared" si="39"/>
        <v>0</v>
      </c>
      <c r="M305" s="75">
        <f t="shared" si="40"/>
        <v>0</v>
      </c>
      <c r="N305" s="75">
        <f t="shared" si="41"/>
        <v>0</v>
      </c>
      <c r="O305" s="75">
        <f t="shared" si="42"/>
        <v>0</v>
      </c>
      <c r="P305" s="77">
        <f t="shared" si="43"/>
        <v>0</v>
      </c>
    </row>
    <row r="306" spans="1:16" s="61" customFormat="1" ht="25.5" x14ac:dyDescent="0.2">
      <c r="A306" s="155">
        <v>128</v>
      </c>
      <c r="B306" s="281"/>
      <c r="C306" s="468" t="s">
        <v>169</v>
      </c>
      <c r="D306" s="182" t="s">
        <v>115</v>
      </c>
      <c r="E306" s="164">
        <v>3.3</v>
      </c>
      <c r="F306" s="163"/>
      <c r="G306" s="159"/>
      <c r="H306" s="161"/>
      <c r="I306" s="161"/>
      <c r="J306" s="162"/>
      <c r="K306" s="75">
        <f t="shared" si="38"/>
        <v>0</v>
      </c>
      <c r="L306" s="76">
        <f t="shared" si="39"/>
        <v>0</v>
      </c>
      <c r="M306" s="75">
        <f t="shared" si="40"/>
        <v>0</v>
      </c>
      <c r="N306" s="75">
        <f t="shared" si="41"/>
        <v>0</v>
      </c>
      <c r="O306" s="75">
        <f t="shared" si="42"/>
        <v>0</v>
      </c>
      <c r="P306" s="77">
        <f t="shared" si="43"/>
        <v>0</v>
      </c>
    </row>
    <row r="307" spans="1:16" s="61" customFormat="1" ht="25.5" x14ac:dyDescent="0.2">
      <c r="A307" s="155">
        <v>129</v>
      </c>
      <c r="B307" s="281"/>
      <c r="C307" s="176" t="s">
        <v>127</v>
      </c>
      <c r="D307" s="465" t="s">
        <v>83</v>
      </c>
      <c r="E307" s="172">
        <v>7</v>
      </c>
      <c r="F307" s="161"/>
      <c r="G307" s="159"/>
      <c r="H307" s="161"/>
      <c r="I307" s="161"/>
      <c r="J307" s="161"/>
      <c r="K307" s="75">
        <f t="shared" si="38"/>
        <v>0</v>
      </c>
      <c r="L307" s="76">
        <f t="shared" si="39"/>
        <v>0</v>
      </c>
      <c r="M307" s="75">
        <f t="shared" si="40"/>
        <v>0</v>
      </c>
      <c r="N307" s="75">
        <f t="shared" si="41"/>
        <v>0</v>
      </c>
      <c r="O307" s="75">
        <f t="shared" si="42"/>
        <v>0</v>
      </c>
      <c r="P307" s="77">
        <f t="shared" si="43"/>
        <v>0</v>
      </c>
    </row>
    <row r="308" spans="1:16" s="61" customFormat="1" ht="25.5" x14ac:dyDescent="0.2">
      <c r="A308" s="155">
        <v>130</v>
      </c>
      <c r="B308" s="281"/>
      <c r="C308" s="466" t="s">
        <v>162</v>
      </c>
      <c r="D308" s="182" t="s">
        <v>78</v>
      </c>
      <c r="E308" s="164">
        <v>1.1000000000000001</v>
      </c>
      <c r="F308" s="161"/>
      <c r="G308" s="159"/>
      <c r="H308" s="161"/>
      <c r="I308" s="161"/>
      <c r="J308" s="161"/>
      <c r="K308" s="75">
        <f t="shared" si="38"/>
        <v>0</v>
      </c>
      <c r="L308" s="76">
        <f t="shared" si="39"/>
        <v>0</v>
      </c>
      <c r="M308" s="75">
        <f t="shared" si="40"/>
        <v>0</v>
      </c>
      <c r="N308" s="75">
        <f t="shared" si="41"/>
        <v>0</v>
      </c>
      <c r="O308" s="75">
        <f t="shared" si="42"/>
        <v>0</v>
      </c>
      <c r="P308" s="77">
        <f t="shared" si="43"/>
        <v>0</v>
      </c>
    </row>
    <row r="309" spans="1:16" s="61" customFormat="1" ht="25.5" x14ac:dyDescent="0.2">
      <c r="A309" s="155">
        <v>131</v>
      </c>
      <c r="B309" s="281"/>
      <c r="C309" s="176" t="s">
        <v>164</v>
      </c>
      <c r="D309" s="179" t="s">
        <v>78</v>
      </c>
      <c r="E309" s="164">
        <v>0.46</v>
      </c>
      <c r="F309" s="159"/>
      <c r="G309" s="159"/>
      <c r="H309" s="161"/>
      <c r="I309" s="161"/>
      <c r="J309" s="161"/>
      <c r="K309" s="75">
        <f t="shared" si="38"/>
        <v>0</v>
      </c>
      <c r="L309" s="76">
        <f t="shared" si="39"/>
        <v>0</v>
      </c>
      <c r="M309" s="75">
        <f t="shared" si="40"/>
        <v>0</v>
      </c>
      <c r="N309" s="75">
        <f t="shared" si="41"/>
        <v>0</v>
      </c>
      <c r="O309" s="75">
        <f t="shared" si="42"/>
        <v>0</v>
      </c>
      <c r="P309" s="77">
        <f t="shared" si="43"/>
        <v>0</v>
      </c>
    </row>
    <row r="310" spans="1:16" s="61" customFormat="1" x14ac:dyDescent="0.2">
      <c r="A310" s="155">
        <v>0</v>
      </c>
      <c r="B310" s="281"/>
      <c r="C310" s="183" t="s">
        <v>160</v>
      </c>
      <c r="D310" s="179" t="s">
        <v>78</v>
      </c>
      <c r="E310" s="184">
        <f>E309*1.05</f>
        <v>0.48300000000000004</v>
      </c>
      <c r="F310" s="185"/>
      <c r="G310" s="159"/>
      <c r="H310" s="161"/>
      <c r="I310" s="161"/>
      <c r="J310" s="161"/>
      <c r="K310" s="75">
        <f t="shared" si="38"/>
        <v>0</v>
      </c>
      <c r="L310" s="76">
        <f t="shared" si="39"/>
        <v>0</v>
      </c>
      <c r="M310" s="75">
        <f t="shared" si="40"/>
        <v>0</v>
      </c>
      <c r="N310" s="75">
        <f t="shared" si="41"/>
        <v>0</v>
      </c>
      <c r="O310" s="75">
        <f t="shared" si="42"/>
        <v>0</v>
      </c>
      <c r="P310" s="77">
        <f t="shared" si="43"/>
        <v>0</v>
      </c>
    </row>
    <row r="311" spans="1:16" s="61" customFormat="1" x14ac:dyDescent="0.2">
      <c r="A311" s="155">
        <v>0</v>
      </c>
      <c r="B311" s="281"/>
      <c r="C311" s="183" t="s">
        <v>136</v>
      </c>
      <c r="D311" s="179" t="s">
        <v>137</v>
      </c>
      <c r="E311" s="184">
        <f>E309*0.25</f>
        <v>0.115</v>
      </c>
      <c r="F311" s="185"/>
      <c r="G311" s="159"/>
      <c r="H311" s="161"/>
      <c r="I311" s="154"/>
      <c r="J311" s="161"/>
      <c r="K311" s="75">
        <f t="shared" si="38"/>
        <v>0</v>
      </c>
      <c r="L311" s="76">
        <f t="shared" si="39"/>
        <v>0</v>
      </c>
      <c r="M311" s="75">
        <f t="shared" si="40"/>
        <v>0</v>
      </c>
      <c r="N311" s="75">
        <f t="shared" si="41"/>
        <v>0</v>
      </c>
      <c r="O311" s="75">
        <f t="shared" si="42"/>
        <v>0</v>
      </c>
      <c r="P311" s="77">
        <f t="shared" si="43"/>
        <v>0</v>
      </c>
    </row>
    <row r="312" spans="1:16" s="61" customFormat="1" ht="25.5" x14ac:dyDescent="0.2">
      <c r="A312" s="155">
        <v>132</v>
      </c>
      <c r="B312" s="281"/>
      <c r="C312" s="176" t="s">
        <v>170</v>
      </c>
      <c r="D312" s="179" t="s">
        <v>78</v>
      </c>
      <c r="E312" s="164">
        <v>1.42</v>
      </c>
      <c r="F312" s="159"/>
      <c r="G312" s="159"/>
      <c r="H312" s="161"/>
      <c r="I312" s="161"/>
      <c r="J312" s="161"/>
      <c r="K312" s="75">
        <f t="shared" si="38"/>
        <v>0</v>
      </c>
      <c r="L312" s="76">
        <f t="shared" si="39"/>
        <v>0</v>
      </c>
      <c r="M312" s="75">
        <f t="shared" si="40"/>
        <v>0</v>
      </c>
      <c r="N312" s="75">
        <f t="shared" si="41"/>
        <v>0</v>
      </c>
      <c r="O312" s="75">
        <f t="shared" si="42"/>
        <v>0</v>
      </c>
      <c r="P312" s="77">
        <f t="shared" si="43"/>
        <v>0</v>
      </c>
    </row>
    <row r="313" spans="1:16" s="61" customFormat="1" x14ac:dyDescent="0.2">
      <c r="A313" s="155">
        <v>0</v>
      </c>
      <c r="B313" s="281"/>
      <c r="C313" s="183" t="s">
        <v>171</v>
      </c>
      <c r="D313" s="179" t="s">
        <v>78</v>
      </c>
      <c r="E313" s="184">
        <f>E312*1.05</f>
        <v>1.4909999999999999</v>
      </c>
      <c r="F313" s="185"/>
      <c r="G313" s="159"/>
      <c r="H313" s="161"/>
      <c r="I313" s="161"/>
      <c r="J313" s="161"/>
      <c r="K313" s="75">
        <f t="shared" si="38"/>
        <v>0</v>
      </c>
      <c r="L313" s="76">
        <f t="shared" si="39"/>
        <v>0</v>
      </c>
      <c r="M313" s="75">
        <f t="shared" si="40"/>
        <v>0</v>
      </c>
      <c r="N313" s="75">
        <f t="shared" si="41"/>
        <v>0</v>
      </c>
      <c r="O313" s="75">
        <f t="shared" si="42"/>
        <v>0</v>
      </c>
      <c r="P313" s="77">
        <f t="shared" si="43"/>
        <v>0</v>
      </c>
    </row>
    <row r="314" spans="1:16" s="61" customFormat="1" x14ac:dyDescent="0.2">
      <c r="A314" s="155">
        <v>0</v>
      </c>
      <c r="B314" s="281"/>
      <c r="C314" s="183" t="s">
        <v>136</v>
      </c>
      <c r="D314" s="179" t="s">
        <v>137</v>
      </c>
      <c r="E314" s="184">
        <f>E312*0.25</f>
        <v>0.35499999999999998</v>
      </c>
      <c r="F314" s="185"/>
      <c r="G314" s="159"/>
      <c r="H314" s="161"/>
      <c r="I314" s="154"/>
      <c r="J314" s="161"/>
      <c r="K314" s="75">
        <f t="shared" si="38"/>
        <v>0</v>
      </c>
      <c r="L314" s="76">
        <f t="shared" si="39"/>
        <v>0</v>
      </c>
      <c r="M314" s="75">
        <f t="shared" si="40"/>
        <v>0</v>
      </c>
      <c r="N314" s="75">
        <f t="shared" si="41"/>
        <v>0</v>
      </c>
      <c r="O314" s="75">
        <f t="shared" si="42"/>
        <v>0</v>
      </c>
      <c r="P314" s="77">
        <f t="shared" si="43"/>
        <v>0</v>
      </c>
    </row>
    <row r="315" spans="1:16" s="61" customFormat="1" x14ac:dyDescent="0.2">
      <c r="A315" s="155">
        <v>0</v>
      </c>
      <c r="B315" s="281"/>
      <c r="C315" s="183"/>
      <c r="D315" s="179"/>
      <c r="E315" s="184"/>
      <c r="F315" s="185"/>
      <c r="G315" s="159"/>
      <c r="H315" s="161"/>
      <c r="I315" s="154"/>
      <c r="J315" s="161"/>
      <c r="K315" s="75">
        <f t="shared" si="38"/>
        <v>0</v>
      </c>
      <c r="L315" s="76">
        <f t="shared" si="39"/>
        <v>0</v>
      </c>
      <c r="M315" s="75">
        <f t="shared" si="40"/>
        <v>0</v>
      </c>
      <c r="N315" s="75">
        <f t="shared" si="41"/>
        <v>0</v>
      </c>
      <c r="O315" s="75">
        <f t="shared" si="42"/>
        <v>0</v>
      </c>
      <c r="P315" s="77">
        <f t="shared" si="43"/>
        <v>0</v>
      </c>
    </row>
    <row r="316" spans="1:16" s="61" customFormat="1" ht="31.5" x14ac:dyDescent="0.2">
      <c r="A316" s="143">
        <v>0</v>
      </c>
      <c r="B316" s="462"/>
      <c r="C316" s="375" t="s">
        <v>173</v>
      </c>
      <c r="D316" s="463"/>
      <c r="E316" s="147"/>
      <c r="F316" s="148"/>
      <c r="G316" s="148"/>
      <c r="H316" s="149"/>
      <c r="I316" s="149"/>
      <c r="J316" s="149"/>
      <c r="K316" s="75">
        <f t="shared" si="38"/>
        <v>0</v>
      </c>
      <c r="L316" s="76">
        <f t="shared" si="39"/>
        <v>0</v>
      </c>
      <c r="M316" s="75">
        <f t="shared" si="40"/>
        <v>0</v>
      </c>
      <c r="N316" s="75">
        <f t="shared" si="41"/>
        <v>0</v>
      </c>
      <c r="O316" s="75">
        <f t="shared" si="42"/>
        <v>0</v>
      </c>
      <c r="P316" s="77">
        <f t="shared" si="43"/>
        <v>0</v>
      </c>
    </row>
    <row r="317" spans="1:16" s="61" customFormat="1" x14ac:dyDescent="0.2">
      <c r="A317" s="155">
        <v>0</v>
      </c>
      <c r="B317" s="281"/>
      <c r="C317" s="170" t="s">
        <v>103</v>
      </c>
      <c r="D317" s="171"/>
      <c r="E317" s="172"/>
      <c r="F317" s="161"/>
      <c r="G317" s="159"/>
      <c r="H317" s="161"/>
      <c r="I317" s="161"/>
      <c r="J317" s="161"/>
      <c r="K317" s="75">
        <f t="shared" si="38"/>
        <v>0</v>
      </c>
      <c r="L317" s="76">
        <f t="shared" si="39"/>
        <v>0</v>
      </c>
      <c r="M317" s="75">
        <f t="shared" si="40"/>
        <v>0</v>
      </c>
      <c r="N317" s="75">
        <f t="shared" si="41"/>
        <v>0</v>
      </c>
      <c r="O317" s="75">
        <f t="shared" si="42"/>
        <v>0</v>
      </c>
      <c r="P317" s="77">
        <f t="shared" si="43"/>
        <v>0</v>
      </c>
    </row>
    <row r="318" spans="1:16" s="61" customFormat="1" x14ac:dyDescent="0.2">
      <c r="A318" s="155">
        <v>0</v>
      </c>
      <c r="B318" s="281"/>
      <c r="C318" s="464" t="s">
        <v>174</v>
      </c>
      <c r="D318" s="171"/>
      <c r="E318" s="172"/>
      <c r="F318" s="161"/>
      <c r="G318" s="159"/>
      <c r="H318" s="161"/>
      <c r="I318" s="161"/>
      <c r="J318" s="161"/>
      <c r="K318" s="75">
        <f t="shared" si="38"/>
        <v>0</v>
      </c>
      <c r="L318" s="76">
        <f t="shared" si="39"/>
        <v>0</v>
      </c>
      <c r="M318" s="75">
        <f t="shared" si="40"/>
        <v>0</v>
      </c>
      <c r="N318" s="75">
        <f t="shared" si="41"/>
        <v>0</v>
      </c>
      <c r="O318" s="75">
        <f t="shared" si="42"/>
        <v>0</v>
      </c>
      <c r="P318" s="77">
        <f t="shared" si="43"/>
        <v>0</v>
      </c>
    </row>
    <row r="319" spans="1:16" s="61" customFormat="1" ht="25.5" x14ac:dyDescent="0.2">
      <c r="A319" s="155">
        <v>133</v>
      </c>
      <c r="B319" s="281" t="s">
        <v>126</v>
      </c>
      <c r="C319" s="176" t="s">
        <v>127</v>
      </c>
      <c r="D319" s="465" t="s">
        <v>83</v>
      </c>
      <c r="E319" s="172">
        <v>2</v>
      </c>
      <c r="F319" s="161"/>
      <c r="G319" s="159"/>
      <c r="H319" s="161"/>
      <c r="I319" s="161"/>
      <c r="J319" s="161"/>
      <c r="K319" s="75">
        <f t="shared" si="38"/>
        <v>0</v>
      </c>
      <c r="L319" s="76">
        <f t="shared" si="39"/>
        <v>0</v>
      </c>
      <c r="M319" s="75">
        <f t="shared" si="40"/>
        <v>0</v>
      </c>
      <c r="N319" s="75">
        <f t="shared" si="41"/>
        <v>0</v>
      </c>
      <c r="O319" s="75">
        <f t="shared" si="42"/>
        <v>0</v>
      </c>
      <c r="P319" s="77">
        <f t="shared" si="43"/>
        <v>0</v>
      </c>
    </row>
    <row r="320" spans="1:16" s="61" customFormat="1" ht="25.5" x14ac:dyDescent="0.2">
      <c r="A320" s="155">
        <v>134</v>
      </c>
      <c r="B320" s="281" t="s">
        <v>126</v>
      </c>
      <c r="C320" s="176" t="s">
        <v>128</v>
      </c>
      <c r="D320" s="182" t="s">
        <v>83</v>
      </c>
      <c r="E320" s="164">
        <v>6</v>
      </c>
      <c r="F320" s="161"/>
      <c r="G320" s="159"/>
      <c r="H320" s="161"/>
      <c r="I320" s="161"/>
      <c r="J320" s="161"/>
      <c r="K320" s="75">
        <f t="shared" si="38"/>
        <v>0</v>
      </c>
      <c r="L320" s="76">
        <f t="shared" si="39"/>
        <v>0</v>
      </c>
      <c r="M320" s="75">
        <f t="shared" si="40"/>
        <v>0</v>
      </c>
      <c r="N320" s="75">
        <f t="shared" si="41"/>
        <v>0</v>
      </c>
      <c r="O320" s="75">
        <f t="shared" si="42"/>
        <v>0</v>
      </c>
      <c r="P320" s="77">
        <f t="shared" si="43"/>
        <v>0</v>
      </c>
    </row>
    <row r="321" spans="1:16" s="61" customFormat="1" ht="25.5" x14ac:dyDescent="0.2">
      <c r="A321" s="155">
        <v>135</v>
      </c>
      <c r="B321" s="281"/>
      <c r="C321" s="466" t="s">
        <v>129</v>
      </c>
      <c r="D321" s="182" t="s">
        <v>78</v>
      </c>
      <c r="E321" s="164">
        <f>1.3*1.3*0.1</f>
        <v>0.16900000000000004</v>
      </c>
      <c r="F321" s="161"/>
      <c r="G321" s="159"/>
      <c r="H321" s="161"/>
      <c r="I321" s="161"/>
      <c r="J321" s="161"/>
      <c r="K321" s="75">
        <f t="shared" si="38"/>
        <v>0</v>
      </c>
      <c r="L321" s="76">
        <f t="shared" si="39"/>
        <v>0</v>
      </c>
      <c r="M321" s="75">
        <f t="shared" si="40"/>
        <v>0</v>
      </c>
      <c r="N321" s="75">
        <f t="shared" si="41"/>
        <v>0</v>
      </c>
      <c r="O321" s="75">
        <f t="shared" si="42"/>
        <v>0</v>
      </c>
      <c r="P321" s="77">
        <f t="shared" si="43"/>
        <v>0</v>
      </c>
    </row>
    <row r="322" spans="1:16" s="61" customFormat="1" ht="76.5" x14ac:dyDescent="0.2">
      <c r="A322" s="155">
        <v>136</v>
      </c>
      <c r="B322" s="281" t="s">
        <v>126</v>
      </c>
      <c r="C322" s="176" t="s">
        <v>130</v>
      </c>
      <c r="D322" s="182" t="s">
        <v>131</v>
      </c>
      <c r="E322" s="164">
        <v>69.84</v>
      </c>
      <c r="F322" s="177"/>
      <c r="G322" s="159"/>
      <c r="H322" s="161"/>
      <c r="I322" s="161"/>
      <c r="J322" s="161"/>
      <c r="K322" s="75">
        <f t="shared" si="38"/>
        <v>0</v>
      </c>
      <c r="L322" s="76">
        <f t="shared" si="39"/>
        <v>0</v>
      </c>
      <c r="M322" s="75">
        <f t="shared" si="40"/>
        <v>0</v>
      </c>
      <c r="N322" s="75">
        <f t="shared" si="41"/>
        <v>0</v>
      </c>
      <c r="O322" s="75">
        <f t="shared" si="42"/>
        <v>0</v>
      </c>
      <c r="P322" s="77">
        <f t="shared" si="43"/>
        <v>0</v>
      </c>
    </row>
    <row r="323" spans="1:16" s="61" customFormat="1" x14ac:dyDescent="0.2">
      <c r="A323" s="155">
        <v>0</v>
      </c>
      <c r="B323" s="281"/>
      <c r="C323" s="178" t="s">
        <v>132</v>
      </c>
      <c r="D323" s="179" t="s">
        <v>131</v>
      </c>
      <c r="E323" s="180">
        <f>E322*1.15</f>
        <v>80.316000000000003</v>
      </c>
      <c r="F323" s="159"/>
      <c r="G323" s="159"/>
      <c r="H323" s="161"/>
      <c r="I323" s="161"/>
      <c r="J323" s="161"/>
      <c r="K323" s="75">
        <f t="shared" si="38"/>
        <v>0</v>
      </c>
      <c r="L323" s="76">
        <f t="shared" si="39"/>
        <v>0</v>
      </c>
      <c r="M323" s="75">
        <f t="shared" si="40"/>
        <v>0</v>
      </c>
      <c r="N323" s="75">
        <f t="shared" si="41"/>
        <v>0</v>
      </c>
      <c r="O323" s="75">
        <f t="shared" si="42"/>
        <v>0</v>
      </c>
      <c r="P323" s="77">
        <f t="shared" si="43"/>
        <v>0</v>
      </c>
    </row>
    <row r="324" spans="1:16" s="61" customFormat="1" x14ac:dyDescent="0.2">
      <c r="A324" s="155">
        <v>0</v>
      </c>
      <c r="B324" s="281"/>
      <c r="C324" s="178" t="s">
        <v>149</v>
      </c>
      <c r="D324" s="179" t="s">
        <v>59</v>
      </c>
      <c r="E324" s="180">
        <v>4</v>
      </c>
      <c r="F324" s="159"/>
      <c r="G324" s="159"/>
      <c r="H324" s="161"/>
      <c r="I324" s="161"/>
      <c r="J324" s="161"/>
      <c r="K324" s="75">
        <f t="shared" si="38"/>
        <v>0</v>
      </c>
      <c r="L324" s="76">
        <f t="shared" si="39"/>
        <v>0</v>
      </c>
      <c r="M324" s="75">
        <f t="shared" si="40"/>
        <v>0</v>
      </c>
      <c r="N324" s="75">
        <f t="shared" si="41"/>
        <v>0</v>
      </c>
      <c r="O324" s="75">
        <f t="shared" si="42"/>
        <v>0</v>
      </c>
      <c r="P324" s="77">
        <f t="shared" si="43"/>
        <v>0</v>
      </c>
    </row>
    <row r="325" spans="1:16" s="61" customFormat="1" ht="25.5" x14ac:dyDescent="0.2">
      <c r="A325" s="155">
        <v>0</v>
      </c>
      <c r="B325" s="281"/>
      <c r="C325" s="181" t="s">
        <v>133</v>
      </c>
      <c r="D325" s="182" t="s">
        <v>66</v>
      </c>
      <c r="E325" s="182">
        <v>1</v>
      </c>
      <c r="F325" s="159"/>
      <c r="G325" s="159"/>
      <c r="H325" s="161"/>
      <c r="I325" s="161"/>
      <c r="J325" s="161"/>
      <c r="K325" s="75">
        <f t="shared" si="38"/>
        <v>0</v>
      </c>
      <c r="L325" s="76">
        <f t="shared" si="39"/>
        <v>0</v>
      </c>
      <c r="M325" s="75">
        <f t="shared" si="40"/>
        <v>0</v>
      </c>
      <c r="N325" s="75">
        <f t="shared" si="41"/>
        <v>0</v>
      </c>
      <c r="O325" s="75">
        <f t="shared" si="42"/>
        <v>0</v>
      </c>
      <c r="P325" s="77">
        <f t="shared" si="43"/>
        <v>0</v>
      </c>
    </row>
    <row r="326" spans="1:16" s="61" customFormat="1" ht="25.5" x14ac:dyDescent="0.2">
      <c r="A326" s="155">
        <v>137</v>
      </c>
      <c r="B326" s="281" t="s">
        <v>126</v>
      </c>
      <c r="C326" s="176" t="s">
        <v>134</v>
      </c>
      <c r="D326" s="179" t="s">
        <v>78</v>
      </c>
      <c r="E326" s="164">
        <v>0.68</v>
      </c>
      <c r="F326" s="159"/>
      <c r="G326" s="159"/>
      <c r="H326" s="161"/>
      <c r="I326" s="161"/>
      <c r="J326" s="161"/>
      <c r="K326" s="75">
        <f t="shared" si="38"/>
        <v>0</v>
      </c>
      <c r="L326" s="76">
        <f t="shared" si="39"/>
        <v>0</v>
      </c>
      <c r="M326" s="75">
        <f t="shared" si="40"/>
        <v>0</v>
      </c>
      <c r="N326" s="75">
        <f t="shared" si="41"/>
        <v>0</v>
      </c>
      <c r="O326" s="75">
        <f t="shared" si="42"/>
        <v>0</v>
      </c>
      <c r="P326" s="77">
        <f t="shared" si="43"/>
        <v>0</v>
      </c>
    </row>
    <row r="327" spans="1:16" s="61" customFormat="1" x14ac:dyDescent="0.2">
      <c r="A327" s="155">
        <v>0</v>
      </c>
      <c r="B327" s="194"/>
      <c r="C327" s="183" t="s">
        <v>135</v>
      </c>
      <c r="D327" s="179" t="s">
        <v>78</v>
      </c>
      <c r="E327" s="184">
        <f>E326*1.05</f>
        <v>0.71400000000000008</v>
      </c>
      <c r="F327" s="185"/>
      <c r="G327" s="159"/>
      <c r="H327" s="161"/>
      <c r="I327" s="161"/>
      <c r="J327" s="161"/>
      <c r="K327" s="75">
        <f t="shared" ref="K327:K390" si="51">SUM(H327:J327)</f>
        <v>0</v>
      </c>
      <c r="L327" s="76">
        <f t="shared" ref="L327:L390" si="52">ROUND(F327*E327,2)</f>
        <v>0</v>
      </c>
      <c r="M327" s="75">
        <f t="shared" ref="M327:M390" si="53">ROUND(H327*E327,2)</f>
        <v>0</v>
      </c>
      <c r="N327" s="75">
        <f t="shared" ref="N327:N390" si="54">ROUND(I327*E327,2)</f>
        <v>0</v>
      </c>
      <c r="O327" s="75">
        <f t="shared" ref="O327:O390" si="55">ROUND(J327*E327,2)</f>
        <v>0</v>
      </c>
      <c r="P327" s="77">
        <f t="shared" ref="P327:P390" si="56">SUM(M327:O327)</f>
        <v>0</v>
      </c>
    </row>
    <row r="328" spans="1:16" s="61" customFormat="1" x14ac:dyDescent="0.2">
      <c r="A328" s="155">
        <v>0</v>
      </c>
      <c r="B328" s="194"/>
      <c r="C328" s="183" t="s">
        <v>136</v>
      </c>
      <c r="D328" s="179" t="s">
        <v>137</v>
      </c>
      <c r="E328" s="184">
        <f>E326*0.25</f>
        <v>0.17</v>
      </c>
      <c r="F328" s="185"/>
      <c r="G328" s="159"/>
      <c r="H328" s="161"/>
      <c r="I328" s="154"/>
      <c r="J328" s="161"/>
      <c r="K328" s="75">
        <f t="shared" si="51"/>
        <v>0</v>
      </c>
      <c r="L328" s="76">
        <f t="shared" si="52"/>
        <v>0</v>
      </c>
      <c r="M328" s="75">
        <f t="shared" si="53"/>
        <v>0</v>
      </c>
      <c r="N328" s="75">
        <f t="shared" si="54"/>
        <v>0</v>
      </c>
      <c r="O328" s="75">
        <f t="shared" si="55"/>
        <v>0</v>
      </c>
      <c r="P328" s="77">
        <f t="shared" si="56"/>
        <v>0</v>
      </c>
    </row>
    <row r="329" spans="1:16" s="61" customFormat="1" ht="25.5" x14ac:dyDescent="0.2">
      <c r="A329" s="155">
        <v>138</v>
      </c>
      <c r="B329" s="281" t="s">
        <v>126</v>
      </c>
      <c r="C329" s="176" t="s">
        <v>138</v>
      </c>
      <c r="D329" s="179" t="s">
        <v>78</v>
      </c>
      <c r="E329" s="164">
        <v>0.2</v>
      </c>
      <c r="F329" s="159"/>
      <c r="G329" s="159"/>
      <c r="H329" s="161"/>
      <c r="I329" s="161"/>
      <c r="J329" s="161"/>
      <c r="K329" s="75">
        <f t="shared" si="51"/>
        <v>0</v>
      </c>
      <c r="L329" s="76">
        <f t="shared" si="52"/>
        <v>0</v>
      </c>
      <c r="M329" s="75">
        <f t="shared" si="53"/>
        <v>0</v>
      </c>
      <c r="N329" s="75">
        <f t="shared" si="54"/>
        <v>0</v>
      </c>
      <c r="O329" s="75">
        <f t="shared" si="55"/>
        <v>0</v>
      </c>
      <c r="P329" s="77">
        <f t="shared" si="56"/>
        <v>0</v>
      </c>
    </row>
    <row r="330" spans="1:16" s="61" customFormat="1" x14ac:dyDescent="0.2">
      <c r="A330" s="155">
        <v>0</v>
      </c>
      <c r="B330" s="194"/>
      <c r="C330" s="183" t="s">
        <v>139</v>
      </c>
      <c r="D330" s="179" t="s">
        <v>78</v>
      </c>
      <c r="E330" s="184">
        <f>E329*1.05</f>
        <v>0.21000000000000002</v>
      </c>
      <c r="F330" s="185"/>
      <c r="G330" s="159"/>
      <c r="H330" s="161"/>
      <c r="I330" s="161"/>
      <c r="J330" s="161"/>
      <c r="K330" s="75">
        <f t="shared" si="51"/>
        <v>0</v>
      </c>
      <c r="L330" s="76">
        <f t="shared" si="52"/>
        <v>0</v>
      </c>
      <c r="M330" s="75">
        <f t="shared" si="53"/>
        <v>0</v>
      </c>
      <c r="N330" s="75">
        <f t="shared" si="54"/>
        <v>0</v>
      </c>
      <c r="O330" s="75">
        <f t="shared" si="55"/>
        <v>0</v>
      </c>
      <c r="P330" s="77">
        <f t="shared" si="56"/>
        <v>0</v>
      </c>
    </row>
    <row r="331" spans="1:16" s="61" customFormat="1" x14ac:dyDescent="0.2">
      <c r="A331" s="155">
        <v>0</v>
      </c>
      <c r="B331" s="194"/>
      <c r="C331" s="183" t="s">
        <v>136</v>
      </c>
      <c r="D331" s="179" t="s">
        <v>137</v>
      </c>
      <c r="E331" s="184">
        <f>E329*0.25</f>
        <v>0.05</v>
      </c>
      <c r="F331" s="185"/>
      <c r="G331" s="159"/>
      <c r="H331" s="161"/>
      <c r="I331" s="154"/>
      <c r="J331" s="161"/>
      <c r="K331" s="75">
        <f t="shared" si="51"/>
        <v>0</v>
      </c>
      <c r="L331" s="76">
        <f t="shared" si="52"/>
        <v>0</v>
      </c>
      <c r="M331" s="75">
        <f t="shared" si="53"/>
        <v>0</v>
      </c>
      <c r="N331" s="75">
        <f t="shared" si="54"/>
        <v>0</v>
      </c>
      <c r="O331" s="75">
        <f t="shared" si="55"/>
        <v>0</v>
      </c>
      <c r="P331" s="77">
        <f t="shared" si="56"/>
        <v>0</v>
      </c>
    </row>
    <row r="332" spans="1:16" s="61" customFormat="1" ht="25.5" x14ac:dyDescent="0.2">
      <c r="A332" s="155">
        <v>139</v>
      </c>
      <c r="B332" s="281" t="s">
        <v>126</v>
      </c>
      <c r="C332" s="186" t="s">
        <v>140</v>
      </c>
      <c r="D332" s="182" t="s">
        <v>59</v>
      </c>
      <c r="E332" s="182">
        <v>1</v>
      </c>
      <c r="F332" s="159"/>
      <c r="G332" s="159"/>
      <c r="H332" s="161"/>
      <c r="I332" s="161"/>
      <c r="J332" s="161"/>
      <c r="K332" s="75">
        <f t="shared" si="51"/>
        <v>0</v>
      </c>
      <c r="L332" s="76">
        <f t="shared" si="52"/>
        <v>0</v>
      </c>
      <c r="M332" s="75">
        <f t="shared" si="53"/>
        <v>0</v>
      </c>
      <c r="N332" s="75">
        <f t="shared" si="54"/>
        <v>0</v>
      </c>
      <c r="O332" s="75">
        <f t="shared" si="55"/>
        <v>0</v>
      </c>
      <c r="P332" s="77">
        <f t="shared" si="56"/>
        <v>0</v>
      </c>
    </row>
    <row r="333" spans="1:16" s="61" customFormat="1" x14ac:dyDescent="0.2">
      <c r="A333" s="155">
        <v>0</v>
      </c>
      <c r="B333" s="281"/>
      <c r="C333" s="464" t="s">
        <v>175</v>
      </c>
      <c r="D333" s="182"/>
      <c r="E333" s="164"/>
      <c r="F333" s="159"/>
      <c r="G333" s="159"/>
      <c r="H333" s="161"/>
      <c r="I333" s="161"/>
      <c r="J333" s="161"/>
      <c r="K333" s="75">
        <f t="shared" si="51"/>
        <v>0</v>
      </c>
      <c r="L333" s="76">
        <f t="shared" si="52"/>
        <v>0</v>
      </c>
      <c r="M333" s="75">
        <f t="shared" si="53"/>
        <v>0</v>
      </c>
      <c r="N333" s="75">
        <f t="shared" si="54"/>
        <v>0</v>
      </c>
      <c r="O333" s="75">
        <f t="shared" si="55"/>
        <v>0</v>
      </c>
      <c r="P333" s="77">
        <f t="shared" si="56"/>
        <v>0</v>
      </c>
    </row>
    <row r="334" spans="1:16" s="61" customFormat="1" ht="25.5" x14ac:dyDescent="0.2">
      <c r="A334" s="155">
        <v>140</v>
      </c>
      <c r="B334" s="281" t="s">
        <v>126</v>
      </c>
      <c r="C334" s="176" t="s">
        <v>127</v>
      </c>
      <c r="D334" s="465" t="s">
        <v>83</v>
      </c>
      <c r="E334" s="172">
        <v>2</v>
      </c>
      <c r="F334" s="161"/>
      <c r="G334" s="159"/>
      <c r="H334" s="161"/>
      <c r="I334" s="161"/>
      <c r="J334" s="161"/>
      <c r="K334" s="75">
        <f t="shared" si="51"/>
        <v>0</v>
      </c>
      <c r="L334" s="76">
        <f t="shared" si="52"/>
        <v>0</v>
      </c>
      <c r="M334" s="75">
        <f t="shared" si="53"/>
        <v>0</v>
      </c>
      <c r="N334" s="75">
        <f t="shared" si="54"/>
        <v>0</v>
      </c>
      <c r="O334" s="75">
        <f t="shared" si="55"/>
        <v>0</v>
      </c>
      <c r="P334" s="77">
        <f t="shared" si="56"/>
        <v>0</v>
      </c>
    </row>
    <row r="335" spans="1:16" s="61" customFormat="1" ht="25.5" x14ac:dyDescent="0.2">
      <c r="A335" s="155">
        <v>141</v>
      </c>
      <c r="B335" s="281" t="s">
        <v>126</v>
      </c>
      <c r="C335" s="176" t="s">
        <v>128</v>
      </c>
      <c r="D335" s="182" t="s">
        <v>83</v>
      </c>
      <c r="E335" s="164">
        <v>6</v>
      </c>
      <c r="F335" s="161"/>
      <c r="G335" s="159"/>
      <c r="H335" s="161"/>
      <c r="I335" s="161"/>
      <c r="J335" s="161"/>
      <c r="K335" s="75">
        <f t="shared" si="51"/>
        <v>0</v>
      </c>
      <c r="L335" s="76">
        <f t="shared" si="52"/>
        <v>0</v>
      </c>
      <c r="M335" s="75">
        <f t="shared" si="53"/>
        <v>0</v>
      </c>
      <c r="N335" s="75">
        <f t="shared" si="54"/>
        <v>0</v>
      </c>
      <c r="O335" s="75">
        <f t="shared" si="55"/>
        <v>0</v>
      </c>
      <c r="P335" s="77">
        <f t="shared" si="56"/>
        <v>0</v>
      </c>
    </row>
    <row r="336" spans="1:16" s="61" customFormat="1" ht="25.5" x14ac:dyDescent="0.2">
      <c r="A336" s="155">
        <v>142</v>
      </c>
      <c r="B336" s="281"/>
      <c r="C336" s="466" t="s">
        <v>129</v>
      </c>
      <c r="D336" s="182" t="s">
        <v>78</v>
      </c>
      <c r="E336" s="164">
        <f>1.3*1.3*0.1</f>
        <v>0.16900000000000004</v>
      </c>
      <c r="F336" s="161"/>
      <c r="G336" s="159"/>
      <c r="H336" s="161"/>
      <c r="I336" s="161"/>
      <c r="J336" s="161"/>
      <c r="K336" s="75">
        <f t="shared" si="51"/>
        <v>0</v>
      </c>
      <c r="L336" s="76">
        <f t="shared" si="52"/>
        <v>0</v>
      </c>
      <c r="M336" s="75">
        <f t="shared" si="53"/>
        <v>0</v>
      </c>
      <c r="N336" s="75">
        <f t="shared" si="54"/>
        <v>0</v>
      </c>
      <c r="O336" s="75">
        <f t="shared" si="55"/>
        <v>0</v>
      </c>
      <c r="P336" s="77">
        <f t="shared" si="56"/>
        <v>0</v>
      </c>
    </row>
    <row r="337" spans="1:16" s="61" customFormat="1" ht="76.5" x14ac:dyDescent="0.2">
      <c r="A337" s="155">
        <v>143</v>
      </c>
      <c r="B337" s="281" t="s">
        <v>126</v>
      </c>
      <c r="C337" s="176" t="s">
        <v>130</v>
      </c>
      <c r="D337" s="182" t="s">
        <v>131</v>
      </c>
      <c r="E337" s="164">
        <v>58.2</v>
      </c>
      <c r="F337" s="177"/>
      <c r="G337" s="159"/>
      <c r="H337" s="161"/>
      <c r="I337" s="161"/>
      <c r="J337" s="161"/>
      <c r="K337" s="75">
        <f t="shared" si="51"/>
        <v>0</v>
      </c>
      <c r="L337" s="76">
        <f t="shared" si="52"/>
        <v>0</v>
      </c>
      <c r="M337" s="75">
        <f t="shared" si="53"/>
        <v>0</v>
      </c>
      <c r="N337" s="75">
        <f t="shared" si="54"/>
        <v>0</v>
      </c>
      <c r="O337" s="75">
        <f t="shared" si="55"/>
        <v>0</v>
      </c>
      <c r="P337" s="77">
        <f t="shared" si="56"/>
        <v>0</v>
      </c>
    </row>
    <row r="338" spans="1:16" s="61" customFormat="1" x14ac:dyDescent="0.2">
      <c r="A338" s="155">
        <v>0</v>
      </c>
      <c r="B338" s="281"/>
      <c r="C338" s="178" t="s">
        <v>132</v>
      </c>
      <c r="D338" s="179" t="s">
        <v>131</v>
      </c>
      <c r="E338" s="180">
        <f>E337*1.15</f>
        <v>66.929999999999993</v>
      </c>
      <c r="F338" s="159"/>
      <c r="G338" s="159"/>
      <c r="H338" s="161"/>
      <c r="I338" s="161"/>
      <c r="J338" s="161"/>
      <c r="K338" s="75">
        <f t="shared" si="51"/>
        <v>0</v>
      </c>
      <c r="L338" s="76">
        <f t="shared" si="52"/>
        <v>0</v>
      </c>
      <c r="M338" s="75">
        <f t="shared" si="53"/>
        <v>0</v>
      </c>
      <c r="N338" s="75">
        <f t="shared" si="54"/>
        <v>0</v>
      </c>
      <c r="O338" s="75">
        <f t="shared" si="55"/>
        <v>0</v>
      </c>
      <c r="P338" s="77">
        <f t="shared" si="56"/>
        <v>0</v>
      </c>
    </row>
    <row r="339" spans="1:16" s="61" customFormat="1" x14ac:dyDescent="0.2">
      <c r="A339" s="155">
        <v>0</v>
      </c>
      <c r="B339" s="281"/>
      <c r="C339" s="178" t="s">
        <v>149</v>
      </c>
      <c r="D339" s="179" t="s">
        <v>59</v>
      </c>
      <c r="E339" s="180">
        <v>4</v>
      </c>
      <c r="F339" s="159"/>
      <c r="G339" s="159"/>
      <c r="H339" s="161"/>
      <c r="I339" s="161"/>
      <c r="J339" s="161"/>
      <c r="K339" s="75">
        <f t="shared" si="51"/>
        <v>0</v>
      </c>
      <c r="L339" s="76">
        <f t="shared" si="52"/>
        <v>0</v>
      </c>
      <c r="M339" s="75">
        <f t="shared" si="53"/>
        <v>0</v>
      </c>
      <c r="N339" s="75">
        <f t="shared" si="54"/>
        <v>0</v>
      </c>
      <c r="O339" s="75">
        <f t="shared" si="55"/>
        <v>0</v>
      </c>
      <c r="P339" s="77">
        <f t="shared" si="56"/>
        <v>0</v>
      </c>
    </row>
    <row r="340" spans="1:16" s="61" customFormat="1" ht="25.5" x14ac:dyDescent="0.2">
      <c r="A340" s="187">
        <v>0</v>
      </c>
      <c r="B340" s="281"/>
      <c r="C340" s="181" t="s">
        <v>133</v>
      </c>
      <c r="D340" s="182" t="s">
        <v>66</v>
      </c>
      <c r="E340" s="182">
        <v>1</v>
      </c>
      <c r="F340" s="159"/>
      <c r="G340" s="159"/>
      <c r="H340" s="161"/>
      <c r="I340" s="161"/>
      <c r="J340" s="161"/>
      <c r="K340" s="75">
        <f t="shared" si="51"/>
        <v>0</v>
      </c>
      <c r="L340" s="76">
        <f t="shared" si="52"/>
        <v>0</v>
      </c>
      <c r="M340" s="75">
        <f t="shared" si="53"/>
        <v>0</v>
      </c>
      <c r="N340" s="75">
        <f t="shared" si="54"/>
        <v>0</v>
      </c>
      <c r="O340" s="75">
        <f t="shared" si="55"/>
        <v>0</v>
      </c>
      <c r="P340" s="77">
        <f t="shared" si="56"/>
        <v>0</v>
      </c>
    </row>
    <row r="341" spans="1:16" s="61" customFormat="1" ht="25.5" x14ac:dyDescent="0.2">
      <c r="A341" s="155">
        <v>144</v>
      </c>
      <c r="B341" s="281" t="s">
        <v>126</v>
      </c>
      <c r="C341" s="527" t="s">
        <v>157</v>
      </c>
      <c r="D341" s="179" t="s">
        <v>78</v>
      </c>
      <c r="E341" s="164">
        <v>0.47</v>
      </c>
      <c r="F341" s="159"/>
      <c r="G341" s="159"/>
      <c r="H341" s="161"/>
      <c r="I341" s="161"/>
      <c r="J341" s="161"/>
      <c r="K341" s="75">
        <f t="shared" si="51"/>
        <v>0</v>
      </c>
      <c r="L341" s="76">
        <f t="shared" si="52"/>
        <v>0</v>
      </c>
      <c r="M341" s="75">
        <f t="shared" si="53"/>
        <v>0</v>
      </c>
      <c r="N341" s="75">
        <f t="shared" si="54"/>
        <v>0</v>
      </c>
      <c r="O341" s="75">
        <f t="shared" si="55"/>
        <v>0</v>
      </c>
      <c r="P341" s="77">
        <f t="shared" si="56"/>
        <v>0</v>
      </c>
    </row>
    <row r="342" spans="1:16" s="61" customFormat="1" x14ac:dyDescent="0.2">
      <c r="A342" s="155">
        <v>0</v>
      </c>
      <c r="B342" s="194"/>
      <c r="C342" s="528" t="s">
        <v>158</v>
      </c>
      <c r="D342" s="179" t="s">
        <v>78</v>
      </c>
      <c r="E342" s="184">
        <f>E341*1.05</f>
        <v>0.49349999999999999</v>
      </c>
      <c r="F342" s="185"/>
      <c r="G342" s="159"/>
      <c r="H342" s="161"/>
      <c r="I342" s="161"/>
      <c r="J342" s="161"/>
      <c r="K342" s="75">
        <f t="shared" si="51"/>
        <v>0</v>
      </c>
      <c r="L342" s="76">
        <f t="shared" si="52"/>
        <v>0</v>
      </c>
      <c r="M342" s="75">
        <f t="shared" si="53"/>
        <v>0</v>
      </c>
      <c r="N342" s="75">
        <f t="shared" si="54"/>
        <v>0</v>
      </c>
      <c r="O342" s="75">
        <f t="shared" si="55"/>
        <v>0</v>
      </c>
      <c r="P342" s="77">
        <f t="shared" si="56"/>
        <v>0</v>
      </c>
    </row>
    <row r="343" spans="1:16" s="61" customFormat="1" x14ac:dyDescent="0.2">
      <c r="A343" s="155">
        <v>0</v>
      </c>
      <c r="B343" s="194"/>
      <c r="C343" s="183" t="s">
        <v>136</v>
      </c>
      <c r="D343" s="179" t="s">
        <v>137</v>
      </c>
      <c r="E343" s="184">
        <f>E341*0.25</f>
        <v>0.11749999999999999</v>
      </c>
      <c r="F343" s="185"/>
      <c r="G343" s="159"/>
      <c r="H343" s="161"/>
      <c r="I343" s="154"/>
      <c r="J343" s="161"/>
      <c r="K343" s="75">
        <f t="shared" si="51"/>
        <v>0</v>
      </c>
      <c r="L343" s="76">
        <f t="shared" si="52"/>
        <v>0</v>
      </c>
      <c r="M343" s="75">
        <f t="shared" si="53"/>
        <v>0</v>
      </c>
      <c r="N343" s="75">
        <f t="shared" si="54"/>
        <v>0</v>
      </c>
      <c r="O343" s="75">
        <f t="shared" si="55"/>
        <v>0</v>
      </c>
      <c r="P343" s="77">
        <f t="shared" si="56"/>
        <v>0</v>
      </c>
    </row>
    <row r="344" spans="1:16" s="61" customFormat="1" ht="25.5" x14ac:dyDescent="0.2">
      <c r="A344" s="155">
        <v>145</v>
      </c>
      <c r="B344" s="281" t="s">
        <v>126</v>
      </c>
      <c r="C344" s="176" t="s">
        <v>138</v>
      </c>
      <c r="D344" s="179" t="s">
        <v>78</v>
      </c>
      <c r="E344" s="164">
        <v>0.15</v>
      </c>
      <c r="F344" s="159"/>
      <c r="G344" s="159"/>
      <c r="H344" s="161"/>
      <c r="I344" s="161"/>
      <c r="J344" s="161"/>
      <c r="K344" s="75">
        <f t="shared" si="51"/>
        <v>0</v>
      </c>
      <c r="L344" s="76">
        <f t="shared" si="52"/>
        <v>0</v>
      </c>
      <c r="M344" s="75">
        <f t="shared" si="53"/>
        <v>0</v>
      </c>
      <c r="N344" s="75">
        <f t="shared" si="54"/>
        <v>0</v>
      </c>
      <c r="O344" s="75">
        <f t="shared" si="55"/>
        <v>0</v>
      </c>
      <c r="P344" s="77">
        <f t="shared" si="56"/>
        <v>0</v>
      </c>
    </row>
    <row r="345" spans="1:16" s="61" customFormat="1" x14ac:dyDescent="0.2">
      <c r="A345" s="155">
        <v>0</v>
      </c>
      <c r="B345" s="194"/>
      <c r="C345" s="183" t="s">
        <v>139</v>
      </c>
      <c r="D345" s="179" t="s">
        <v>78</v>
      </c>
      <c r="E345" s="184">
        <f>E344*1.05</f>
        <v>0.1575</v>
      </c>
      <c r="F345" s="185"/>
      <c r="G345" s="159"/>
      <c r="H345" s="161"/>
      <c r="I345" s="161"/>
      <c r="J345" s="161"/>
      <c r="K345" s="75">
        <f t="shared" si="51"/>
        <v>0</v>
      </c>
      <c r="L345" s="76">
        <f t="shared" si="52"/>
        <v>0</v>
      </c>
      <c r="M345" s="75">
        <f t="shared" si="53"/>
        <v>0</v>
      </c>
      <c r="N345" s="75">
        <f t="shared" si="54"/>
        <v>0</v>
      </c>
      <c r="O345" s="75">
        <f t="shared" si="55"/>
        <v>0</v>
      </c>
      <c r="P345" s="77">
        <f t="shared" si="56"/>
        <v>0</v>
      </c>
    </row>
    <row r="346" spans="1:16" s="61" customFormat="1" x14ac:dyDescent="0.2">
      <c r="A346" s="155">
        <v>0</v>
      </c>
      <c r="B346" s="194"/>
      <c r="C346" s="183" t="s">
        <v>136</v>
      </c>
      <c r="D346" s="179" t="s">
        <v>137</v>
      </c>
      <c r="E346" s="184">
        <f>E344*0.25</f>
        <v>3.7499999999999999E-2</v>
      </c>
      <c r="F346" s="185"/>
      <c r="G346" s="159"/>
      <c r="H346" s="161"/>
      <c r="I346" s="154"/>
      <c r="J346" s="161"/>
      <c r="K346" s="75">
        <f t="shared" si="51"/>
        <v>0</v>
      </c>
      <c r="L346" s="76">
        <f t="shared" si="52"/>
        <v>0</v>
      </c>
      <c r="M346" s="75">
        <f t="shared" si="53"/>
        <v>0</v>
      </c>
      <c r="N346" s="75">
        <f t="shared" si="54"/>
        <v>0</v>
      </c>
      <c r="O346" s="75">
        <f t="shared" si="55"/>
        <v>0</v>
      </c>
      <c r="P346" s="77">
        <f t="shared" si="56"/>
        <v>0</v>
      </c>
    </row>
    <row r="347" spans="1:16" s="61" customFormat="1" ht="25.5" x14ac:dyDescent="0.2">
      <c r="A347" s="155">
        <v>146</v>
      </c>
      <c r="B347" s="281" t="s">
        <v>126</v>
      </c>
      <c r="C347" s="186" t="s">
        <v>140</v>
      </c>
      <c r="D347" s="182" t="s">
        <v>59</v>
      </c>
      <c r="E347" s="182">
        <v>1</v>
      </c>
      <c r="F347" s="159"/>
      <c r="G347" s="159"/>
      <c r="H347" s="161"/>
      <c r="I347" s="161"/>
      <c r="J347" s="161"/>
      <c r="K347" s="75">
        <f t="shared" si="51"/>
        <v>0</v>
      </c>
      <c r="L347" s="76">
        <f t="shared" si="52"/>
        <v>0</v>
      </c>
      <c r="M347" s="75">
        <f t="shared" si="53"/>
        <v>0</v>
      </c>
      <c r="N347" s="75">
        <f t="shared" si="54"/>
        <v>0</v>
      </c>
      <c r="O347" s="75">
        <f t="shared" si="55"/>
        <v>0</v>
      </c>
      <c r="P347" s="77">
        <f t="shared" si="56"/>
        <v>0</v>
      </c>
    </row>
    <row r="348" spans="1:16" s="61" customFormat="1" x14ac:dyDescent="0.2">
      <c r="A348" s="155">
        <v>0</v>
      </c>
      <c r="B348" s="281"/>
      <c r="C348" s="464"/>
      <c r="D348" s="171"/>
      <c r="E348" s="172"/>
      <c r="F348" s="161"/>
      <c r="G348" s="159"/>
      <c r="H348" s="161"/>
      <c r="I348" s="161"/>
      <c r="J348" s="161"/>
      <c r="K348" s="75">
        <f t="shared" si="51"/>
        <v>0</v>
      </c>
      <c r="L348" s="76">
        <f t="shared" si="52"/>
        <v>0</v>
      </c>
      <c r="M348" s="75">
        <f t="shared" si="53"/>
        <v>0</v>
      </c>
      <c r="N348" s="75">
        <f t="shared" si="54"/>
        <v>0</v>
      </c>
      <c r="O348" s="75">
        <f t="shared" si="55"/>
        <v>0</v>
      </c>
      <c r="P348" s="77">
        <f t="shared" si="56"/>
        <v>0</v>
      </c>
    </row>
    <row r="349" spans="1:16" s="61" customFormat="1" x14ac:dyDescent="0.2">
      <c r="A349" s="155">
        <v>0</v>
      </c>
      <c r="B349" s="281"/>
      <c r="C349" s="464" t="s">
        <v>176</v>
      </c>
      <c r="D349" s="182"/>
      <c r="E349" s="164"/>
      <c r="F349" s="159"/>
      <c r="G349" s="159"/>
      <c r="H349" s="161"/>
      <c r="I349" s="161"/>
      <c r="J349" s="161"/>
      <c r="K349" s="75">
        <f t="shared" si="51"/>
        <v>0</v>
      </c>
      <c r="L349" s="76">
        <f t="shared" si="52"/>
        <v>0</v>
      </c>
      <c r="M349" s="75">
        <f t="shared" si="53"/>
        <v>0</v>
      </c>
      <c r="N349" s="75">
        <f t="shared" si="54"/>
        <v>0</v>
      </c>
      <c r="O349" s="75">
        <f t="shared" si="55"/>
        <v>0</v>
      </c>
      <c r="P349" s="77">
        <f t="shared" si="56"/>
        <v>0</v>
      </c>
    </row>
    <row r="350" spans="1:16" s="61" customFormat="1" ht="25.5" x14ac:dyDescent="0.2">
      <c r="A350" s="155">
        <v>147</v>
      </c>
      <c r="B350" s="281" t="s">
        <v>126</v>
      </c>
      <c r="C350" s="176" t="s">
        <v>127</v>
      </c>
      <c r="D350" s="465" t="s">
        <v>83</v>
      </c>
      <c r="E350" s="172">
        <v>2</v>
      </c>
      <c r="F350" s="161"/>
      <c r="G350" s="159"/>
      <c r="H350" s="161"/>
      <c r="I350" s="161"/>
      <c r="J350" s="161"/>
      <c r="K350" s="75">
        <f t="shared" si="51"/>
        <v>0</v>
      </c>
      <c r="L350" s="76">
        <f t="shared" si="52"/>
        <v>0</v>
      </c>
      <c r="M350" s="75">
        <f t="shared" si="53"/>
        <v>0</v>
      </c>
      <c r="N350" s="75">
        <f t="shared" si="54"/>
        <v>0</v>
      </c>
      <c r="O350" s="75">
        <f t="shared" si="55"/>
        <v>0</v>
      </c>
      <c r="P350" s="77">
        <f t="shared" si="56"/>
        <v>0</v>
      </c>
    </row>
    <row r="351" spans="1:16" s="61" customFormat="1" ht="25.5" x14ac:dyDescent="0.2">
      <c r="A351" s="155">
        <v>148</v>
      </c>
      <c r="B351" s="281" t="s">
        <v>126</v>
      </c>
      <c r="C351" s="176" t="s">
        <v>128</v>
      </c>
      <c r="D351" s="182" t="s">
        <v>83</v>
      </c>
      <c r="E351" s="164">
        <v>5</v>
      </c>
      <c r="F351" s="161"/>
      <c r="G351" s="159"/>
      <c r="H351" s="161"/>
      <c r="I351" s="161"/>
      <c r="J351" s="161"/>
      <c r="K351" s="75">
        <f t="shared" si="51"/>
        <v>0</v>
      </c>
      <c r="L351" s="76">
        <f t="shared" si="52"/>
        <v>0</v>
      </c>
      <c r="M351" s="75">
        <f t="shared" si="53"/>
        <v>0</v>
      </c>
      <c r="N351" s="75">
        <f t="shared" si="54"/>
        <v>0</v>
      </c>
      <c r="O351" s="75">
        <f t="shared" si="55"/>
        <v>0</v>
      </c>
      <c r="P351" s="77">
        <f t="shared" si="56"/>
        <v>0</v>
      </c>
    </row>
    <row r="352" spans="1:16" s="61" customFormat="1" ht="25.5" x14ac:dyDescent="0.2">
      <c r="A352" s="155">
        <v>149</v>
      </c>
      <c r="B352" s="281"/>
      <c r="C352" s="466" t="s">
        <v>129</v>
      </c>
      <c r="D352" s="182" t="s">
        <v>78</v>
      </c>
      <c r="E352" s="164">
        <f>1.3*1.3*0.1</f>
        <v>0.16900000000000004</v>
      </c>
      <c r="F352" s="161"/>
      <c r="G352" s="159"/>
      <c r="H352" s="161"/>
      <c r="I352" s="161"/>
      <c r="J352" s="161"/>
      <c r="K352" s="75">
        <f t="shared" si="51"/>
        <v>0</v>
      </c>
      <c r="L352" s="76">
        <f t="shared" si="52"/>
        <v>0</v>
      </c>
      <c r="M352" s="75">
        <f t="shared" si="53"/>
        <v>0</v>
      </c>
      <c r="N352" s="75">
        <f t="shared" si="54"/>
        <v>0</v>
      </c>
      <c r="O352" s="75">
        <f t="shared" si="55"/>
        <v>0</v>
      </c>
      <c r="P352" s="77">
        <f t="shared" si="56"/>
        <v>0</v>
      </c>
    </row>
    <row r="353" spans="1:16" s="61" customFormat="1" ht="76.5" x14ac:dyDescent="0.2">
      <c r="A353" s="155">
        <v>150</v>
      </c>
      <c r="B353" s="281" t="s">
        <v>126</v>
      </c>
      <c r="C353" s="176" t="s">
        <v>130</v>
      </c>
      <c r="D353" s="182" t="s">
        <v>131</v>
      </c>
      <c r="E353" s="164">
        <v>69.8</v>
      </c>
      <c r="F353" s="177"/>
      <c r="G353" s="159"/>
      <c r="H353" s="161"/>
      <c r="I353" s="161"/>
      <c r="J353" s="161"/>
      <c r="K353" s="75">
        <f t="shared" si="51"/>
        <v>0</v>
      </c>
      <c r="L353" s="76">
        <f t="shared" si="52"/>
        <v>0</v>
      </c>
      <c r="M353" s="75">
        <f t="shared" si="53"/>
        <v>0</v>
      </c>
      <c r="N353" s="75">
        <f t="shared" si="54"/>
        <v>0</v>
      </c>
      <c r="O353" s="75">
        <f t="shared" si="55"/>
        <v>0</v>
      </c>
      <c r="P353" s="77">
        <f t="shared" si="56"/>
        <v>0</v>
      </c>
    </row>
    <row r="354" spans="1:16" s="61" customFormat="1" x14ac:dyDescent="0.2">
      <c r="A354" s="155">
        <v>0</v>
      </c>
      <c r="B354" s="281"/>
      <c r="C354" s="178" t="s">
        <v>132</v>
      </c>
      <c r="D354" s="179" t="s">
        <v>131</v>
      </c>
      <c r="E354" s="180">
        <f>E353*1.15</f>
        <v>80.27</v>
      </c>
      <c r="F354" s="159"/>
      <c r="G354" s="159"/>
      <c r="H354" s="161"/>
      <c r="I354" s="161"/>
      <c r="J354" s="161"/>
      <c r="K354" s="75">
        <f t="shared" si="51"/>
        <v>0</v>
      </c>
      <c r="L354" s="76">
        <f t="shared" si="52"/>
        <v>0</v>
      </c>
      <c r="M354" s="75">
        <f t="shared" si="53"/>
        <v>0</v>
      </c>
      <c r="N354" s="75">
        <f t="shared" si="54"/>
        <v>0</v>
      </c>
      <c r="O354" s="75">
        <f t="shared" si="55"/>
        <v>0</v>
      </c>
      <c r="P354" s="77">
        <f t="shared" si="56"/>
        <v>0</v>
      </c>
    </row>
    <row r="355" spans="1:16" s="61" customFormat="1" x14ac:dyDescent="0.2">
      <c r="A355" s="155">
        <v>0</v>
      </c>
      <c r="B355" s="281"/>
      <c r="C355" s="178" t="s">
        <v>149</v>
      </c>
      <c r="D355" s="179" t="s">
        <v>59</v>
      </c>
      <c r="E355" s="180">
        <v>4</v>
      </c>
      <c r="F355" s="159"/>
      <c r="G355" s="159"/>
      <c r="H355" s="161"/>
      <c r="I355" s="161"/>
      <c r="J355" s="161"/>
      <c r="K355" s="75">
        <f t="shared" si="51"/>
        <v>0</v>
      </c>
      <c r="L355" s="76">
        <f t="shared" si="52"/>
        <v>0</v>
      </c>
      <c r="M355" s="75">
        <f t="shared" si="53"/>
        <v>0</v>
      </c>
      <c r="N355" s="75">
        <f t="shared" si="54"/>
        <v>0</v>
      </c>
      <c r="O355" s="75">
        <f t="shared" si="55"/>
        <v>0</v>
      </c>
      <c r="P355" s="77">
        <f t="shared" si="56"/>
        <v>0</v>
      </c>
    </row>
    <row r="356" spans="1:16" s="61" customFormat="1" ht="25.5" x14ac:dyDescent="0.2">
      <c r="A356" s="155">
        <v>0</v>
      </c>
      <c r="B356" s="281"/>
      <c r="C356" s="181" t="s">
        <v>133</v>
      </c>
      <c r="D356" s="182" t="s">
        <v>66</v>
      </c>
      <c r="E356" s="182">
        <v>1</v>
      </c>
      <c r="F356" s="159"/>
      <c r="G356" s="159"/>
      <c r="H356" s="161"/>
      <c r="I356" s="161"/>
      <c r="J356" s="161"/>
      <c r="K356" s="75">
        <f t="shared" si="51"/>
        <v>0</v>
      </c>
      <c r="L356" s="76">
        <f t="shared" si="52"/>
        <v>0</v>
      </c>
      <c r="M356" s="75">
        <f t="shared" si="53"/>
        <v>0</v>
      </c>
      <c r="N356" s="75">
        <f t="shared" si="54"/>
        <v>0</v>
      </c>
      <c r="O356" s="75">
        <f t="shared" si="55"/>
        <v>0</v>
      </c>
      <c r="P356" s="77">
        <f t="shared" si="56"/>
        <v>0</v>
      </c>
    </row>
    <row r="357" spans="1:16" s="61" customFormat="1" ht="25.5" x14ac:dyDescent="0.2">
      <c r="A357" s="155">
        <v>151</v>
      </c>
      <c r="B357" s="281" t="s">
        <v>126</v>
      </c>
      <c r="C357" s="527" t="s">
        <v>157</v>
      </c>
      <c r="D357" s="179" t="s">
        <v>78</v>
      </c>
      <c r="E357" s="164">
        <v>0.68</v>
      </c>
      <c r="F357" s="159"/>
      <c r="G357" s="159"/>
      <c r="H357" s="161"/>
      <c r="I357" s="161"/>
      <c r="J357" s="161"/>
      <c r="K357" s="75">
        <f t="shared" si="51"/>
        <v>0</v>
      </c>
      <c r="L357" s="76">
        <f t="shared" si="52"/>
        <v>0</v>
      </c>
      <c r="M357" s="75">
        <f t="shared" si="53"/>
        <v>0</v>
      </c>
      <c r="N357" s="75">
        <f t="shared" si="54"/>
        <v>0</v>
      </c>
      <c r="O357" s="75">
        <f t="shared" si="55"/>
        <v>0</v>
      </c>
      <c r="P357" s="77">
        <f t="shared" si="56"/>
        <v>0</v>
      </c>
    </row>
    <row r="358" spans="1:16" s="61" customFormat="1" x14ac:dyDescent="0.2">
      <c r="A358" s="155">
        <v>0</v>
      </c>
      <c r="B358" s="194"/>
      <c r="C358" s="528" t="s">
        <v>158</v>
      </c>
      <c r="D358" s="179" t="s">
        <v>78</v>
      </c>
      <c r="E358" s="184">
        <f>E357*1.05</f>
        <v>0.71400000000000008</v>
      </c>
      <c r="F358" s="185"/>
      <c r="G358" s="159"/>
      <c r="H358" s="161"/>
      <c r="I358" s="161"/>
      <c r="J358" s="161"/>
      <c r="K358" s="75">
        <f t="shared" si="51"/>
        <v>0</v>
      </c>
      <c r="L358" s="76">
        <f t="shared" si="52"/>
        <v>0</v>
      </c>
      <c r="M358" s="75">
        <f t="shared" si="53"/>
        <v>0</v>
      </c>
      <c r="N358" s="75">
        <f t="shared" si="54"/>
        <v>0</v>
      </c>
      <c r="O358" s="75">
        <f t="shared" si="55"/>
        <v>0</v>
      </c>
      <c r="P358" s="77">
        <f t="shared" si="56"/>
        <v>0</v>
      </c>
    </row>
    <row r="359" spans="1:16" s="61" customFormat="1" x14ac:dyDescent="0.2">
      <c r="A359" s="155">
        <v>0</v>
      </c>
      <c r="B359" s="194"/>
      <c r="C359" s="183" t="s">
        <v>136</v>
      </c>
      <c r="D359" s="179" t="s">
        <v>137</v>
      </c>
      <c r="E359" s="184">
        <f>E357*0.25</f>
        <v>0.17</v>
      </c>
      <c r="F359" s="185"/>
      <c r="G359" s="159"/>
      <c r="H359" s="161"/>
      <c r="I359" s="154"/>
      <c r="J359" s="161"/>
      <c r="K359" s="75">
        <f t="shared" si="51"/>
        <v>0</v>
      </c>
      <c r="L359" s="76">
        <f t="shared" si="52"/>
        <v>0</v>
      </c>
      <c r="M359" s="75">
        <f t="shared" si="53"/>
        <v>0</v>
      </c>
      <c r="N359" s="75">
        <f t="shared" si="54"/>
        <v>0</v>
      </c>
      <c r="O359" s="75">
        <f t="shared" si="55"/>
        <v>0</v>
      </c>
      <c r="P359" s="77">
        <f t="shared" si="56"/>
        <v>0</v>
      </c>
    </row>
    <row r="360" spans="1:16" s="61" customFormat="1" ht="25.5" x14ac:dyDescent="0.2">
      <c r="A360" s="155">
        <v>152</v>
      </c>
      <c r="B360" s="281" t="s">
        <v>126</v>
      </c>
      <c r="C360" s="176" t="s">
        <v>138</v>
      </c>
      <c r="D360" s="179" t="s">
        <v>78</v>
      </c>
      <c r="E360" s="164">
        <v>0.2</v>
      </c>
      <c r="F360" s="159"/>
      <c r="G360" s="159"/>
      <c r="H360" s="161"/>
      <c r="I360" s="161"/>
      <c r="J360" s="161"/>
      <c r="K360" s="75">
        <f t="shared" si="51"/>
        <v>0</v>
      </c>
      <c r="L360" s="76">
        <f t="shared" si="52"/>
        <v>0</v>
      </c>
      <c r="M360" s="75">
        <f t="shared" si="53"/>
        <v>0</v>
      </c>
      <c r="N360" s="75">
        <f t="shared" si="54"/>
        <v>0</v>
      </c>
      <c r="O360" s="75">
        <f t="shared" si="55"/>
        <v>0</v>
      </c>
      <c r="P360" s="77">
        <f t="shared" si="56"/>
        <v>0</v>
      </c>
    </row>
    <row r="361" spans="1:16" s="61" customFormat="1" x14ac:dyDescent="0.2">
      <c r="A361" s="155">
        <v>0</v>
      </c>
      <c r="B361" s="194"/>
      <c r="C361" s="183" t="s">
        <v>139</v>
      </c>
      <c r="D361" s="179" t="s">
        <v>78</v>
      </c>
      <c r="E361" s="184">
        <f>E360*1.05</f>
        <v>0.21000000000000002</v>
      </c>
      <c r="F361" s="185"/>
      <c r="G361" s="159"/>
      <c r="H361" s="161"/>
      <c r="I361" s="161"/>
      <c r="J361" s="161"/>
      <c r="K361" s="75">
        <f t="shared" si="51"/>
        <v>0</v>
      </c>
      <c r="L361" s="76">
        <f t="shared" si="52"/>
        <v>0</v>
      </c>
      <c r="M361" s="75">
        <f t="shared" si="53"/>
        <v>0</v>
      </c>
      <c r="N361" s="75">
        <f t="shared" si="54"/>
        <v>0</v>
      </c>
      <c r="O361" s="75">
        <f t="shared" si="55"/>
        <v>0</v>
      </c>
      <c r="P361" s="77">
        <f t="shared" si="56"/>
        <v>0</v>
      </c>
    </row>
    <row r="362" spans="1:16" s="61" customFormat="1" x14ac:dyDescent="0.2">
      <c r="A362" s="155">
        <v>0</v>
      </c>
      <c r="B362" s="194"/>
      <c r="C362" s="183" t="s">
        <v>136</v>
      </c>
      <c r="D362" s="179" t="s">
        <v>137</v>
      </c>
      <c r="E362" s="184">
        <f>E360*0.25</f>
        <v>0.05</v>
      </c>
      <c r="F362" s="185"/>
      <c r="G362" s="159"/>
      <c r="H362" s="161"/>
      <c r="I362" s="154"/>
      <c r="J362" s="161"/>
      <c r="K362" s="75">
        <f t="shared" si="51"/>
        <v>0</v>
      </c>
      <c r="L362" s="76">
        <f t="shared" si="52"/>
        <v>0</v>
      </c>
      <c r="M362" s="75">
        <f t="shared" si="53"/>
        <v>0</v>
      </c>
      <c r="N362" s="75">
        <f t="shared" si="54"/>
        <v>0</v>
      </c>
      <c r="O362" s="75">
        <f t="shared" si="55"/>
        <v>0</v>
      </c>
      <c r="P362" s="77">
        <f t="shared" si="56"/>
        <v>0</v>
      </c>
    </row>
    <row r="363" spans="1:16" s="61" customFormat="1" ht="25.5" x14ac:dyDescent="0.2">
      <c r="A363" s="155">
        <v>153</v>
      </c>
      <c r="B363" s="281" t="s">
        <v>126</v>
      </c>
      <c r="C363" s="186" t="s">
        <v>140</v>
      </c>
      <c r="D363" s="182" t="s">
        <v>59</v>
      </c>
      <c r="E363" s="182">
        <v>1</v>
      </c>
      <c r="F363" s="159"/>
      <c r="G363" s="159"/>
      <c r="H363" s="161"/>
      <c r="I363" s="161"/>
      <c r="J363" s="161"/>
      <c r="K363" s="75">
        <f t="shared" si="51"/>
        <v>0</v>
      </c>
      <c r="L363" s="76">
        <f t="shared" si="52"/>
        <v>0</v>
      </c>
      <c r="M363" s="75">
        <f t="shared" si="53"/>
        <v>0</v>
      </c>
      <c r="N363" s="75">
        <f t="shared" si="54"/>
        <v>0</v>
      </c>
      <c r="O363" s="75">
        <f t="shared" si="55"/>
        <v>0</v>
      </c>
      <c r="P363" s="77">
        <f t="shared" si="56"/>
        <v>0</v>
      </c>
    </row>
    <row r="364" spans="1:16" s="61" customFormat="1" x14ac:dyDescent="0.2">
      <c r="A364" s="155">
        <v>0</v>
      </c>
      <c r="B364" s="281"/>
      <c r="C364" s="186"/>
      <c r="D364" s="182"/>
      <c r="E364" s="182"/>
      <c r="F364" s="159"/>
      <c r="G364" s="159"/>
      <c r="H364" s="161"/>
      <c r="I364" s="161"/>
      <c r="J364" s="161"/>
      <c r="K364" s="75">
        <f t="shared" si="51"/>
        <v>0</v>
      </c>
      <c r="L364" s="76">
        <f t="shared" si="52"/>
        <v>0</v>
      </c>
      <c r="M364" s="75">
        <f t="shared" si="53"/>
        <v>0</v>
      </c>
      <c r="N364" s="75">
        <f t="shared" si="54"/>
        <v>0</v>
      </c>
      <c r="O364" s="75">
        <f t="shared" si="55"/>
        <v>0</v>
      </c>
      <c r="P364" s="77">
        <f t="shared" si="56"/>
        <v>0</v>
      </c>
    </row>
    <row r="365" spans="1:16" s="61" customFormat="1" x14ac:dyDescent="0.2">
      <c r="A365" s="155">
        <v>0</v>
      </c>
      <c r="B365" s="194"/>
      <c r="C365" s="464" t="s">
        <v>177</v>
      </c>
      <c r="D365" s="179"/>
      <c r="E365" s="184"/>
      <c r="F365" s="185"/>
      <c r="G365" s="159"/>
      <c r="H365" s="161"/>
      <c r="I365" s="154"/>
      <c r="J365" s="161"/>
      <c r="K365" s="75">
        <f t="shared" si="51"/>
        <v>0</v>
      </c>
      <c r="L365" s="76">
        <f t="shared" si="52"/>
        <v>0</v>
      </c>
      <c r="M365" s="75">
        <f t="shared" si="53"/>
        <v>0</v>
      </c>
      <c r="N365" s="75">
        <f t="shared" si="54"/>
        <v>0</v>
      </c>
      <c r="O365" s="75">
        <f t="shared" si="55"/>
        <v>0</v>
      </c>
      <c r="P365" s="77">
        <f t="shared" si="56"/>
        <v>0</v>
      </c>
    </row>
    <row r="366" spans="1:16" s="61" customFormat="1" ht="25.5" x14ac:dyDescent="0.2">
      <c r="A366" s="155">
        <v>154</v>
      </c>
      <c r="B366" s="281" t="s">
        <v>126</v>
      </c>
      <c r="C366" s="176" t="s">
        <v>127</v>
      </c>
      <c r="D366" s="465" t="s">
        <v>83</v>
      </c>
      <c r="E366" s="172">
        <v>2</v>
      </c>
      <c r="F366" s="161"/>
      <c r="G366" s="159"/>
      <c r="H366" s="161"/>
      <c r="I366" s="161"/>
      <c r="J366" s="161"/>
      <c r="K366" s="75">
        <f t="shared" si="51"/>
        <v>0</v>
      </c>
      <c r="L366" s="76">
        <f t="shared" si="52"/>
        <v>0</v>
      </c>
      <c r="M366" s="75">
        <f t="shared" si="53"/>
        <v>0</v>
      </c>
      <c r="N366" s="75">
        <f t="shared" si="54"/>
        <v>0</v>
      </c>
      <c r="O366" s="75">
        <f t="shared" si="55"/>
        <v>0</v>
      </c>
      <c r="P366" s="77">
        <f t="shared" si="56"/>
        <v>0</v>
      </c>
    </row>
    <row r="367" spans="1:16" s="61" customFormat="1" ht="25.5" x14ac:dyDescent="0.2">
      <c r="A367" s="155">
        <v>155</v>
      </c>
      <c r="B367" s="281" t="s">
        <v>126</v>
      </c>
      <c r="C367" s="176" t="s">
        <v>128</v>
      </c>
      <c r="D367" s="182" t="s">
        <v>83</v>
      </c>
      <c r="E367" s="164">
        <v>4</v>
      </c>
      <c r="F367" s="161"/>
      <c r="G367" s="159"/>
      <c r="H367" s="161"/>
      <c r="I367" s="161"/>
      <c r="J367" s="161"/>
      <c r="K367" s="75">
        <f t="shared" si="51"/>
        <v>0</v>
      </c>
      <c r="L367" s="76">
        <f t="shared" si="52"/>
        <v>0</v>
      </c>
      <c r="M367" s="75">
        <f t="shared" si="53"/>
        <v>0</v>
      </c>
      <c r="N367" s="75">
        <f t="shared" si="54"/>
        <v>0</v>
      </c>
      <c r="O367" s="75">
        <f t="shared" si="55"/>
        <v>0</v>
      </c>
      <c r="P367" s="77">
        <f t="shared" si="56"/>
        <v>0</v>
      </c>
    </row>
    <row r="368" spans="1:16" s="61" customFormat="1" ht="25.5" x14ac:dyDescent="0.2">
      <c r="A368" s="155">
        <v>156</v>
      </c>
      <c r="B368" s="281"/>
      <c r="C368" s="466" t="s">
        <v>129</v>
      </c>
      <c r="D368" s="182" t="s">
        <v>78</v>
      </c>
      <c r="E368" s="164">
        <f>1.4*1.4*0.1</f>
        <v>0.19599999999999998</v>
      </c>
      <c r="F368" s="161"/>
      <c r="G368" s="159"/>
      <c r="H368" s="161"/>
      <c r="I368" s="161"/>
      <c r="J368" s="161"/>
      <c r="K368" s="75">
        <f t="shared" si="51"/>
        <v>0</v>
      </c>
      <c r="L368" s="76">
        <f t="shared" si="52"/>
        <v>0</v>
      </c>
      <c r="M368" s="75">
        <f t="shared" si="53"/>
        <v>0</v>
      </c>
      <c r="N368" s="75">
        <f t="shared" si="54"/>
        <v>0</v>
      </c>
      <c r="O368" s="75">
        <f t="shared" si="55"/>
        <v>0</v>
      </c>
      <c r="P368" s="77">
        <f t="shared" si="56"/>
        <v>0</v>
      </c>
    </row>
    <row r="369" spans="1:16" s="61" customFormat="1" ht="76.5" x14ac:dyDescent="0.2">
      <c r="A369" s="155">
        <v>157</v>
      </c>
      <c r="B369" s="281" t="s">
        <v>126</v>
      </c>
      <c r="C369" s="176" t="s">
        <v>130</v>
      </c>
      <c r="D369" s="182" t="s">
        <v>131</v>
      </c>
      <c r="E369" s="164">
        <v>89.8</v>
      </c>
      <c r="F369" s="177"/>
      <c r="G369" s="159"/>
      <c r="H369" s="161"/>
      <c r="I369" s="161"/>
      <c r="J369" s="161"/>
      <c r="K369" s="75">
        <f t="shared" si="51"/>
        <v>0</v>
      </c>
      <c r="L369" s="76">
        <f t="shared" si="52"/>
        <v>0</v>
      </c>
      <c r="M369" s="75">
        <f t="shared" si="53"/>
        <v>0</v>
      </c>
      <c r="N369" s="75">
        <f t="shared" si="54"/>
        <v>0</v>
      </c>
      <c r="O369" s="75">
        <f t="shared" si="55"/>
        <v>0</v>
      </c>
      <c r="P369" s="77">
        <f t="shared" si="56"/>
        <v>0</v>
      </c>
    </row>
    <row r="370" spans="1:16" s="61" customFormat="1" x14ac:dyDescent="0.2">
      <c r="A370" s="155">
        <v>0</v>
      </c>
      <c r="B370" s="281"/>
      <c r="C370" s="178" t="s">
        <v>132</v>
      </c>
      <c r="D370" s="179" t="s">
        <v>131</v>
      </c>
      <c r="E370" s="180">
        <f>E369*1.15</f>
        <v>103.26999999999998</v>
      </c>
      <c r="F370" s="159"/>
      <c r="G370" s="159"/>
      <c r="H370" s="161"/>
      <c r="I370" s="161"/>
      <c r="J370" s="161"/>
      <c r="K370" s="75">
        <f t="shared" si="51"/>
        <v>0</v>
      </c>
      <c r="L370" s="76">
        <f t="shared" si="52"/>
        <v>0</v>
      </c>
      <c r="M370" s="75">
        <f t="shared" si="53"/>
        <v>0</v>
      </c>
      <c r="N370" s="75">
        <f t="shared" si="54"/>
        <v>0</v>
      </c>
      <c r="O370" s="75">
        <f t="shared" si="55"/>
        <v>0</v>
      </c>
      <c r="P370" s="77">
        <f t="shared" si="56"/>
        <v>0</v>
      </c>
    </row>
    <row r="371" spans="1:16" s="61" customFormat="1" x14ac:dyDescent="0.2">
      <c r="A371" s="155">
        <v>0</v>
      </c>
      <c r="B371" s="281"/>
      <c r="C371" s="178" t="s">
        <v>149</v>
      </c>
      <c r="D371" s="179" t="s">
        <v>59</v>
      </c>
      <c r="E371" s="180">
        <v>4</v>
      </c>
      <c r="F371" s="159"/>
      <c r="G371" s="159"/>
      <c r="H371" s="161"/>
      <c r="I371" s="161"/>
      <c r="J371" s="161"/>
      <c r="K371" s="75">
        <f t="shared" si="51"/>
        <v>0</v>
      </c>
      <c r="L371" s="76">
        <f t="shared" si="52"/>
        <v>0</v>
      </c>
      <c r="M371" s="75">
        <f t="shared" si="53"/>
        <v>0</v>
      </c>
      <c r="N371" s="75">
        <f t="shared" si="54"/>
        <v>0</v>
      </c>
      <c r="O371" s="75">
        <f t="shared" si="55"/>
        <v>0</v>
      </c>
      <c r="P371" s="77">
        <f t="shared" si="56"/>
        <v>0</v>
      </c>
    </row>
    <row r="372" spans="1:16" s="61" customFormat="1" ht="25.5" x14ac:dyDescent="0.2">
      <c r="A372" s="155">
        <v>0</v>
      </c>
      <c r="B372" s="281"/>
      <c r="C372" s="181" t="s">
        <v>133</v>
      </c>
      <c r="D372" s="182" t="s">
        <v>66</v>
      </c>
      <c r="E372" s="182">
        <v>1</v>
      </c>
      <c r="F372" s="159"/>
      <c r="G372" s="159"/>
      <c r="H372" s="161"/>
      <c r="I372" s="161"/>
      <c r="J372" s="161"/>
      <c r="K372" s="75">
        <f t="shared" si="51"/>
        <v>0</v>
      </c>
      <c r="L372" s="76">
        <f t="shared" si="52"/>
        <v>0</v>
      </c>
      <c r="M372" s="75">
        <f t="shared" si="53"/>
        <v>0</v>
      </c>
      <c r="N372" s="75">
        <f t="shared" si="54"/>
        <v>0</v>
      </c>
      <c r="O372" s="75">
        <f t="shared" si="55"/>
        <v>0</v>
      </c>
      <c r="P372" s="77">
        <f t="shared" si="56"/>
        <v>0</v>
      </c>
    </row>
    <row r="373" spans="1:16" s="61" customFormat="1" ht="25.5" x14ac:dyDescent="0.2">
      <c r="A373" s="155">
        <v>158</v>
      </c>
      <c r="B373" s="281" t="s">
        <v>126</v>
      </c>
      <c r="C373" s="527" t="s">
        <v>157</v>
      </c>
      <c r="D373" s="179" t="s">
        <v>78</v>
      </c>
      <c r="E373" s="164">
        <v>0.93</v>
      </c>
      <c r="F373" s="159"/>
      <c r="G373" s="159"/>
      <c r="H373" s="161"/>
      <c r="I373" s="161"/>
      <c r="J373" s="161"/>
      <c r="K373" s="75">
        <f t="shared" si="51"/>
        <v>0</v>
      </c>
      <c r="L373" s="76">
        <f t="shared" si="52"/>
        <v>0</v>
      </c>
      <c r="M373" s="75">
        <f t="shared" si="53"/>
        <v>0</v>
      </c>
      <c r="N373" s="75">
        <f t="shared" si="54"/>
        <v>0</v>
      </c>
      <c r="O373" s="75">
        <f t="shared" si="55"/>
        <v>0</v>
      </c>
      <c r="P373" s="77">
        <f t="shared" si="56"/>
        <v>0</v>
      </c>
    </row>
    <row r="374" spans="1:16" s="61" customFormat="1" x14ac:dyDescent="0.2">
      <c r="A374" s="155">
        <v>0</v>
      </c>
      <c r="B374" s="194"/>
      <c r="C374" s="528" t="s">
        <v>158</v>
      </c>
      <c r="D374" s="179" t="s">
        <v>78</v>
      </c>
      <c r="E374" s="184">
        <f>E373*1.05</f>
        <v>0.97650000000000015</v>
      </c>
      <c r="F374" s="185"/>
      <c r="G374" s="159"/>
      <c r="H374" s="161"/>
      <c r="I374" s="161"/>
      <c r="J374" s="161"/>
      <c r="K374" s="75">
        <f t="shared" si="51"/>
        <v>0</v>
      </c>
      <c r="L374" s="76">
        <f t="shared" si="52"/>
        <v>0</v>
      </c>
      <c r="M374" s="75">
        <f t="shared" si="53"/>
        <v>0</v>
      </c>
      <c r="N374" s="75">
        <f t="shared" si="54"/>
        <v>0</v>
      </c>
      <c r="O374" s="75">
        <f t="shared" si="55"/>
        <v>0</v>
      </c>
      <c r="P374" s="77">
        <f t="shared" si="56"/>
        <v>0</v>
      </c>
    </row>
    <row r="375" spans="1:16" s="61" customFormat="1" x14ac:dyDescent="0.2">
      <c r="A375" s="155">
        <v>0</v>
      </c>
      <c r="B375" s="194"/>
      <c r="C375" s="183" t="s">
        <v>136</v>
      </c>
      <c r="D375" s="179" t="s">
        <v>137</v>
      </c>
      <c r="E375" s="184">
        <f>E373*0.25</f>
        <v>0.23250000000000001</v>
      </c>
      <c r="F375" s="185"/>
      <c r="G375" s="159"/>
      <c r="H375" s="161"/>
      <c r="I375" s="154"/>
      <c r="J375" s="161"/>
      <c r="K375" s="75">
        <f t="shared" si="51"/>
        <v>0</v>
      </c>
      <c r="L375" s="76">
        <f t="shared" si="52"/>
        <v>0</v>
      </c>
      <c r="M375" s="75">
        <f t="shared" si="53"/>
        <v>0</v>
      </c>
      <c r="N375" s="75">
        <f t="shared" si="54"/>
        <v>0</v>
      </c>
      <c r="O375" s="75">
        <f t="shared" si="55"/>
        <v>0</v>
      </c>
      <c r="P375" s="77">
        <f t="shared" si="56"/>
        <v>0</v>
      </c>
    </row>
    <row r="376" spans="1:16" s="61" customFormat="1" ht="25.5" x14ac:dyDescent="0.2">
      <c r="A376" s="155">
        <v>159</v>
      </c>
      <c r="B376" s="281" t="s">
        <v>126</v>
      </c>
      <c r="C376" s="176" t="s">
        <v>138</v>
      </c>
      <c r="D376" s="179" t="s">
        <v>78</v>
      </c>
      <c r="E376" s="164">
        <v>0.27</v>
      </c>
      <c r="F376" s="159"/>
      <c r="G376" s="159"/>
      <c r="H376" s="161"/>
      <c r="I376" s="161"/>
      <c r="J376" s="161"/>
      <c r="K376" s="75">
        <f t="shared" si="51"/>
        <v>0</v>
      </c>
      <c r="L376" s="76">
        <f t="shared" si="52"/>
        <v>0</v>
      </c>
      <c r="M376" s="75">
        <f t="shared" si="53"/>
        <v>0</v>
      </c>
      <c r="N376" s="75">
        <f t="shared" si="54"/>
        <v>0</v>
      </c>
      <c r="O376" s="75">
        <f t="shared" si="55"/>
        <v>0</v>
      </c>
      <c r="P376" s="77">
        <f t="shared" si="56"/>
        <v>0</v>
      </c>
    </row>
    <row r="377" spans="1:16" s="61" customFormat="1" x14ac:dyDescent="0.2">
      <c r="A377" s="155">
        <v>0</v>
      </c>
      <c r="B377" s="194"/>
      <c r="C377" s="183" t="s">
        <v>139</v>
      </c>
      <c r="D377" s="179" t="s">
        <v>78</v>
      </c>
      <c r="E377" s="184">
        <f>E376*1.05</f>
        <v>0.28350000000000003</v>
      </c>
      <c r="F377" s="185"/>
      <c r="G377" s="159"/>
      <c r="H377" s="161"/>
      <c r="I377" s="161"/>
      <c r="J377" s="161"/>
      <c r="K377" s="75">
        <f t="shared" si="51"/>
        <v>0</v>
      </c>
      <c r="L377" s="76">
        <f t="shared" si="52"/>
        <v>0</v>
      </c>
      <c r="M377" s="75">
        <f t="shared" si="53"/>
        <v>0</v>
      </c>
      <c r="N377" s="75">
        <f t="shared" si="54"/>
        <v>0</v>
      </c>
      <c r="O377" s="75">
        <f t="shared" si="55"/>
        <v>0</v>
      </c>
      <c r="P377" s="77">
        <f t="shared" si="56"/>
        <v>0</v>
      </c>
    </row>
    <row r="378" spans="1:16" s="61" customFormat="1" x14ac:dyDescent="0.2">
      <c r="A378" s="155">
        <v>0</v>
      </c>
      <c r="B378" s="194"/>
      <c r="C378" s="183" t="s">
        <v>136</v>
      </c>
      <c r="D378" s="179" t="s">
        <v>137</v>
      </c>
      <c r="E378" s="184">
        <f>E376*0.25</f>
        <v>6.7500000000000004E-2</v>
      </c>
      <c r="F378" s="185"/>
      <c r="G378" s="159"/>
      <c r="H378" s="161"/>
      <c r="I378" s="154"/>
      <c r="J378" s="161"/>
      <c r="K378" s="75">
        <f t="shared" si="51"/>
        <v>0</v>
      </c>
      <c r="L378" s="76">
        <f t="shared" si="52"/>
        <v>0</v>
      </c>
      <c r="M378" s="75">
        <f t="shared" si="53"/>
        <v>0</v>
      </c>
      <c r="N378" s="75">
        <f t="shared" si="54"/>
        <v>0</v>
      </c>
      <c r="O378" s="75">
        <f t="shared" si="55"/>
        <v>0</v>
      </c>
      <c r="P378" s="77">
        <f t="shared" si="56"/>
        <v>0</v>
      </c>
    </row>
    <row r="379" spans="1:16" s="61" customFormat="1" ht="25.5" x14ac:dyDescent="0.2">
      <c r="A379" s="155">
        <v>160</v>
      </c>
      <c r="B379" s="281" t="s">
        <v>126</v>
      </c>
      <c r="C379" s="186" t="s">
        <v>140</v>
      </c>
      <c r="D379" s="182" t="s">
        <v>59</v>
      </c>
      <c r="E379" s="182">
        <v>1</v>
      </c>
      <c r="F379" s="159"/>
      <c r="G379" s="159"/>
      <c r="H379" s="161"/>
      <c r="I379" s="161"/>
      <c r="J379" s="161"/>
      <c r="K379" s="75">
        <f t="shared" si="51"/>
        <v>0</v>
      </c>
      <c r="L379" s="76">
        <f t="shared" si="52"/>
        <v>0</v>
      </c>
      <c r="M379" s="75">
        <f t="shared" si="53"/>
        <v>0</v>
      </c>
      <c r="N379" s="75">
        <f t="shared" si="54"/>
        <v>0</v>
      </c>
      <c r="O379" s="75">
        <f t="shared" si="55"/>
        <v>0</v>
      </c>
      <c r="P379" s="77">
        <f t="shared" si="56"/>
        <v>0</v>
      </c>
    </row>
    <row r="380" spans="1:16" s="61" customFormat="1" x14ac:dyDescent="0.2">
      <c r="A380" s="155">
        <v>0</v>
      </c>
      <c r="B380" s="194"/>
      <c r="C380" s="183"/>
      <c r="D380" s="179"/>
      <c r="E380" s="184"/>
      <c r="F380" s="185"/>
      <c r="G380" s="159"/>
      <c r="H380" s="161"/>
      <c r="I380" s="154"/>
      <c r="J380" s="161"/>
      <c r="K380" s="75">
        <f t="shared" si="51"/>
        <v>0</v>
      </c>
      <c r="L380" s="76">
        <f t="shared" si="52"/>
        <v>0</v>
      </c>
      <c r="M380" s="75">
        <f t="shared" si="53"/>
        <v>0</v>
      </c>
      <c r="N380" s="75">
        <f t="shared" si="54"/>
        <v>0</v>
      </c>
      <c r="O380" s="75">
        <f t="shared" si="55"/>
        <v>0</v>
      </c>
      <c r="P380" s="77">
        <f t="shared" si="56"/>
        <v>0</v>
      </c>
    </row>
    <row r="381" spans="1:16" s="61" customFormat="1" x14ac:dyDescent="0.2">
      <c r="A381" s="155">
        <v>0</v>
      </c>
      <c r="B381" s="194"/>
      <c r="C381" s="464" t="s">
        <v>178</v>
      </c>
      <c r="D381" s="179"/>
      <c r="E381" s="184"/>
      <c r="F381" s="185"/>
      <c r="G381" s="159"/>
      <c r="H381" s="161"/>
      <c r="I381" s="154"/>
      <c r="J381" s="161"/>
      <c r="K381" s="75">
        <f t="shared" si="51"/>
        <v>0</v>
      </c>
      <c r="L381" s="76">
        <f t="shared" si="52"/>
        <v>0</v>
      </c>
      <c r="M381" s="75">
        <f t="shared" si="53"/>
        <v>0</v>
      </c>
      <c r="N381" s="75">
        <f t="shared" si="54"/>
        <v>0</v>
      </c>
      <c r="O381" s="75">
        <f t="shared" si="55"/>
        <v>0</v>
      </c>
      <c r="P381" s="77">
        <f t="shared" si="56"/>
        <v>0</v>
      </c>
    </row>
    <row r="382" spans="1:16" s="61" customFormat="1" ht="25.5" x14ac:dyDescent="0.2">
      <c r="A382" s="155">
        <v>161</v>
      </c>
      <c r="B382" s="281" t="s">
        <v>126</v>
      </c>
      <c r="C382" s="176" t="s">
        <v>127</v>
      </c>
      <c r="D382" s="465" t="s">
        <v>83</v>
      </c>
      <c r="E382" s="172">
        <v>0.8</v>
      </c>
      <c r="F382" s="161"/>
      <c r="G382" s="159"/>
      <c r="H382" s="161"/>
      <c r="I382" s="161"/>
      <c r="J382" s="161"/>
      <c r="K382" s="75">
        <f t="shared" si="51"/>
        <v>0</v>
      </c>
      <c r="L382" s="76">
        <f t="shared" si="52"/>
        <v>0</v>
      </c>
      <c r="M382" s="75">
        <f t="shared" si="53"/>
        <v>0</v>
      </c>
      <c r="N382" s="75">
        <f t="shared" si="54"/>
        <v>0</v>
      </c>
      <c r="O382" s="75">
        <f t="shared" si="55"/>
        <v>0</v>
      </c>
      <c r="P382" s="77">
        <f t="shared" si="56"/>
        <v>0</v>
      </c>
    </row>
    <row r="383" spans="1:16" s="61" customFormat="1" ht="25.5" x14ac:dyDescent="0.2">
      <c r="A383" s="155">
        <v>162</v>
      </c>
      <c r="B383" s="281" t="s">
        <v>126</v>
      </c>
      <c r="C383" s="176" t="s">
        <v>128</v>
      </c>
      <c r="D383" s="182" t="s">
        <v>83</v>
      </c>
      <c r="E383" s="164">
        <v>2.8</v>
      </c>
      <c r="F383" s="161"/>
      <c r="G383" s="159"/>
      <c r="H383" s="161"/>
      <c r="I383" s="161"/>
      <c r="J383" s="161"/>
      <c r="K383" s="75">
        <f t="shared" si="51"/>
        <v>0</v>
      </c>
      <c r="L383" s="76">
        <f t="shared" si="52"/>
        <v>0</v>
      </c>
      <c r="M383" s="75">
        <f t="shared" si="53"/>
        <v>0</v>
      </c>
      <c r="N383" s="75">
        <f t="shared" si="54"/>
        <v>0</v>
      </c>
      <c r="O383" s="75">
        <f t="shared" si="55"/>
        <v>0</v>
      </c>
      <c r="P383" s="77">
        <f t="shared" si="56"/>
        <v>0</v>
      </c>
    </row>
    <row r="384" spans="1:16" s="61" customFormat="1" ht="25.5" x14ac:dyDescent="0.2">
      <c r="A384" s="155">
        <v>163</v>
      </c>
      <c r="B384" s="281"/>
      <c r="C384" s="466" t="s">
        <v>129</v>
      </c>
      <c r="D384" s="182" t="s">
        <v>78</v>
      </c>
      <c r="E384" s="164">
        <v>0.17</v>
      </c>
      <c r="F384" s="161"/>
      <c r="G384" s="159"/>
      <c r="H384" s="161"/>
      <c r="I384" s="161"/>
      <c r="J384" s="161"/>
      <c r="K384" s="75">
        <f t="shared" si="51"/>
        <v>0</v>
      </c>
      <c r="L384" s="76">
        <f t="shared" si="52"/>
        <v>0</v>
      </c>
      <c r="M384" s="75">
        <f t="shared" si="53"/>
        <v>0</v>
      </c>
      <c r="N384" s="75">
        <f t="shared" si="54"/>
        <v>0</v>
      </c>
      <c r="O384" s="75">
        <f t="shared" si="55"/>
        <v>0</v>
      </c>
      <c r="P384" s="77">
        <f t="shared" si="56"/>
        <v>0</v>
      </c>
    </row>
    <row r="385" spans="1:16" s="61" customFormat="1" ht="76.5" x14ac:dyDescent="0.2">
      <c r="A385" s="155">
        <v>164</v>
      </c>
      <c r="B385" s="281" t="s">
        <v>126</v>
      </c>
      <c r="C385" s="176" t="s">
        <v>130</v>
      </c>
      <c r="D385" s="182" t="s">
        <v>131</v>
      </c>
      <c r="E385" s="164">
        <v>58.2</v>
      </c>
      <c r="F385" s="177"/>
      <c r="G385" s="159"/>
      <c r="H385" s="161"/>
      <c r="I385" s="161"/>
      <c r="J385" s="161"/>
      <c r="K385" s="75">
        <f t="shared" si="51"/>
        <v>0</v>
      </c>
      <c r="L385" s="76">
        <f t="shared" si="52"/>
        <v>0</v>
      </c>
      <c r="M385" s="75">
        <f t="shared" si="53"/>
        <v>0</v>
      </c>
      <c r="N385" s="75">
        <f t="shared" si="54"/>
        <v>0</v>
      </c>
      <c r="O385" s="75">
        <f t="shared" si="55"/>
        <v>0</v>
      </c>
      <c r="P385" s="77">
        <f t="shared" si="56"/>
        <v>0</v>
      </c>
    </row>
    <row r="386" spans="1:16" s="61" customFormat="1" x14ac:dyDescent="0.2">
      <c r="A386" s="155">
        <v>0</v>
      </c>
      <c r="B386" s="281"/>
      <c r="C386" s="178" t="s">
        <v>132</v>
      </c>
      <c r="D386" s="179" t="s">
        <v>131</v>
      </c>
      <c r="E386" s="180">
        <f>E385*1.15</f>
        <v>66.929999999999993</v>
      </c>
      <c r="F386" s="159"/>
      <c r="G386" s="159"/>
      <c r="H386" s="161"/>
      <c r="I386" s="161"/>
      <c r="J386" s="161"/>
      <c r="K386" s="75">
        <f t="shared" si="51"/>
        <v>0</v>
      </c>
      <c r="L386" s="76">
        <f t="shared" si="52"/>
        <v>0</v>
      </c>
      <c r="M386" s="75">
        <f t="shared" si="53"/>
        <v>0</v>
      </c>
      <c r="N386" s="75">
        <f t="shared" si="54"/>
        <v>0</v>
      </c>
      <c r="O386" s="75">
        <f t="shared" si="55"/>
        <v>0</v>
      </c>
      <c r="P386" s="77">
        <f t="shared" si="56"/>
        <v>0</v>
      </c>
    </row>
    <row r="387" spans="1:16" s="61" customFormat="1" x14ac:dyDescent="0.2">
      <c r="A387" s="155">
        <v>0</v>
      </c>
      <c r="B387" s="281"/>
      <c r="C387" s="178" t="s">
        <v>149</v>
      </c>
      <c r="D387" s="179" t="s">
        <v>59</v>
      </c>
      <c r="E387" s="180">
        <v>4</v>
      </c>
      <c r="F387" s="159"/>
      <c r="G387" s="159"/>
      <c r="H387" s="161"/>
      <c r="I387" s="161"/>
      <c r="J387" s="161"/>
      <c r="K387" s="75">
        <f t="shared" si="51"/>
        <v>0</v>
      </c>
      <c r="L387" s="76">
        <f t="shared" si="52"/>
        <v>0</v>
      </c>
      <c r="M387" s="75">
        <f t="shared" si="53"/>
        <v>0</v>
      </c>
      <c r="N387" s="75">
        <f t="shared" si="54"/>
        <v>0</v>
      </c>
      <c r="O387" s="75">
        <f t="shared" si="55"/>
        <v>0</v>
      </c>
      <c r="P387" s="77">
        <f t="shared" si="56"/>
        <v>0</v>
      </c>
    </row>
    <row r="388" spans="1:16" s="61" customFormat="1" ht="25.5" x14ac:dyDescent="0.2">
      <c r="A388" s="155">
        <v>0</v>
      </c>
      <c r="B388" s="281"/>
      <c r="C388" s="181" t="s">
        <v>133</v>
      </c>
      <c r="D388" s="182" t="s">
        <v>66</v>
      </c>
      <c r="E388" s="182">
        <v>1</v>
      </c>
      <c r="F388" s="159"/>
      <c r="G388" s="159"/>
      <c r="H388" s="161"/>
      <c r="I388" s="161"/>
      <c r="J388" s="161"/>
      <c r="K388" s="75">
        <f t="shared" si="51"/>
        <v>0</v>
      </c>
      <c r="L388" s="76">
        <f t="shared" si="52"/>
        <v>0</v>
      </c>
      <c r="M388" s="75">
        <f t="shared" si="53"/>
        <v>0</v>
      </c>
      <c r="N388" s="75">
        <f t="shared" si="54"/>
        <v>0</v>
      </c>
      <c r="O388" s="75">
        <f t="shared" si="55"/>
        <v>0</v>
      </c>
      <c r="P388" s="77">
        <f t="shared" si="56"/>
        <v>0</v>
      </c>
    </row>
    <row r="389" spans="1:16" s="61" customFormat="1" ht="25.5" x14ac:dyDescent="0.2">
      <c r="A389" s="155">
        <v>165</v>
      </c>
      <c r="B389" s="281" t="s">
        <v>126</v>
      </c>
      <c r="C389" s="527" t="s">
        <v>157</v>
      </c>
      <c r="D389" s="179" t="s">
        <v>78</v>
      </c>
      <c r="E389" s="164">
        <v>0.47</v>
      </c>
      <c r="F389" s="159"/>
      <c r="G389" s="159"/>
      <c r="H389" s="161"/>
      <c r="I389" s="161"/>
      <c r="J389" s="161"/>
      <c r="K389" s="75">
        <f t="shared" si="51"/>
        <v>0</v>
      </c>
      <c r="L389" s="76">
        <f t="shared" si="52"/>
        <v>0</v>
      </c>
      <c r="M389" s="75">
        <f t="shared" si="53"/>
        <v>0</v>
      </c>
      <c r="N389" s="75">
        <f t="shared" si="54"/>
        <v>0</v>
      </c>
      <c r="O389" s="75">
        <f t="shared" si="55"/>
        <v>0</v>
      </c>
      <c r="P389" s="77">
        <f t="shared" si="56"/>
        <v>0</v>
      </c>
    </row>
    <row r="390" spans="1:16" s="61" customFormat="1" x14ac:dyDescent="0.2">
      <c r="A390" s="155">
        <v>0</v>
      </c>
      <c r="B390" s="194"/>
      <c r="C390" s="528" t="s">
        <v>158</v>
      </c>
      <c r="D390" s="179" t="s">
        <v>78</v>
      </c>
      <c r="E390" s="184">
        <f>E389*1.05</f>
        <v>0.49349999999999999</v>
      </c>
      <c r="F390" s="185"/>
      <c r="G390" s="159"/>
      <c r="H390" s="161"/>
      <c r="I390" s="161"/>
      <c r="J390" s="161"/>
      <c r="K390" s="75">
        <f t="shared" si="51"/>
        <v>0</v>
      </c>
      <c r="L390" s="76">
        <f t="shared" si="52"/>
        <v>0</v>
      </c>
      <c r="M390" s="75">
        <f t="shared" si="53"/>
        <v>0</v>
      </c>
      <c r="N390" s="75">
        <f t="shared" si="54"/>
        <v>0</v>
      </c>
      <c r="O390" s="75">
        <f t="shared" si="55"/>
        <v>0</v>
      </c>
      <c r="P390" s="77">
        <f t="shared" si="56"/>
        <v>0</v>
      </c>
    </row>
    <row r="391" spans="1:16" s="61" customFormat="1" x14ac:dyDescent="0.2">
      <c r="A391" s="155">
        <v>0</v>
      </c>
      <c r="B391" s="194"/>
      <c r="C391" s="183" t="s">
        <v>136</v>
      </c>
      <c r="D391" s="179" t="s">
        <v>137</v>
      </c>
      <c r="E391" s="184">
        <f>E389*0.25</f>
        <v>0.11749999999999999</v>
      </c>
      <c r="F391" s="185"/>
      <c r="G391" s="159"/>
      <c r="H391" s="161"/>
      <c r="I391" s="154"/>
      <c r="J391" s="161"/>
      <c r="K391" s="75">
        <f t="shared" ref="K391:K436" si="57">SUM(H391:J391)</f>
        <v>0</v>
      </c>
      <c r="L391" s="76">
        <f t="shared" ref="L391:L455" si="58">ROUND(F391*E391,2)</f>
        <v>0</v>
      </c>
      <c r="M391" s="75">
        <f t="shared" ref="M391:M455" si="59">ROUND(H391*E391,2)</f>
        <v>0</v>
      </c>
      <c r="N391" s="75">
        <f t="shared" ref="N391:N455" si="60">ROUND(I391*E391,2)</f>
        <v>0</v>
      </c>
      <c r="O391" s="75">
        <f t="shared" ref="O391:O455" si="61">ROUND(J391*E391,2)</f>
        <v>0</v>
      </c>
      <c r="P391" s="77">
        <f t="shared" ref="P391:P455" si="62">SUM(M391:O391)</f>
        <v>0</v>
      </c>
    </row>
    <row r="392" spans="1:16" s="61" customFormat="1" ht="25.5" x14ac:dyDescent="0.2">
      <c r="A392" s="155">
        <v>166</v>
      </c>
      <c r="B392" s="281" t="s">
        <v>126</v>
      </c>
      <c r="C392" s="176" t="s">
        <v>138</v>
      </c>
      <c r="D392" s="179" t="s">
        <v>78</v>
      </c>
      <c r="E392" s="164">
        <v>0.15</v>
      </c>
      <c r="F392" s="159"/>
      <c r="G392" s="159"/>
      <c r="H392" s="161"/>
      <c r="I392" s="161"/>
      <c r="J392" s="161"/>
      <c r="K392" s="75">
        <f t="shared" si="57"/>
        <v>0</v>
      </c>
      <c r="L392" s="76">
        <f t="shared" si="58"/>
        <v>0</v>
      </c>
      <c r="M392" s="75">
        <f t="shared" si="59"/>
        <v>0</v>
      </c>
      <c r="N392" s="75">
        <f t="shared" si="60"/>
        <v>0</v>
      </c>
      <c r="O392" s="75">
        <f t="shared" si="61"/>
        <v>0</v>
      </c>
      <c r="P392" s="77">
        <f t="shared" si="62"/>
        <v>0</v>
      </c>
    </row>
    <row r="393" spans="1:16" s="61" customFormat="1" x14ac:dyDescent="0.2">
      <c r="A393" s="155">
        <v>0</v>
      </c>
      <c r="B393" s="194"/>
      <c r="C393" s="183" t="s">
        <v>139</v>
      </c>
      <c r="D393" s="179" t="s">
        <v>78</v>
      </c>
      <c r="E393" s="184">
        <f>E392*1.05</f>
        <v>0.1575</v>
      </c>
      <c r="F393" s="185"/>
      <c r="G393" s="159"/>
      <c r="H393" s="161"/>
      <c r="I393" s="161"/>
      <c r="J393" s="161"/>
      <c r="K393" s="75">
        <f t="shared" si="57"/>
        <v>0</v>
      </c>
      <c r="L393" s="76">
        <f t="shared" si="58"/>
        <v>0</v>
      </c>
      <c r="M393" s="75">
        <f t="shared" si="59"/>
        <v>0</v>
      </c>
      <c r="N393" s="75">
        <f t="shared" si="60"/>
        <v>0</v>
      </c>
      <c r="O393" s="75">
        <f t="shared" si="61"/>
        <v>0</v>
      </c>
      <c r="P393" s="77">
        <f t="shared" si="62"/>
        <v>0</v>
      </c>
    </row>
    <row r="394" spans="1:16" s="61" customFormat="1" x14ac:dyDescent="0.2">
      <c r="A394" s="155">
        <v>0</v>
      </c>
      <c r="B394" s="194"/>
      <c r="C394" s="183" t="s">
        <v>136</v>
      </c>
      <c r="D394" s="179" t="s">
        <v>137</v>
      </c>
      <c r="E394" s="184">
        <f>E392*0.25</f>
        <v>3.7499999999999999E-2</v>
      </c>
      <c r="F394" s="185"/>
      <c r="G394" s="159"/>
      <c r="H394" s="161"/>
      <c r="I394" s="154"/>
      <c r="J394" s="161"/>
      <c r="K394" s="75">
        <f t="shared" si="57"/>
        <v>0</v>
      </c>
      <c r="L394" s="76">
        <f t="shared" si="58"/>
        <v>0</v>
      </c>
      <c r="M394" s="75">
        <f t="shared" si="59"/>
        <v>0</v>
      </c>
      <c r="N394" s="75">
        <f t="shared" si="60"/>
        <v>0</v>
      </c>
      <c r="O394" s="75">
        <f t="shared" si="61"/>
        <v>0</v>
      </c>
      <c r="P394" s="77">
        <f t="shared" si="62"/>
        <v>0</v>
      </c>
    </row>
    <row r="395" spans="1:16" s="61" customFormat="1" ht="25.5" x14ac:dyDescent="0.2">
      <c r="A395" s="155">
        <v>167</v>
      </c>
      <c r="B395" s="281" t="s">
        <v>126</v>
      </c>
      <c r="C395" s="186" t="s">
        <v>140</v>
      </c>
      <c r="D395" s="182" t="s">
        <v>59</v>
      </c>
      <c r="E395" s="182">
        <v>1</v>
      </c>
      <c r="F395" s="159"/>
      <c r="G395" s="159"/>
      <c r="H395" s="161"/>
      <c r="I395" s="161"/>
      <c r="J395" s="161"/>
      <c r="K395" s="75">
        <f t="shared" si="57"/>
        <v>0</v>
      </c>
      <c r="L395" s="76">
        <f t="shared" si="58"/>
        <v>0</v>
      </c>
      <c r="M395" s="75">
        <f t="shared" si="59"/>
        <v>0</v>
      </c>
      <c r="N395" s="75">
        <f t="shared" si="60"/>
        <v>0</v>
      </c>
      <c r="O395" s="75">
        <f t="shared" si="61"/>
        <v>0</v>
      </c>
      <c r="P395" s="77">
        <f t="shared" si="62"/>
        <v>0</v>
      </c>
    </row>
    <row r="396" spans="1:16" s="61" customFormat="1" x14ac:dyDescent="0.2">
      <c r="A396" s="187">
        <v>0</v>
      </c>
      <c r="B396" s="281"/>
      <c r="C396" s="176"/>
      <c r="D396" s="179"/>
      <c r="E396" s="164"/>
      <c r="F396" s="159"/>
      <c r="G396" s="159"/>
      <c r="H396" s="161"/>
      <c r="I396" s="161"/>
      <c r="J396" s="161"/>
      <c r="K396" s="75">
        <f t="shared" si="57"/>
        <v>0</v>
      </c>
      <c r="L396" s="76">
        <f t="shared" si="58"/>
        <v>0</v>
      </c>
      <c r="M396" s="75">
        <f t="shared" si="59"/>
        <v>0</v>
      </c>
      <c r="N396" s="75">
        <f t="shared" si="60"/>
        <v>0</v>
      </c>
      <c r="O396" s="75">
        <f t="shared" si="61"/>
        <v>0</v>
      </c>
      <c r="P396" s="77">
        <f t="shared" si="62"/>
        <v>0</v>
      </c>
    </row>
    <row r="397" spans="1:16" s="61" customFormat="1" x14ac:dyDescent="0.2">
      <c r="A397" s="187">
        <v>0</v>
      </c>
      <c r="B397" s="194"/>
      <c r="C397" s="464" t="s">
        <v>179</v>
      </c>
      <c r="D397" s="179"/>
      <c r="E397" s="184"/>
      <c r="F397" s="185"/>
      <c r="G397" s="159"/>
      <c r="H397" s="161"/>
      <c r="I397" s="154"/>
      <c r="J397" s="161"/>
      <c r="K397" s="75">
        <f t="shared" si="57"/>
        <v>0</v>
      </c>
      <c r="L397" s="76">
        <f t="shared" si="58"/>
        <v>0</v>
      </c>
      <c r="M397" s="75">
        <f t="shared" si="59"/>
        <v>0</v>
      </c>
      <c r="N397" s="75">
        <f t="shared" si="60"/>
        <v>0</v>
      </c>
      <c r="O397" s="75">
        <f t="shared" si="61"/>
        <v>0</v>
      </c>
      <c r="P397" s="77">
        <f t="shared" si="62"/>
        <v>0</v>
      </c>
    </row>
    <row r="398" spans="1:16" s="61" customFormat="1" ht="25.5" x14ac:dyDescent="0.2">
      <c r="A398" s="155">
        <v>168</v>
      </c>
      <c r="B398" s="281" t="s">
        <v>126</v>
      </c>
      <c r="C398" s="176" t="s">
        <v>127</v>
      </c>
      <c r="D398" s="465" t="s">
        <v>83</v>
      </c>
      <c r="E398" s="172">
        <v>0.5</v>
      </c>
      <c r="F398" s="161"/>
      <c r="G398" s="159"/>
      <c r="H398" s="161"/>
      <c r="I398" s="161"/>
      <c r="J398" s="161"/>
      <c r="K398" s="75">
        <f t="shared" si="57"/>
        <v>0</v>
      </c>
      <c r="L398" s="76">
        <f t="shared" si="58"/>
        <v>0</v>
      </c>
      <c r="M398" s="75">
        <f t="shared" si="59"/>
        <v>0</v>
      </c>
      <c r="N398" s="75">
        <f t="shared" si="60"/>
        <v>0</v>
      </c>
      <c r="O398" s="75">
        <f t="shared" si="61"/>
        <v>0</v>
      </c>
      <c r="P398" s="77">
        <f t="shared" si="62"/>
        <v>0</v>
      </c>
    </row>
    <row r="399" spans="1:16" s="61" customFormat="1" ht="25.5" x14ac:dyDescent="0.2">
      <c r="A399" s="155">
        <v>169</v>
      </c>
      <c r="B399" s="281" t="s">
        <v>126</v>
      </c>
      <c r="C399" s="176" t="s">
        <v>128</v>
      </c>
      <c r="D399" s="182" t="s">
        <v>83</v>
      </c>
      <c r="E399" s="164">
        <v>1.8</v>
      </c>
      <c r="F399" s="161"/>
      <c r="G399" s="159"/>
      <c r="H399" s="161"/>
      <c r="I399" s="161"/>
      <c r="J399" s="161"/>
      <c r="K399" s="75">
        <f t="shared" si="57"/>
        <v>0</v>
      </c>
      <c r="L399" s="76">
        <f t="shared" si="58"/>
        <v>0</v>
      </c>
      <c r="M399" s="75">
        <f t="shared" si="59"/>
        <v>0</v>
      </c>
      <c r="N399" s="75">
        <f t="shared" si="60"/>
        <v>0</v>
      </c>
      <c r="O399" s="75">
        <f t="shared" si="61"/>
        <v>0</v>
      </c>
      <c r="P399" s="77">
        <f t="shared" si="62"/>
        <v>0</v>
      </c>
    </row>
    <row r="400" spans="1:16" s="61" customFormat="1" ht="25.5" x14ac:dyDescent="0.2">
      <c r="A400" s="155">
        <v>170</v>
      </c>
      <c r="B400" s="281"/>
      <c r="C400" s="466" t="s">
        <v>129</v>
      </c>
      <c r="D400" s="182" t="s">
        <v>78</v>
      </c>
      <c r="E400" s="164">
        <f>1*1*0.1</f>
        <v>0.1</v>
      </c>
      <c r="F400" s="161"/>
      <c r="G400" s="159"/>
      <c r="H400" s="161"/>
      <c r="I400" s="161"/>
      <c r="J400" s="161"/>
      <c r="K400" s="75">
        <f t="shared" si="57"/>
        <v>0</v>
      </c>
      <c r="L400" s="76">
        <f t="shared" si="58"/>
        <v>0</v>
      </c>
      <c r="M400" s="75">
        <f t="shared" si="59"/>
        <v>0</v>
      </c>
      <c r="N400" s="75">
        <f t="shared" si="60"/>
        <v>0</v>
      </c>
      <c r="O400" s="75">
        <f t="shared" si="61"/>
        <v>0</v>
      </c>
      <c r="P400" s="77">
        <f t="shared" si="62"/>
        <v>0</v>
      </c>
    </row>
    <row r="401" spans="1:16" s="61" customFormat="1" ht="76.5" x14ac:dyDescent="0.2">
      <c r="A401" s="155">
        <v>171</v>
      </c>
      <c r="B401" s="281" t="s">
        <v>126</v>
      </c>
      <c r="C401" s="176" t="s">
        <v>130</v>
      </c>
      <c r="D401" s="182" t="s">
        <v>131</v>
      </c>
      <c r="E401" s="164">
        <v>43.5</v>
      </c>
      <c r="F401" s="177"/>
      <c r="G401" s="159"/>
      <c r="H401" s="161"/>
      <c r="I401" s="161"/>
      <c r="J401" s="161"/>
      <c r="K401" s="75">
        <f t="shared" si="57"/>
        <v>0</v>
      </c>
      <c r="L401" s="76">
        <f t="shared" si="58"/>
        <v>0</v>
      </c>
      <c r="M401" s="75">
        <f t="shared" si="59"/>
        <v>0</v>
      </c>
      <c r="N401" s="75">
        <f t="shared" si="60"/>
        <v>0</v>
      </c>
      <c r="O401" s="75">
        <f t="shared" si="61"/>
        <v>0</v>
      </c>
      <c r="P401" s="77">
        <f t="shared" si="62"/>
        <v>0</v>
      </c>
    </row>
    <row r="402" spans="1:16" s="61" customFormat="1" x14ac:dyDescent="0.2">
      <c r="A402" s="155">
        <v>0</v>
      </c>
      <c r="B402" s="281"/>
      <c r="C402" s="178" t="s">
        <v>132</v>
      </c>
      <c r="D402" s="179" t="s">
        <v>131</v>
      </c>
      <c r="E402" s="180">
        <f>E401*1.15</f>
        <v>50.024999999999999</v>
      </c>
      <c r="F402" s="159"/>
      <c r="G402" s="159"/>
      <c r="H402" s="161"/>
      <c r="I402" s="161"/>
      <c r="J402" s="161"/>
      <c r="K402" s="75">
        <f t="shared" si="57"/>
        <v>0</v>
      </c>
      <c r="L402" s="76">
        <f t="shared" si="58"/>
        <v>0</v>
      </c>
      <c r="M402" s="75">
        <f t="shared" si="59"/>
        <v>0</v>
      </c>
      <c r="N402" s="75">
        <f t="shared" si="60"/>
        <v>0</v>
      </c>
      <c r="O402" s="75">
        <f t="shared" si="61"/>
        <v>0</v>
      </c>
      <c r="P402" s="77">
        <f t="shared" si="62"/>
        <v>0</v>
      </c>
    </row>
    <row r="403" spans="1:16" s="61" customFormat="1" x14ac:dyDescent="0.2">
      <c r="A403" s="155">
        <v>0</v>
      </c>
      <c r="B403" s="281"/>
      <c r="C403" s="178" t="s">
        <v>149</v>
      </c>
      <c r="D403" s="179" t="s">
        <v>59</v>
      </c>
      <c r="E403" s="180">
        <v>4</v>
      </c>
      <c r="F403" s="159"/>
      <c r="G403" s="159"/>
      <c r="H403" s="161"/>
      <c r="I403" s="161"/>
      <c r="J403" s="161"/>
      <c r="K403" s="75">
        <f t="shared" si="57"/>
        <v>0</v>
      </c>
      <c r="L403" s="76">
        <f t="shared" si="58"/>
        <v>0</v>
      </c>
      <c r="M403" s="75">
        <f t="shared" si="59"/>
        <v>0</v>
      </c>
      <c r="N403" s="75">
        <f t="shared" si="60"/>
        <v>0</v>
      </c>
      <c r="O403" s="75">
        <f t="shared" si="61"/>
        <v>0</v>
      </c>
      <c r="P403" s="77">
        <f t="shared" si="62"/>
        <v>0</v>
      </c>
    </row>
    <row r="404" spans="1:16" s="61" customFormat="1" ht="25.5" x14ac:dyDescent="0.2">
      <c r="A404" s="155">
        <v>0</v>
      </c>
      <c r="B404" s="281"/>
      <c r="C404" s="181" t="s">
        <v>133</v>
      </c>
      <c r="D404" s="182" t="s">
        <v>66</v>
      </c>
      <c r="E404" s="182">
        <v>1</v>
      </c>
      <c r="F404" s="159"/>
      <c r="G404" s="159"/>
      <c r="H404" s="161"/>
      <c r="I404" s="161"/>
      <c r="J404" s="161"/>
      <c r="K404" s="75">
        <f t="shared" si="57"/>
        <v>0</v>
      </c>
      <c r="L404" s="76">
        <f t="shared" si="58"/>
        <v>0</v>
      </c>
      <c r="M404" s="75">
        <f t="shared" si="59"/>
        <v>0</v>
      </c>
      <c r="N404" s="75">
        <f t="shared" si="60"/>
        <v>0</v>
      </c>
      <c r="O404" s="75">
        <f t="shared" si="61"/>
        <v>0</v>
      </c>
      <c r="P404" s="77">
        <f t="shared" si="62"/>
        <v>0</v>
      </c>
    </row>
    <row r="405" spans="1:16" s="61" customFormat="1" ht="25.5" x14ac:dyDescent="0.2">
      <c r="A405" s="155">
        <v>172</v>
      </c>
      <c r="B405" s="281" t="s">
        <v>126</v>
      </c>
      <c r="C405" s="527" t="s">
        <v>157</v>
      </c>
      <c r="D405" s="179" t="s">
        <v>78</v>
      </c>
      <c r="E405" s="164">
        <v>0.3</v>
      </c>
      <c r="F405" s="159"/>
      <c r="G405" s="159"/>
      <c r="H405" s="161"/>
      <c r="I405" s="161"/>
      <c r="J405" s="161"/>
      <c r="K405" s="75">
        <f t="shared" si="57"/>
        <v>0</v>
      </c>
      <c r="L405" s="76">
        <f t="shared" si="58"/>
        <v>0</v>
      </c>
      <c r="M405" s="75">
        <f t="shared" si="59"/>
        <v>0</v>
      </c>
      <c r="N405" s="75">
        <f t="shared" si="60"/>
        <v>0</v>
      </c>
      <c r="O405" s="75">
        <f t="shared" si="61"/>
        <v>0</v>
      </c>
      <c r="P405" s="77">
        <f t="shared" si="62"/>
        <v>0</v>
      </c>
    </row>
    <row r="406" spans="1:16" s="61" customFormat="1" x14ac:dyDescent="0.2">
      <c r="A406" s="155">
        <v>0</v>
      </c>
      <c r="B406" s="194"/>
      <c r="C406" s="528" t="s">
        <v>158</v>
      </c>
      <c r="D406" s="179" t="s">
        <v>78</v>
      </c>
      <c r="E406" s="184">
        <f>E405*1.05</f>
        <v>0.315</v>
      </c>
      <c r="F406" s="185"/>
      <c r="G406" s="159"/>
      <c r="H406" s="161"/>
      <c r="I406" s="161"/>
      <c r="J406" s="161"/>
      <c r="K406" s="75">
        <f t="shared" si="57"/>
        <v>0</v>
      </c>
      <c r="L406" s="76">
        <f t="shared" si="58"/>
        <v>0</v>
      </c>
      <c r="M406" s="75">
        <f t="shared" si="59"/>
        <v>0</v>
      </c>
      <c r="N406" s="75">
        <f t="shared" si="60"/>
        <v>0</v>
      </c>
      <c r="O406" s="75">
        <f t="shared" si="61"/>
        <v>0</v>
      </c>
      <c r="P406" s="77">
        <f t="shared" si="62"/>
        <v>0</v>
      </c>
    </row>
    <row r="407" spans="1:16" s="61" customFormat="1" x14ac:dyDescent="0.2">
      <c r="A407" s="155">
        <v>0</v>
      </c>
      <c r="B407" s="194"/>
      <c r="C407" s="183" t="s">
        <v>136</v>
      </c>
      <c r="D407" s="179" t="s">
        <v>137</v>
      </c>
      <c r="E407" s="184">
        <f>E405*0.25</f>
        <v>7.4999999999999997E-2</v>
      </c>
      <c r="F407" s="185"/>
      <c r="G407" s="159"/>
      <c r="H407" s="161"/>
      <c r="I407" s="154"/>
      <c r="J407" s="161"/>
      <c r="K407" s="75">
        <f t="shared" si="57"/>
        <v>0</v>
      </c>
      <c r="L407" s="76">
        <f t="shared" si="58"/>
        <v>0</v>
      </c>
      <c r="M407" s="75">
        <f t="shared" si="59"/>
        <v>0</v>
      </c>
      <c r="N407" s="75">
        <f t="shared" si="60"/>
        <v>0</v>
      </c>
      <c r="O407" s="75">
        <f t="shared" si="61"/>
        <v>0</v>
      </c>
      <c r="P407" s="77">
        <f t="shared" si="62"/>
        <v>0</v>
      </c>
    </row>
    <row r="408" spans="1:16" s="61" customFormat="1" ht="25.5" x14ac:dyDescent="0.2">
      <c r="A408" s="155">
        <v>173</v>
      </c>
      <c r="B408" s="281" t="s">
        <v>126</v>
      </c>
      <c r="C408" s="176" t="s">
        <v>138</v>
      </c>
      <c r="D408" s="179" t="s">
        <v>78</v>
      </c>
      <c r="E408" s="164">
        <v>0.1</v>
      </c>
      <c r="F408" s="159"/>
      <c r="G408" s="159"/>
      <c r="H408" s="161"/>
      <c r="I408" s="161"/>
      <c r="J408" s="161"/>
      <c r="K408" s="75">
        <f t="shared" si="57"/>
        <v>0</v>
      </c>
      <c r="L408" s="76">
        <f t="shared" si="58"/>
        <v>0</v>
      </c>
      <c r="M408" s="75">
        <f t="shared" si="59"/>
        <v>0</v>
      </c>
      <c r="N408" s="75">
        <f t="shared" si="60"/>
        <v>0</v>
      </c>
      <c r="O408" s="75">
        <f t="shared" si="61"/>
        <v>0</v>
      </c>
      <c r="P408" s="77">
        <f t="shared" si="62"/>
        <v>0</v>
      </c>
    </row>
    <row r="409" spans="1:16" s="61" customFormat="1" x14ac:dyDescent="0.2">
      <c r="A409" s="155">
        <v>0</v>
      </c>
      <c r="B409" s="194"/>
      <c r="C409" s="183" t="s">
        <v>139</v>
      </c>
      <c r="D409" s="179" t="s">
        <v>78</v>
      </c>
      <c r="E409" s="184">
        <f>E408*1.05</f>
        <v>0.10500000000000001</v>
      </c>
      <c r="F409" s="185"/>
      <c r="G409" s="159"/>
      <c r="H409" s="161"/>
      <c r="I409" s="161"/>
      <c r="J409" s="161"/>
      <c r="K409" s="75">
        <f t="shared" si="57"/>
        <v>0</v>
      </c>
      <c r="L409" s="76">
        <f t="shared" si="58"/>
        <v>0</v>
      </c>
      <c r="M409" s="75">
        <f t="shared" si="59"/>
        <v>0</v>
      </c>
      <c r="N409" s="75">
        <f t="shared" si="60"/>
        <v>0</v>
      </c>
      <c r="O409" s="75">
        <f t="shared" si="61"/>
        <v>0</v>
      </c>
      <c r="P409" s="77">
        <f t="shared" si="62"/>
        <v>0</v>
      </c>
    </row>
    <row r="410" spans="1:16" s="61" customFormat="1" x14ac:dyDescent="0.2">
      <c r="A410" s="155">
        <v>0</v>
      </c>
      <c r="B410" s="194"/>
      <c r="C410" s="183" t="s">
        <v>136</v>
      </c>
      <c r="D410" s="179" t="s">
        <v>137</v>
      </c>
      <c r="E410" s="184">
        <f>E408*0.25</f>
        <v>2.5000000000000001E-2</v>
      </c>
      <c r="F410" s="185"/>
      <c r="G410" s="159"/>
      <c r="H410" s="161"/>
      <c r="I410" s="154"/>
      <c r="J410" s="161"/>
      <c r="K410" s="75">
        <f t="shared" si="57"/>
        <v>0</v>
      </c>
      <c r="L410" s="76">
        <f t="shared" si="58"/>
        <v>0</v>
      </c>
      <c r="M410" s="75">
        <f t="shared" si="59"/>
        <v>0</v>
      </c>
      <c r="N410" s="75">
        <f t="shared" si="60"/>
        <v>0</v>
      </c>
      <c r="O410" s="75">
        <f t="shared" si="61"/>
        <v>0</v>
      </c>
      <c r="P410" s="77">
        <f t="shared" si="62"/>
        <v>0</v>
      </c>
    </row>
    <row r="411" spans="1:16" s="61" customFormat="1" ht="25.5" x14ac:dyDescent="0.2">
      <c r="A411" s="155">
        <v>174</v>
      </c>
      <c r="B411" s="281" t="s">
        <v>126</v>
      </c>
      <c r="C411" s="186" t="s">
        <v>140</v>
      </c>
      <c r="D411" s="182" t="s">
        <v>59</v>
      </c>
      <c r="E411" s="182">
        <v>1</v>
      </c>
      <c r="F411" s="159"/>
      <c r="G411" s="159"/>
      <c r="H411" s="161"/>
      <c r="I411" s="161"/>
      <c r="J411" s="161"/>
      <c r="K411" s="75">
        <f t="shared" si="57"/>
        <v>0</v>
      </c>
      <c r="L411" s="76">
        <f t="shared" si="58"/>
        <v>0</v>
      </c>
      <c r="M411" s="75">
        <f t="shared" si="59"/>
        <v>0</v>
      </c>
      <c r="N411" s="75">
        <f t="shared" si="60"/>
        <v>0</v>
      </c>
      <c r="O411" s="75">
        <f t="shared" si="61"/>
        <v>0</v>
      </c>
      <c r="P411" s="77">
        <f t="shared" si="62"/>
        <v>0</v>
      </c>
    </row>
    <row r="412" spans="1:16" s="61" customFormat="1" x14ac:dyDescent="0.2">
      <c r="A412" s="155">
        <v>0</v>
      </c>
      <c r="B412" s="281"/>
      <c r="C412" s="176"/>
      <c r="D412" s="179"/>
      <c r="E412" s="164"/>
      <c r="F412" s="159"/>
      <c r="G412" s="159"/>
      <c r="H412" s="161"/>
      <c r="I412" s="161"/>
      <c r="J412" s="161"/>
      <c r="K412" s="75">
        <f t="shared" si="57"/>
        <v>0</v>
      </c>
      <c r="L412" s="76">
        <f t="shared" si="58"/>
        <v>0</v>
      </c>
      <c r="M412" s="75">
        <f t="shared" si="59"/>
        <v>0</v>
      </c>
      <c r="N412" s="75">
        <f t="shared" si="60"/>
        <v>0</v>
      </c>
      <c r="O412" s="75">
        <f t="shared" si="61"/>
        <v>0</v>
      </c>
      <c r="P412" s="77">
        <f t="shared" si="62"/>
        <v>0</v>
      </c>
    </row>
    <row r="413" spans="1:16" s="61" customFormat="1" x14ac:dyDescent="0.2">
      <c r="A413" s="155">
        <v>0</v>
      </c>
      <c r="B413" s="194"/>
      <c r="C413" s="464" t="s">
        <v>180</v>
      </c>
      <c r="D413" s="179"/>
      <c r="E413" s="184"/>
      <c r="F413" s="185"/>
      <c r="G413" s="159"/>
      <c r="H413" s="161"/>
      <c r="I413" s="154"/>
      <c r="J413" s="161"/>
      <c r="K413" s="75">
        <f t="shared" si="57"/>
        <v>0</v>
      </c>
      <c r="L413" s="76">
        <f t="shared" si="58"/>
        <v>0</v>
      </c>
      <c r="M413" s="75">
        <f t="shared" si="59"/>
        <v>0</v>
      </c>
      <c r="N413" s="75">
        <f t="shared" si="60"/>
        <v>0</v>
      </c>
      <c r="O413" s="75">
        <f t="shared" si="61"/>
        <v>0</v>
      </c>
      <c r="P413" s="77">
        <f t="shared" si="62"/>
        <v>0</v>
      </c>
    </row>
    <row r="414" spans="1:16" s="61" customFormat="1" ht="25.5" x14ac:dyDescent="0.2">
      <c r="A414" s="155">
        <v>175</v>
      </c>
      <c r="B414" s="281" t="s">
        <v>126</v>
      </c>
      <c r="C414" s="176" t="s">
        <v>128</v>
      </c>
      <c r="D414" s="182" t="s">
        <v>83</v>
      </c>
      <c r="E414" s="164">
        <v>2.5</v>
      </c>
      <c r="F414" s="161"/>
      <c r="G414" s="159"/>
      <c r="H414" s="161"/>
      <c r="I414" s="161"/>
      <c r="J414" s="161"/>
      <c r="K414" s="75">
        <f t="shared" si="57"/>
        <v>0</v>
      </c>
      <c r="L414" s="76">
        <f t="shared" si="58"/>
        <v>0</v>
      </c>
      <c r="M414" s="75">
        <f t="shared" si="59"/>
        <v>0</v>
      </c>
      <c r="N414" s="75">
        <f t="shared" si="60"/>
        <v>0</v>
      </c>
      <c r="O414" s="75">
        <f t="shared" si="61"/>
        <v>0</v>
      </c>
      <c r="P414" s="77">
        <f t="shared" si="62"/>
        <v>0</v>
      </c>
    </row>
    <row r="415" spans="1:16" s="61" customFormat="1" ht="76.5" x14ac:dyDescent="0.2">
      <c r="A415" s="155">
        <v>176</v>
      </c>
      <c r="B415" s="281" t="s">
        <v>126</v>
      </c>
      <c r="C415" s="176" t="s">
        <v>130</v>
      </c>
      <c r="D415" s="182" t="s">
        <v>131</v>
      </c>
      <c r="E415" s="164">
        <v>35.299999999999997</v>
      </c>
      <c r="F415" s="177"/>
      <c r="G415" s="159"/>
      <c r="H415" s="161"/>
      <c r="I415" s="161"/>
      <c r="J415" s="161"/>
      <c r="K415" s="75">
        <f t="shared" si="57"/>
        <v>0</v>
      </c>
      <c r="L415" s="76">
        <f t="shared" si="58"/>
        <v>0</v>
      </c>
      <c r="M415" s="75">
        <f t="shared" si="59"/>
        <v>0</v>
      </c>
      <c r="N415" s="75">
        <f t="shared" si="60"/>
        <v>0</v>
      </c>
      <c r="O415" s="75">
        <f t="shared" si="61"/>
        <v>0</v>
      </c>
      <c r="P415" s="77">
        <f t="shared" si="62"/>
        <v>0</v>
      </c>
    </row>
    <row r="416" spans="1:16" s="61" customFormat="1" x14ac:dyDescent="0.2">
      <c r="A416" s="155">
        <v>0</v>
      </c>
      <c r="B416" s="281"/>
      <c r="C416" s="178" t="s">
        <v>132</v>
      </c>
      <c r="D416" s="179" t="s">
        <v>131</v>
      </c>
      <c r="E416" s="180">
        <f>E415*1.15</f>
        <v>40.594999999999992</v>
      </c>
      <c r="F416" s="159"/>
      <c r="G416" s="159"/>
      <c r="H416" s="161"/>
      <c r="I416" s="161"/>
      <c r="J416" s="161"/>
      <c r="K416" s="75">
        <f t="shared" si="57"/>
        <v>0</v>
      </c>
      <c r="L416" s="76">
        <f t="shared" si="58"/>
        <v>0</v>
      </c>
      <c r="M416" s="75">
        <f t="shared" si="59"/>
        <v>0</v>
      </c>
      <c r="N416" s="75">
        <f t="shared" si="60"/>
        <v>0</v>
      </c>
      <c r="O416" s="75">
        <f t="shared" si="61"/>
        <v>0</v>
      </c>
      <c r="P416" s="77">
        <f t="shared" si="62"/>
        <v>0</v>
      </c>
    </row>
    <row r="417" spans="1:16" s="61" customFormat="1" x14ac:dyDescent="0.2">
      <c r="A417" s="155">
        <v>0</v>
      </c>
      <c r="B417" s="281"/>
      <c r="C417" s="178" t="s">
        <v>149</v>
      </c>
      <c r="D417" s="179" t="s">
        <v>59</v>
      </c>
      <c r="E417" s="180">
        <v>4</v>
      </c>
      <c r="F417" s="159"/>
      <c r="G417" s="159"/>
      <c r="H417" s="161"/>
      <c r="I417" s="161"/>
      <c r="J417" s="161"/>
      <c r="K417" s="75">
        <f t="shared" si="57"/>
        <v>0</v>
      </c>
      <c r="L417" s="76">
        <f t="shared" si="58"/>
        <v>0</v>
      </c>
      <c r="M417" s="75">
        <f t="shared" si="59"/>
        <v>0</v>
      </c>
      <c r="N417" s="75">
        <f t="shared" si="60"/>
        <v>0</v>
      </c>
      <c r="O417" s="75">
        <f t="shared" si="61"/>
        <v>0</v>
      </c>
      <c r="P417" s="77">
        <f t="shared" si="62"/>
        <v>0</v>
      </c>
    </row>
    <row r="418" spans="1:16" s="61" customFormat="1" ht="25.5" x14ac:dyDescent="0.2">
      <c r="A418" s="155">
        <v>0</v>
      </c>
      <c r="B418" s="281"/>
      <c r="C418" s="181" t="s">
        <v>133</v>
      </c>
      <c r="D418" s="182" t="s">
        <v>66</v>
      </c>
      <c r="E418" s="182">
        <v>1</v>
      </c>
      <c r="F418" s="159"/>
      <c r="G418" s="159"/>
      <c r="H418" s="161"/>
      <c r="I418" s="161"/>
      <c r="J418" s="161"/>
      <c r="K418" s="75">
        <f t="shared" si="57"/>
        <v>0</v>
      </c>
      <c r="L418" s="76">
        <f t="shared" si="58"/>
        <v>0</v>
      </c>
      <c r="M418" s="75">
        <f t="shared" si="59"/>
        <v>0</v>
      </c>
      <c r="N418" s="75">
        <f t="shared" si="60"/>
        <v>0</v>
      </c>
      <c r="O418" s="75">
        <f t="shared" si="61"/>
        <v>0</v>
      </c>
      <c r="P418" s="77">
        <f t="shared" si="62"/>
        <v>0</v>
      </c>
    </row>
    <row r="419" spans="1:16" s="61" customFormat="1" ht="25.5" x14ac:dyDescent="0.2">
      <c r="A419" s="155">
        <v>177</v>
      </c>
      <c r="B419" s="281" t="s">
        <v>126</v>
      </c>
      <c r="C419" s="527" t="s">
        <v>157</v>
      </c>
      <c r="D419" s="179" t="s">
        <v>78</v>
      </c>
      <c r="E419" s="164">
        <v>0.3</v>
      </c>
      <c r="F419" s="159"/>
      <c r="G419" s="159"/>
      <c r="H419" s="161"/>
      <c r="I419" s="161"/>
      <c r="J419" s="161"/>
      <c r="K419" s="75">
        <f t="shared" si="57"/>
        <v>0</v>
      </c>
      <c r="L419" s="76">
        <f t="shared" si="58"/>
        <v>0</v>
      </c>
      <c r="M419" s="75">
        <f t="shared" si="59"/>
        <v>0</v>
      </c>
      <c r="N419" s="75">
        <f t="shared" si="60"/>
        <v>0</v>
      </c>
      <c r="O419" s="75">
        <f t="shared" si="61"/>
        <v>0</v>
      </c>
      <c r="P419" s="77">
        <f t="shared" si="62"/>
        <v>0</v>
      </c>
    </row>
    <row r="420" spans="1:16" s="61" customFormat="1" x14ac:dyDescent="0.2">
      <c r="A420" s="155">
        <v>0</v>
      </c>
      <c r="B420" s="194"/>
      <c r="C420" s="528" t="s">
        <v>158</v>
      </c>
      <c r="D420" s="179" t="s">
        <v>78</v>
      </c>
      <c r="E420" s="184">
        <f>E419*1.05</f>
        <v>0.315</v>
      </c>
      <c r="F420" s="185"/>
      <c r="G420" s="159"/>
      <c r="H420" s="161"/>
      <c r="I420" s="161"/>
      <c r="J420" s="161"/>
      <c r="K420" s="75">
        <f t="shared" si="57"/>
        <v>0</v>
      </c>
      <c r="L420" s="76">
        <f t="shared" si="58"/>
        <v>0</v>
      </c>
      <c r="M420" s="75">
        <f t="shared" si="59"/>
        <v>0</v>
      </c>
      <c r="N420" s="75">
        <f t="shared" si="60"/>
        <v>0</v>
      </c>
      <c r="O420" s="75">
        <f t="shared" si="61"/>
        <v>0</v>
      </c>
      <c r="P420" s="77">
        <f t="shared" si="62"/>
        <v>0</v>
      </c>
    </row>
    <row r="421" spans="1:16" s="61" customFormat="1" x14ac:dyDescent="0.2">
      <c r="A421" s="155">
        <v>0</v>
      </c>
      <c r="B421" s="194"/>
      <c r="C421" s="183" t="s">
        <v>136</v>
      </c>
      <c r="D421" s="179" t="s">
        <v>137</v>
      </c>
      <c r="E421" s="184">
        <f>E419*0.25</f>
        <v>7.4999999999999997E-2</v>
      </c>
      <c r="F421" s="185"/>
      <c r="G421" s="159"/>
      <c r="H421" s="161"/>
      <c r="I421" s="154"/>
      <c r="J421" s="161"/>
      <c r="K421" s="75">
        <f t="shared" si="57"/>
        <v>0</v>
      </c>
      <c r="L421" s="76">
        <f t="shared" si="58"/>
        <v>0</v>
      </c>
      <c r="M421" s="75">
        <f t="shared" si="59"/>
        <v>0</v>
      </c>
      <c r="N421" s="75">
        <f t="shared" si="60"/>
        <v>0</v>
      </c>
      <c r="O421" s="75">
        <f t="shared" si="61"/>
        <v>0</v>
      </c>
      <c r="P421" s="77">
        <f t="shared" si="62"/>
        <v>0</v>
      </c>
    </row>
    <row r="422" spans="1:16" s="61" customFormat="1" ht="25.5" x14ac:dyDescent="0.2">
      <c r="A422" s="155">
        <v>178</v>
      </c>
      <c r="B422" s="281" t="s">
        <v>126</v>
      </c>
      <c r="C422" s="186" t="s">
        <v>140</v>
      </c>
      <c r="D422" s="182" t="s">
        <v>59</v>
      </c>
      <c r="E422" s="182">
        <v>1</v>
      </c>
      <c r="F422" s="159"/>
      <c r="G422" s="159"/>
      <c r="H422" s="161"/>
      <c r="I422" s="161"/>
      <c r="J422" s="161"/>
      <c r="K422" s="75">
        <f t="shared" si="57"/>
        <v>0</v>
      </c>
      <c r="L422" s="76">
        <f t="shared" si="58"/>
        <v>0</v>
      </c>
      <c r="M422" s="75">
        <f t="shared" si="59"/>
        <v>0</v>
      </c>
      <c r="N422" s="75">
        <f t="shared" si="60"/>
        <v>0</v>
      </c>
      <c r="O422" s="75">
        <f t="shared" si="61"/>
        <v>0</v>
      </c>
      <c r="P422" s="77">
        <f t="shared" si="62"/>
        <v>0</v>
      </c>
    </row>
    <row r="423" spans="1:16" s="61" customFormat="1" x14ac:dyDescent="0.2">
      <c r="A423" s="155">
        <v>0</v>
      </c>
      <c r="B423" s="281"/>
      <c r="C423" s="176"/>
      <c r="D423" s="179"/>
      <c r="E423" s="164"/>
      <c r="F423" s="159"/>
      <c r="G423" s="159"/>
      <c r="H423" s="161"/>
      <c r="I423" s="161"/>
      <c r="J423" s="161"/>
      <c r="K423" s="75">
        <f t="shared" si="57"/>
        <v>0</v>
      </c>
      <c r="L423" s="76">
        <f t="shared" si="58"/>
        <v>0</v>
      </c>
      <c r="M423" s="75">
        <f t="shared" si="59"/>
        <v>0</v>
      </c>
      <c r="N423" s="75">
        <f t="shared" si="60"/>
        <v>0</v>
      </c>
      <c r="O423" s="75">
        <f t="shared" si="61"/>
        <v>0</v>
      </c>
      <c r="P423" s="77">
        <f t="shared" si="62"/>
        <v>0</v>
      </c>
    </row>
    <row r="424" spans="1:16" s="61" customFormat="1" x14ac:dyDescent="0.2">
      <c r="A424" s="155">
        <v>0</v>
      </c>
      <c r="B424" s="281"/>
      <c r="C424" s="186"/>
      <c r="D424" s="182"/>
      <c r="E424" s="182"/>
      <c r="F424" s="159"/>
      <c r="G424" s="159"/>
      <c r="H424" s="161"/>
      <c r="I424" s="161"/>
      <c r="J424" s="161"/>
      <c r="K424" s="75">
        <f t="shared" si="57"/>
        <v>0</v>
      </c>
      <c r="L424" s="76">
        <f t="shared" si="58"/>
        <v>0</v>
      </c>
      <c r="M424" s="75">
        <f t="shared" si="59"/>
        <v>0</v>
      </c>
      <c r="N424" s="75">
        <f t="shared" si="60"/>
        <v>0</v>
      </c>
      <c r="O424" s="75">
        <f t="shared" si="61"/>
        <v>0</v>
      </c>
      <c r="P424" s="77">
        <f t="shared" si="62"/>
        <v>0</v>
      </c>
    </row>
    <row r="425" spans="1:16" s="61" customFormat="1" x14ac:dyDescent="0.2">
      <c r="A425" s="155">
        <v>0</v>
      </c>
      <c r="B425" s="194"/>
      <c r="C425" s="464" t="s">
        <v>181</v>
      </c>
      <c r="D425" s="179"/>
      <c r="E425" s="184"/>
      <c r="F425" s="185"/>
      <c r="G425" s="159"/>
      <c r="H425" s="161"/>
      <c r="I425" s="154"/>
      <c r="J425" s="161"/>
      <c r="K425" s="75">
        <f t="shared" si="57"/>
        <v>0</v>
      </c>
      <c r="L425" s="76">
        <f t="shared" si="58"/>
        <v>0</v>
      </c>
      <c r="M425" s="75">
        <f t="shared" si="59"/>
        <v>0</v>
      </c>
      <c r="N425" s="75">
        <f t="shared" si="60"/>
        <v>0</v>
      </c>
      <c r="O425" s="75">
        <f t="shared" si="61"/>
        <v>0</v>
      </c>
      <c r="P425" s="77">
        <f t="shared" si="62"/>
        <v>0</v>
      </c>
    </row>
    <row r="426" spans="1:16" s="61" customFormat="1" ht="25.5" x14ac:dyDescent="0.2">
      <c r="A426" s="155">
        <v>179</v>
      </c>
      <c r="B426" s="281" t="s">
        <v>126</v>
      </c>
      <c r="C426" s="176" t="s">
        <v>128</v>
      </c>
      <c r="D426" s="182" t="s">
        <v>83</v>
      </c>
      <c r="E426" s="164">
        <v>3</v>
      </c>
      <c r="F426" s="161"/>
      <c r="G426" s="159"/>
      <c r="H426" s="161"/>
      <c r="I426" s="161"/>
      <c r="J426" s="161"/>
      <c r="K426" s="75">
        <f t="shared" si="57"/>
        <v>0</v>
      </c>
      <c r="L426" s="76">
        <f t="shared" si="58"/>
        <v>0</v>
      </c>
      <c r="M426" s="75">
        <f t="shared" si="59"/>
        <v>0</v>
      </c>
      <c r="N426" s="75">
        <f t="shared" si="60"/>
        <v>0</v>
      </c>
      <c r="O426" s="75">
        <f t="shared" si="61"/>
        <v>0</v>
      </c>
      <c r="P426" s="77">
        <f t="shared" si="62"/>
        <v>0</v>
      </c>
    </row>
    <row r="427" spans="1:16" s="61" customFormat="1" ht="76.5" x14ac:dyDescent="0.2">
      <c r="A427" s="155">
        <v>180</v>
      </c>
      <c r="B427" s="281" t="s">
        <v>126</v>
      </c>
      <c r="C427" s="176" t="s">
        <v>130</v>
      </c>
      <c r="D427" s="182" t="s">
        <v>131</v>
      </c>
      <c r="E427" s="164">
        <v>35.299999999999997</v>
      </c>
      <c r="F427" s="177"/>
      <c r="G427" s="159"/>
      <c r="H427" s="161"/>
      <c r="I427" s="161"/>
      <c r="J427" s="161"/>
      <c r="K427" s="75">
        <f t="shared" si="57"/>
        <v>0</v>
      </c>
      <c r="L427" s="76">
        <f t="shared" si="58"/>
        <v>0</v>
      </c>
      <c r="M427" s="75">
        <f t="shared" si="59"/>
        <v>0</v>
      </c>
      <c r="N427" s="75">
        <f t="shared" si="60"/>
        <v>0</v>
      </c>
      <c r="O427" s="75">
        <f t="shared" si="61"/>
        <v>0</v>
      </c>
      <c r="P427" s="77">
        <f t="shared" si="62"/>
        <v>0</v>
      </c>
    </row>
    <row r="428" spans="1:16" s="61" customFormat="1" x14ac:dyDescent="0.2">
      <c r="A428" s="155">
        <v>0</v>
      </c>
      <c r="B428" s="281"/>
      <c r="C428" s="178" t="s">
        <v>132</v>
      </c>
      <c r="D428" s="179" t="s">
        <v>131</v>
      </c>
      <c r="E428" s="180">
        <f>E427*1.15</f>
        <v>40.594999999999992</v>
      </c>
      <c r="F428" s="159"/>
      <c r="G428" s="159"/>
      <c r="H428" s="161"/>
      <c r="I428" s="161"/>
      <c r="J428" s="161"/>
      <c r="K428" s="75">
        <f t="shared" si="57"/>
        <v>0</v>
      </c>
      <c r="L428" s="76">
        <f t="shared" si="58"/>
        <v>0</v>
      </c>
      <c r="M428" s="75">
        <f t="shared" si="59"/>
        <v>0</v>
      </c>
      <c r="N428" s="75">
        <f t="shared" si="60"/>
        <v>0</v>
      </c>
      <c r="O428" s="75">
        <f t="shared" si="61"/>
        <v>0</v>
      </c>
      <c r="P428" s="77">
        <f t="shared" si="62"/>
        <v>0</v>
      </c>
    </row>
    <row r="429" spans="1:16" s="61" customFormat="1" x14ac:dyDescent="0.2">
      <c r="A429" s="155">
        <v>0</v>
      </c>
      <c r="B429" s="281"/>
      <c r="C429" s="178" t="s">
        <v>149</v>
      </c>
      <c r="D429" s="179" t="s">
        <v>59</v>
      </c>
      <c r="E429" s="180">
        <v>4</v>
      </c>
      <c r="F429" s="159"/>
      <c r="G429" s="159"/>
      <c r="H429" s="161"/>
      <c r="I429" s="161"/>
      <c r="J429" s="161"/>
      <c r="K429" s="75">
        <f t="shared" si="57"/>
        <v>0</v>
      </c>
      <c r="L429" s="76">
        <f t="shared" si="58"/>
        <v>0</v>
      </c>
      <c r="M429" s="75">
        <f t="shared" si="59"/>
        <v>0</v>
      </c>
      <c r="N429" s="75">
        <f t="shared" si="60"/>
        <v>0</v>
      </c>
      <c r="O429" s="75">
        <f t="shared" si="61"/>
        <v>0</v>
      </c>
      <c r="P429" s="77">
        <f t="shared" si="62"/>
        <v>0</v>
      </c>
    </row>
    <row r="430" spans="1:16" s="61" customFormat="1" ht="25.5" x14ac:dyDescent="0.2">
      <c r="A430" s="155">
        <v>0</v>
      </c>
      <c r="B430" s="281"/>
      <c r="C430" s="181" t="s">
        <v>133</v>
      </c>
      <c r="D430" s="182" t="s">
        <v>66</v>
      </c>
      <c r="E430" s="182">
        <v>1</v>
      </c>
      <c r="F430" s="159"/>
      <c r="G430" s="159"/>
      <c r="H430" s="161"/>
      <c r="I430" s="161"/>
      <c r="J430" s="161"/>
      <c r="K430" s="75">
        <f t="shared" si="57"/>
        <v>0</v>
      </c>
      <c r="L430" s="76">
        <f t="shared" si="58"/>
        <v>0</v>
      </c>
      <c r="M430" s="75">
        <f t="shared" si="59"/>
        <v>0</v>
      </c>
      <c r="N430" s="75">
        <f t="shared" si="60"/>
        <v>0</v>
      </c>
      <c r="O430" s="75">
        <f t="shared" si="61"/>
        <v>0</v>
      </c>
      <c r="P430" s="77">
        <f t="shared" si="62"/>
        <v>0</v>
      </c>
    </row>
    <row r="431" spans="1:16" s="61" customFormat="1" ht="25.5" x14ac:dyDescent="0.2">
      <c r="A431" s="155">
        <v>181</v>
      </c>
      <c r="B431" s="281" t="s">
        <v>126</v>
      </c>
      <c r="C431" s="527" t="s">
        <v>157</v>
      </c>
      <c r="D431" s="179" t="s">
        <v>78</v>
      </c>
      <c r="E431" s="164">
        <v>0.3</v>
      </c>
      <c r="F431" s="159"/>
      <c r="G431" s="159"/>
      <c r="H431" s="161"/>
      <c r="I431" s="161"/>
      <c r="J431" s="161"/>
      <c r="K431" s="75">
        <f t="shared" si="57"/>
        <v>0</v>
      </c>
      <c r="L431" s="76">
        <f t="shared" si="58"/>
        <v>0</v>
      </c>
      <c r="M431" s="75">
        <f t="shared" si="59"/>
        <v>0</v>
      </c>
      <c r="N431" s="75">
        <f t="shared" si="60"/>
        <v>0</v>
      </c>
      <c r="O431" s="75">
        <f t="shared" si="61"/>
        <v>0</v>
      </c>
      <c r="P431" s="77">
        <f t="shared" si="62"/>
        <v>0</v>
      </c>
    </row>
    <row r="432" spans="1:16" s="61" customFormat="1" x14ac:dyDescent="0.2">
      <c r="A432" s="155">
        <v>0</v>
      </c>
      <c r="B432" s="194"/>
      <c r="C432" s="528" t="s">
        <v>158</v>
      </c>
      <c r="D432" s="179" t="s">
        <v>78</v>
      </c>
      <c r="E432" s="184">
        <f>E431*1.05</f>
        <v>0.315</v>
      </c>
      <c r="F432" s="185"/>
      <c r="G432" s="159"/>
      <c r="H432" s="161"/>
      <c r="I432" s="161"/>
      <c r="J432" s="161"/>
      <c r="K432" s="75">
        <f t="shared" si="57"/>
        <v>0</v>
      </c>
      <c r="L432" s="76">
        <f t="shared" si="58"/>
        <v>0</v>
      </c>
      <c r="M432" s="75">
        <f t="shared" si="59"/>
        <v>0</v>
      </c>
      <c r="N432" s="75">
        <f t="shared" si="60"/>
        <v>0</v>
      </c>
      <c r="O432" s="75">
        <f t="shared" si="61"/>
        <v>0</v>
      </c>
      <c r="P432" s="77">
        <f t="shared" si="62"/>
        <v>0</v>
      </c>
    </row>
    <row r="433" spans="1:16" s="61" customFormat="1" x14ac:dyDescent="0.2">
      <c r="A433" s="155">
        <v>0</v>
      </c>
      <c r="B433" s="194"/>
      <c r="C433" s="183" t="s">
        <v>136</v>
      </c>
      <c r="D433" s="179" t="s">
        <v>137</v>
      </c>
      <c r="E433" s="184">
        <f>E431*0.25</f>
        <v>7.4999999999999997E-2</v>
      </c>
      <c r="F433" s="185"/>
      <c r="G433" s="159"/>
      <c r="H433" s="161"/>
      <c r="I433" s="154"/>
      <c r="J433" s="161"/>
      <c r="K433" s="75">
        <f t="shared" si="57"/>
        <v>0</v>
      </c>
      <c r="L433" s="76">
        <f t="shared" si="58"/>
        <v>0</v>
      </c>
      <c r="M433" s="75">
        <f t="shared" si="59"/>
        <v>0</v>
      </c>
      <c r="N433" s="75">
        <f t="shared" si="60"/>
        <v>0</v>
      </c>
      <c r="O433" s="75">
        <f t="shared" si="61"/>
        <v>0</v>
      </c>
      <c r="P433" s="77">
        <f t="shared" si="62"/>
        <v>0</v>
      </c>
    </row>
    <row r="434" spans="1:16" s="61" customFormat="1" ht="25.5" x14ac:dyDescent="0.2">
      <c r="A434" s="155">
        <v>182</v>
      </c>
      <c r="B434" s="281" t="s">
        <v>126</v>
      </c>
      <c r="C434" s="186" t="s">
        <v>140</v>
      </c>
      <c r="D434" s="182" t="s">
        <v>59</v>
      </c>
      <c r="E434" s="182">
        <v>1</v>
      </c>
      <c r="F434" s="159"/>
      <c r="G434" s="159"/>
      <c r="H434" s="161"/>
      <c r="I434" s="161"/>
      <c r="J434" s="161"/>
      <c r="K434" s="75">
        <f t="shared" si="57"/>
        <v>0</v>
      </c>
      <c r="L434" s="76">
        <f t="shared" si="58"/>
        <v>0</v>
      </c>
      <c r="M434" s="75">
        <f t="shared" si="59"/>
        <v>0</v>
      </c>
      <c r="N434" s="75">
        <f t="shared" si="60"/>
        <v>0</v>
      </c>
      <c r="O434" s="75">
        <f t="shared" si="61"/>
        <v>0</v>
      </c>
      <c r="P434" s="77">
        <f t="shared" si="62"/>
        <v>0</v>
      </c>
    </row>
    <row r="435" spans="1:16" s="61" customFormat="1" x14ac:dyDescent="0.2">
      <c r="A435" s="155">
        <v>0</v>
      </c>
      <c r="B435" s="281"/>
      <c r="C435" s="186"/>
      <c r="D435" s="182"/>
      <c r="E435" s="182"/>
      <c r="F435" s="159"/>
      <c r="G435" s="159"/>
      <c r="H435" s="161"/>
      <c r="I435" s="161"/>
      <c r="J435" s="161"/>
      <c r="K435" s="75">
        <f t="shared" si="57"/>
        <v>0</v>
      </c>
      <c r="L435" s="76">
        <f t="shared" si="58"/>
        <v>0</v>
      </c>
      <c r="M435" s="75">
        <f t="shared" si="59"/>
        <v>0</v>
      </c>
      <c r="N435" s="75">
        <f t="shared" si="60"/>
        <v>0</v>
      </c>
      <c r="O435" s="75">
        <f t="shared" si="61"/>
        <v>0</v>
      </c>
      <c r="P435" s="77">
        <f t="shared" si="62"/>
        <v>0</v>
      </c>
    </row>
    <row r="436" spans="1:16" s="61" customFormat="1" ht="15" x14ac:dyDescent="0.2">
      <c r="A436" s="155">
        <v>0</v>
      </c>
      <c r="B436" s="467"/>
      <c r="C436" s="476" t="s">
        <v>182</v>
      </c>
      <c r="D436" s="477"/>
      <c r="E436" s="467"/>
      <c r="F436" s="330"/>
      <c r="G436" s="330"/>
      <c r="H436" s="330"/>
      <c r="I436" s="330"/>
      <c r="J436" s="330"/>
      <c r="K436" s="75">
        <f t="shared" si="57"/>
        <v>0</v>
      </c>
      <c r="L436" s="76">
        <f t="shared" si="58"/>
        <v>0</v>
      </c>
      <c r="M436" s="75">
        <f t="shared" si="59"/>
        <v>0</v>
      </c>
      <c r="N436" s="75">
        <f t="shared" si="60"/>
        <v>0</v>
      </c>
      <c r="O436" s="75">
        <f t="shared" si="61"/>
        <v>0</v>
      </c>
      <c r="P436" s="77">
        <f t="shared" si="62"/>
        <v>0</v>
      </c>
    </row>
    <row r="437" spans="1:16" s="61" customFormat="1" ht="15" x14ac:dyDescent="0.2">
      <c r="A437" s="155" t="s">
        <v>785</v>
      </c>
      <c r="B437" s="281"/>
      <c r="C437" s="478" t="s">
        <v>303</v>
      </c>
      <c r="D437" s="182" t="s">
        <v>115</v>
      </c>
      <c r="E437" s="164">
        <v>9.6</v>
      </c>
      <c r="F437" s="309"/>
      <c r="G437" s="309"/>
      <c r="H437" s="310"/>
      <c r="I437" s="310"/>
      <c r="J437" s="310"/>
      <c r="K437" s="75">
        <f t="shared" ref="K437" si="63">SUM(H437:J437)</f>
        <v>0</v>
      </c>
      <c r="L437" s="76">
        <f t="shared" si="58"/>
        <v>0</v>
      </c>
      <c r="M437" s="75">
        <f t="shared" si="59"/>
        <v>0</v>
      </c>
      <c r="N437" s="75">
        <f t="shared" si="60"/>
        <v>0</v>
      </c>
      <c r="O437" s="75">
        <f t="shared" si="61"/>
        <v>0</v>
      </c>
      <c r="P437" s="77">
        <f t="shared" si="62"/>
        <v>0</v>
      </c>
    </row>
    <row r="438" spans="1:16" s="61" customFormat="1" ht="15" x14ac:dyDescent="0.2">
      <c r="A438" s="155">
        <v>0</v>
      </c>
      <c r="B438" s="467"/>
      <c r="C438" s="476" t="s">
        <v>183</v>
      </c>
      <c r="D438" s="477"/>
      <c r="E438" s="467"/>
      <c r="F438" s="330"/>
      <c r="G438" s="330"/>
      <c r="H438" s="330"/>
      <c r="I438" s="330"/>
      <c r="J438" s="330"/>
      <c r="K438" s="75">
        <f t="shared" ref="K438" si="64">SUM(H438:J438)</f>
        <v>0</v>
      </c>
      <c r="L438" s="76">
        <f t="shared" si="58"/>
        <v>0</v>
      </c>
      <c r="M438" s="75">
        <f t="shared" si="59"/>
        <v>0</v>
      </c>
      <c r="N438" s="75">
        <f t="shared" si="60"/>
        <v>0</v>
      </c>
      <c r="O438" s="75">
        <f t="shared" si="61"/>
        <v>0</v>
      </c>
      <c r="P438" s="77">
        <f t="shared" si="62"/>
        <v>0</v>
      </c>
    </row>
    <row r="439" spans="1:16" s="61" customFormat="1" x14ac:dyDescent="0.2">
      <c r="A439" s="155">
        <v>183</v>
      </c>
      <c r="B439" s="467"/>
      <c r="C439" s="176" t="s">
        <v>184</v>
      </c>
      <c r="D439" s="182" t="s">
        <v>83</v>
      </c>
      <c r="E439" s="164">
        <v>48</v>
      </c>
      <c r="F439" s="310"/>
      <c r="G439" s="309"/>
      <c r="H439" s="310"/>
      <c r="I439" s="310"/>
      <c r="J439" s="310"/>
      <c r="K439" s="75">
        <f t="shared" ref="K439:K457" si="65">SUM(H439:J439)</f>
        <v>0</v>
      </c>
      <c r="L439" s="76">
        <f t="shared" si="58"/>
        <v>0</v>
      </c>
      <c r="M439" s="75">
        <f t="shared" si="59"/>
        <v>0</v>
      </c>
      <c r="N439" s="75">
        <f t="shared" si="60"/>
        <v>0</v>
      </c>
      <c r="O439" s="75">
        <f t="shared" si="61"/>
        <v>0</v>
      </c>
      <c r="P439" s="77">
        <f t="shared" si="62"/>
        <v>0</v>
      </c>
    </row>
    <row r="440" spans="1:16" s="61" customFormat="1" ht="76.5" x14ac:dyDescent="0.2">
      <c r="A440" s="155">
        <v>184</v>
      </c>
      <c r="B440" s="467"/>
      <c r="C440" s="176" t="s">
        <v>185</v>
      </c>
      <c r="D440" s="182" t="s">
        <v>131</v>
      </c>
      <c r="E440" s="164">
        <f>56.72*3</f>
        <v>170.16</v>
      </c>
      <c r="F440" s="313"/>
      <c r="G440" s="309"/>
      <c r="H440" s="310"/>
      <c r="I440" s="310"/>
      <c r="J440" s="310"/>
      <c r="K440" s="75">
        <f t="shared" si="65"/>
        <v>0</v>
      </c>
      <c r="L440" s="76">
        <f t="shared" si="58"/>
        <v>0</v>
      </c>
      <c r="M440" s="75">
        <f t="shared" si="59"/>
        <v>0</v>
      </c>
      <c r="N440" s="75">
        <f t="shared" si="60"/>
        <v>0</v>
      </c>
      <c r="O440" s="75">
        <f t="shared" si="61"/>
        <v>0</v>
      </c>
      <c r="P440" s="77">
        <f t="shared" si="62"/>
        <v>0</v>
      </c>
    </row>
    <row r="441" spans="1:16" s="61" customFormat="1" x14ac:dyDescent="0.2">
      <c r="A441" s="155">
        <v>0</v>
      </c>
      <c r="B441" s="467"/>
      <c r="C441" s="178" t="s">
        <v>132</v>
      </c>
      <c r="D441" s="179" t="s">
        <v>131</v>
      </c>
      <c r="E441" s="180">
        <f>E440*1.15</f>
        <v>195.68399999999997</v>
      </c>
      <c r="F441" s="309"/>
      <c r="G441" s="309"/>
      <c r="H441" s="310"/>
      <c r="I441" s="310"/>
      <c r="J441" s="310"/>
      <c r="K441" s="75">
        <f t="shared" si="65"/>
        <v>0</v>
      </c>
      <c r="L441" s="76">
        <f t="shared" si="58"/>
        <v>0</v>
      </c>
      <c r="M441" s="75">
        <f t="shared" si="59"/>
        <v>0</v>
      </c>
      <c r="N441" s="75">
        <f t="shared" si="60"/>
        <v>0</v>
      </c>
      <c r="O441" s="75">
        <f t="shared" si="61"/>
        <v>0</v>
      </c>
      <c r="P441" s="77">
        <f t="shared" si="62"/>
        <v>0</v>
      </c>
    </row>
    <row r="442" spans="1:16" s="61" customFormat="1" ht="25.5" x14ac:dyDescent="0.2">
      <c r="A442" s="155">
        <v>0</v>
      </c>
      <c r="B442" s="467"/>
      <c r="C442" s="181" t="s">
        <v>133</v>
      </c>
      <c r="D442" s="182" t="s">
        <v>66</v>
      </c>
      <c r="E442" s="182">
        <v>1</v>
      </c>
      <c r="F442" s="309"/>
      <c r="G442" s="309"/>
      <c r="H442" s="310"/>
      <c r="I442" s="310"/>
      <c r="J442" s="310"/>
      <c r="K442" s="75">
        <f t="shared" si="65"/>
        <v>0</v>
      </c>
      <c r="L442" s="76">
        <f t="shared" si="58"/>
        <v>0</v>
      </c>
      <c r="M442" s="75">
        <f t="shared" si="59"/>
        <v>0</v>
      </c>
      <c r="N442" s="75">
        <f t="shared" si="60"/>
        <v>0</v>
      </c>
      <c r="O442" s="75">
        <f t="shared" si="61"/>
        <v>0</v>
      </c>
      <c r="P442" s="77">
        <f t="shared" si="62"/>
        <v>0</v>
      </c>
    </row>
    <row r="443" spans="1:16" s="61" customFormat="1" ht="45" x14ac:dyDescent="0.2">
      <c r="A443" s="155">
        <v>186</v>
      </c>
      <c r="B443" s="281" t="s">
        <v>126</v>
      </c>
      <c r="C443" s="478" t="s">
        <v>783</v>
      </c>
      <c r="D443" s="179" t="s">
        <v>78</v>
      </c>
      <c r="E443" s="164">
        <f>1.49*3</f>
        <v>4.47</v>
      </c>
      <c r="F443" s="309"/>
      <c r="G443" s="309"/>
      <c r="H443" s="310"/>
      <c r="I443" s="310"/>
      <c r="J443" s="310"/>
      <c r="K443" s="75">
        <f t="shared" si="65"/>
        <v>0</v>
      </c>
      <c r="L443" s="76">
        <f t="shared" si="58"/>
        <v>0</v>
      </c>
      <c r="M443" s="75">
        <f t="shared" si="59"/>
        <v>0</v>
      </c>
      <c r="N443" s="75">
        <f t="shared" si="60"/>
        <v>0</v>
      </c>
      <c r="O443" s="75">
        <f t="shared" si="61"/>
        <v>0</v>
      </c>
      <c r="P443" s="77">
        <f t="shared" si="62"/>
        <v>0</v>
      </c>
    </row>
    <row r="444" spans="1:16" s="61" customFormat="1" ht="15" x14ac:dyDescent="0.25">
      <c r="A444" s="155">
        <v>0</v>
      </c>
      <c r="B444" s="194"/>
      <c r="C444" s="193" t="s">
        <v>784</v>
      </c>
      <c r="D444" s="179" t="s">
        <v>78</v>
      </c>
      <c r="E444" s="184">
        <f>E443*1.05</f>
        <v>4.6935000000000002</v>
      </c>
      <c r="F444" s="320"/>
      <c r="G444" s="309"/>
      <c r="H444" s="310"/>
      <c r="I444" s="310"/>
      <c r="J444" s="310"/>
      <c r="K444" s="75">
        <f t="shared" si="65"/>
        <v>0</v>
      </c>
      <c r="L444" s="76">
        <f t="shared" si="58"/>
        <v>0</v>
      </c>
      <c r="M444" s="75">
        <f t="shared" si="59"/>
        <v>0</v>
      </c>
      <c r="N444" s="75">
        <f t="shared" si="60"/>
        <v>0</v>
      </c>
      <c r="O444" s="75">
        <f t="shared" si="61"/>
        <v>0</v>
      </c>
      <c r="P444" s="77">
        <f t="shared" si="62"/>
        <v>0</v>
      </c>
    </row>
    <row r="445" spans="1:16" s="61" customFormat="1" x14ac:dyDescent="0.2">
      <c r="A445" s="155">
        <v>0</v>
      </c>
      <c r="B445" s="194"/>
      <c r="C445" s="183" t="s">
        <v>136</v>
      </c>
      <c r="D445" s="179" t="s">
        <v>137</v>
      </c>
      <c r="E445" s="184">
        <f>E443*0.25</f>
        <v>1.1174999999999999</v>
      </c>
      <c r="F445" s="320"/>
      <c r="G445" s="309"/>
      <c r="H445" s="310"/>
      <c r="I445" s="321"/>
      <c r="J445" s="310"/>
      <c r="K445" s="75">
        <f t="shared" si="65"/>
        <v>0</v>
      </c>
      <c r="L445" s="76">
        <f t="shared" si="58"/>
        <v>0</v>
      </c>
      <c r="M445" s="75">
        <f t="shared" si="59"/>
        <v>0</v>
      </c>
      <c r="N445" s="75">
        <f t="shared" si="60"/>
        <v>0</v>
      </c>
      <c r="O445" s="75">
        <f t="shared" si="61"/>
        <v>0</v>
      </c>
      <c r="P445" s="77">
        <f t="shared" si="62"/>
        <v>0</v>
      </c>
    </row>
    <row r="446" spans="1:16" s="61" customFormat="1" ht="127.5" x14ac:dyDescent="0.2">
      <c r="A446" s="155">
        <v>187</v>
      </c>
      <c r="B446" s="467"/>
      <c r="C446" s="186" t="s">
        <v>187</v>
      </c>
      <c r="D446" s="182" t="s">
        <v>131</v>
      </c>
      <c r="E446" s="182">
        <v>365.2</v>
      </c>
      <c r="F446" s="308"/>
      <c r="G446" s="309"/>
      <c r="H446" s="310"/>
      <c r="I446" s="310"/>
      <c r="J446" s="310"/>
      <c r="K446" s="75">
        <f t="shared" si="65"/>
        <v>0</v>
      </c>
      <c r="L446" s="76">
        <f t="shared" si="58"/>
        <v>0</v>
      </c>
      <c r="M446" s="75">
        <f t="shared" si="59"/>
        <v>0</v>
      </c>
      <c r="N446" s="75">
        <f t="shared" si="60"/>
        <v>0</v>
      </c>
      <c r="O446" s="75">
        <f t="shared" si="61"/>
        <v>0</v>
      </c>
      <c r="P446" s="77">
        <f t="shared" si="62"/>
        <v>0</v>
      </c>
    </row>
    <row r="447" spans="1:16" s="61" customFormat="1" x14ac:dyDescent="0.2">
      <c r="A447" s="155">
        <v>0</v>
      </c>
      <c r="B447" s="467"/>
      <c r="C447" s="415" t="s">
        <v>188</v>
      </c>
      <c r="D447" s="182" t="s">
        <v>131</v>
      </c>
      <c r="E447" s="179">
        <f>E446*1.1</f>
        <v>401.72</v>
      </c>
      <c r="F447" s="315"/>
      <c r="G447" s="309"/>
      <c r="H447" s="310"/>
      <c r="I447" s="310"/>
      <c r="J447" s="310"/>
      <c r="K447" s="75">
        <f t="shared" si="65"/>
        <v>0</v>
      </c>
      <c r="L447" s="76">
        <f t="shared" si="58"/>
        <v>0</v>
      </c>
      <c r="M447" s="75">
        <f t="shared" si="59"/>
        <v>0</v>
      </c>
      <c r="N447" s="75">
        <f t="shared" si="60"/>
        <v>0</v>
      </c>
      <c r="O447" s="75">
        <f t="shared" si="61"/>
        <v>0</v>
      </c>
      <c r="P447" s="77">
        <f t="shared" si="62"/>
        <v>0</v>
      </c>
    </row>
    <row r="448" spans="1:16" s="61" customFormat="1" x14ac:dyDescent="0.2">
      <c r="A448" s="155">
        <v>0</v>
      </c>
      <c r="B448" s="467"/>
      <c r="C448" s="416" t="s">
        <v>189</v>
      </c>
      <c r="D448" s="182" t="s">
        <v>66</v>
      </c>
      <c r="E448" s="179">
        <v>1</v>
      </c>
      <c r="F448" s="315"/>
      <c r="G448" s="309"/>
      <c r="H448" s="310"/>
      <c r="I448" s="310"/>
      <c r="J448" s="310"/>
      <c r="K448" s="75">
        <f t="shared" si="65"/>
        <v>0</v>
      </c>
      <c r="L448" s="76">
        <f t="shared" si="58"/>
        <v>0</v>
      </c>
      <c r="M448" s="75">
        <f t="shared" si="59"/>
        <v>0</v>
      </c>
      <c r="N448" s="75">
        <f t="shared" si="60"/>
        <v>0</v>
      </c>
      <c r="O448" s="75">
        <f t="shared" si="61"/>
        <v>0</v>
      </c>
      <c r="P448" s="77">
        <f t="shared" si="62"/>
        <v>0</v>
      </c>
    </row>
    <row r="449" spans="1:16" s="61" customFormat="1" ht="15" x14ac:dyDescent="0.2">
      <c r="A449" s="155">
        <v>0</v>
      </c>
      <c r="B449" s="467"/>
      <c r="C449" s="476" t="s">
        <v>190</v>
      </c>
      <c r="D449" s="477"/>
      <c r="E449" s="467"/>
      <c r="F449" s="330"/>
      <c r="G449" s="330"/>
      <c r="H449" s="330"/>
      <c r="I449" s="330"/>
      <c r="J449" s="330"/>
      <c r="K449" s="75">
        <f t="shared" si="65"/>
        <v>0</v>
      </c>
      <c r="L449" s="76">
        <f t="shared" si="58"/>
        <v>0</v>
      </c>
      <c r="M449" s="75">
        <f t="shared" si="59"/>
        <v>0</v>
      </c>
      <c r="N449" s="75">
        <f t="shared" si="60"/>
        <v>0</v>
      </c>
      <c r="O449" s="75">
        <f t="shared" si="61"/>
        <v>0</v>
      </c>
      <c r="P449" s="77">
        <f t="shared" si="62"/>
        <v>0</v>
      </c>
    </row>
    <row r="450" spans="1:16" s="61" customFormat="1" x14ac:dyDescent="0.2">
      <c r="A450" s="155">
        <v>188</v>
      </c>
      <c r="B450" s="467"/>
      <c r="C450" s="176" t="s">
        <v>184</v>
      </c>
      <c r="D450" s="182" t="s">
        <v>83</v>
      </c>
      <c r="E450" s="164">
        <v>42</v>
      </c>
      <c r="F450" s="310"/>
      <c r="G450" s="309"/>
      <c r="H450" s="310"/>
      <c r="I450" s="310"/>
      <c r="J450" s="310"/>
      <c r="K450" s="75">
        <f t="shared" si="65"/>
        <v>0</v>
      </c>
      <c r="L450" s="76">
        <f t="shared" si="58"/>
        <v>0</v>
      </c>
      <c r="M450" s="75">
        <f t="shared" si="59"/>
        <v>0</v>
      </c>
      <c r="N450" s="75">
        <f t="shared" si="60"/>
        <v>0</v>
      </c>
      <c r="O450" s="75">
        <f t="shared" si="61"/>
        <v>0</v>
      </c>
      <c r="P450" s="77">
        <f t="shared" si="62"/>
        <v>0</v>
      </c>
    </row>
    <row r="451" spans="1:16" s="61" customFormat="1" ht="76.5" x14ac:dyDescent="0.2">
      <c r="A451" s="155">
        <v>189</v>
      </c>
      <c r="B451" s="467"/>
      <c r="C451" s="176" t="s">
        <v>185</v>
      </c>
      <c r="D451" s="182" t="s">
        <v>131</v>
      </c>
      <c r="E451" s="164">
        <f>79.12+45.03+28.36</f>
        <v>152.51</v>
      </c>
      <c r="F451" s="313"/>
      <c r="G451" s="309"/>
      <c r="H451" s="310"/>
      <c r="I451" s="310"/>
      <c r="J451" s="310"/>
      <c r="K451" s="75">
        <f t="shared" si="65"/>
        <v>0</v>
      </c>
      <c r="L451" s="76">
        <f t="shared" si="58"/>
        <v>0</v>
      </c>
      <c r="M451" s="75">
        <f t="shared" si="59"/>
        <v>0</v>
      </c>
      <c r="N451" s="75">
        <f t="shared" si="60"/>
        <v>0</v>
      </c>
      <c r="O451" s="75">
        <f t="shared" si="61"/>
        <v>0</v>
      </c>
      <c r="P451" s="77">
        <f t="shared" si="62"/>
        <v>0</v>
      </c>
    </row>
    <row r="452" spans="1:16" s="61" customFormat="1" x14ac:dyDescent="0.2">
      <c r="A452" s="155">
        <v>0</v>
      </c>
      <c r="B452" s="467"/>
      <c r="C452" s="178" t="s">
        <v>132</v>
      </c>
      <c r="D452" s="179" t="s">
        <v>131</v>
      </c>
      <c r="E452" s="180">
        <f>E451*1.15</f>
        <v>175.38649999999998</v>
      </c>
      <c r="F452" s="309"/>
      <c r="G452" s="309"/>
      <c r="H452" s="310"/>
      <c r="I452" s="310"/>
      <c r="J452" s="310"/>
      <c r="K452" s="75">
        <f t="shared" si="65"/>
        <v>0</v>
      </c>
      <c r="L452" s="76">
        <f t="shared" si="58"/>
        <v>0</v>
      </c>
      <c r="M452" s="75">
        <f t="shared" si="59"/>
        <v>0</v>
      </c>
      <c r="N452" s="75">
        <f t="shared" si="60"/>
        <v>0</v>
      </c>
      <c r="O452" s="75">
        <f t="shared" si="61"/>
        <v>0</v>
      </c>
      <c r="P452" s="77">
        <f t="shared" si="62"/>
        <v>0</v>
      </c>
    </row>
    <row r="453" spans="1:16" s="61" customFormat="1" ht="25.5" x14ac:dyDescent="0.2">
      <c r="A453" s="155">
        <v>0</v>
      </c>
      <c r="B453" s="467"/>
      <c r="C453" s="181" t="s">
        <v>133</v>
      </c>
      <c r="D453" s="182" t="s">
        <v>66</v>
      </c>
      <c r="E453" s="182">
        <v>1</v>
      </c>
      <c r="F453" s="309"/>
      <c r="G453" s="309"/>
      <c r="H453" s="310"/>
      <c r="I453" s="310"/>
      <c r="J453" s="310"/>
      <c r="K453" s="75">
        <f t="shared" si="65"/>
        <v>0</v>
      </c>
      <c r="L453" s="76">
        <f t="shared" si="58"/>
        <v>0</v>
      </c>
      <c r="M453" s="75">
        <f t="shared" si="59"/>
        <v>0</v>
      </c>
      <c r="N453" s="75">
        <f t="shared" si="60"/>
        <v>0</v>
      </c>
      <c r="O453" s="75">
        <f t="shared" si="61"/>
        <v>0</v>
      </c>
      <c r="P453" s="77">
        <f t="shared" si="62"/>
        <v>0</v>
      </c>
    </row>
    <row r="454" spans="1:16" s="61" customFormat="1" ht="45" x14ac:dyDescent="0.2">
      <c r="A454" s="155">
        <v>190</v>
      </c>
      <c r="B454" s="467"/>
      <c r="C454" s="478" t="s">
        <v>783</v>
      </c>
      <c r="D454" s="179" t="s">
        <v>78</v>
      </c>
      <c r="E454" s="164">
        <f>3.4</f>
        <v>3.4</v>
      </c>
      <c r="F454" s="309"/>
      <c r="G454" s="309"/>
      <c r="H454" s="310"/>
      <c r="I454" s="310"/>
      <c r="J454" s="310"/>
      <c r="K454" s="75">
        <f t="shared" si="65"/>
        <v>0</v>
      </c>
      <c r="L454" s="76">
        <f t="shared" si="58"/>
        <v>0</v>
      </c>
      <c r="M454" s="75">
        <f t="shared" si="59"/>
        <v>0</v>
      </c>
      <c r="N454" s="75">
        <f t="shared" si="60"/>
        <v>0</v>
      </c>
      <c r="O454" s="75">
        <f t="shared" si="61"/>
        <v>0</v>
      </c>
      <c r="P454" s="77">
        <f t="shared" si="62"/>
        <v>0</v>
      </c>
    </row>
    <row r="455" spans="1:16" s="61" customFormat="1" ht="15" x14ac:dyDescent="0.25">
      <c r="A455" s="155">
        <v>0</v>
      </c>
      <c r="B455" s="467"/>
      <c r="C455" s="193" t="s">
        <v>784</v>
      </c>
      <c r="D455" s="179" t="s">
        <v>78</v>
      </c>
      <c r="E455" s="184">
        <f>E454*1.05</f>
        <v>3.57</v>
      </c>
      <c r="F455" s="320"/>
      <c r="G455" s="309"/>
      <c r="H455" s="310"/>
      <c r="I455" s="310"/>
      <c r="J455" s="310"/>
      <c r="K455" s="75">
        <f t="shared" si="65"/>
        <v>0</v>
      </c>
      <c r="L455" s="76">
        <f t="shared" si="58"/>
        <v>0</v>
      </c>
      <c r="M455" s="75">
        <f t="shared" si="59"/>
        <v>0</v>
      </c>
      <c r="N455" s="75">
        <f t="shared" si="60"/>
        <v>0</v>
      </c>
      <c r="O455" s="75">
        <f t="shared" si="61"/>
        <v>0</v>
      </c>
      <c r="P455" s="77">
        <f t="shared" si="62"/>
        <v>0</v>
      </c>
    </row>
    <row r="456" spans="1:16" s="61" customFormat="1" x14ac:dyDescent="0.2">
      <c r="A456" s="155">
        <v>0</v>
      </c>
      <c r="B456" s="467"/>
      <c r="C456" s="183" t="s">
        <v>136</v>
      </c>
      <c r="D456" s="179" t="s">
        <v>137</v>
      </c>
      <c r="E456" s="184">
        <f>E454*0.25</f>
        <v>0.85</v>
      </c>
      <c r="F456" s="320"/>
      <c r="G456" s="309"/>
      <c r="H456" s="310"/>
      <c r="I456" s="321"/>
      <c r="J456" s="310"/>
      <c r="K456" s="75">
        <f t="shared" si="65"/>
        <v>0</v>
      </c>
      <c r="L456" s="76">
        <f t="shared" ref="L456:L457" si="66">ROUND(F456*E456,2)</f>
        <v>0</v>
      </c>
      <c r="M456" s="75">
        <f t="shared" ref="M456:M457" si="67">ROUND(H456*E456,2)</f>
        <v>0</v>
      </c>
      <c r="N456" s="75">
        <f t="shared" ref="N456:N457" si="68">ROUND(I456*E456,2)</f>
        <v>0</v>
      </c>
      <c r="O456" s="75">
        <f t="shared" ref="O456:O457" si="69">ROUND(J456*E456,2)</f>
        <v>0</v>
      </c>
      <c r="P456" s="77">
        <f t="shared" ref="P456:P457" si="70">SUM(M456:O456)</f>
        <v>0</v>
      </c>
    </row>
    <row r="457" spans="1:16" s="61" customFormat="1" ht="15" x14ac:dyDescent="0.2">
      <c r="A457" s="155">
        <v>191</v>
      </c>
      <c r="B457" s="467"/>
      <c r="C457" s="478" t="s">
        <v>191</v>
      </c>
      <c r="D457" s="479" t="s">
        <v>78</v>
      </c>
      <c r="E457" s="281">
        <v>210</v>
      </c>
      <c r="F457" s="309"/>
      <c r="G457" s="309"/>
      <c r="H457" s="310"/>
      <c r="I457" s="310"/>
      <c r="J457" s="310"/>
      <c r="K457" s="75">
        <f t="shared" si="65"/>
        <v>0</v>
      </c>
      <c r="L457" s="76">
        <f t="shared" si="66"/>
        <v>0</v>
      </c>
      <c r="M457" s="75">
        <f t="shared" si="67"/>
        <v>0</v>
      </c>
      <c r="N457" s="75">
        <f t="shared" si="68"/>
        <v>0</v>
      </c>
      <c r="O457" s="75">
        <f t="shared" si="69"/>
        <v>0</v>
      </c>
      <c r="P457" s="77">
        <f t="shared" si="70"/>
        <v>0</v>
      </c>
    </row>
    <row r="458" spans="1:16" x14ac:dyDescent="0.2">
      <c r="A458" s="64"/>
      <c r="B458" s="457"/>
      <c r="C458" s="480"/>
      <c r="D458" s="481"/>
      <c r="E458" s="482"/>
      <c r="F458" s="71"/>
      <c r="G458" s="71"/>
      <c r="H458" s="69"/>
      <c r="I458" s="70"/>
      <c r="J458" s="70"/>
      <c r="K458" s="70"/>
      <c r="L458" s="71"/>
      <c r="M458" s="70"/>
      <c r="N458" s="70"/>
      <c r="O458" s="70"/>
      <c r="P458" s="72"/>
    </row>
    <row r="459" spans="1:16" ht="15" customHeight="1" x14ac:dyDescent="0.2">
      <c r="A459" s="286"/>
      <c r="B459" s="85"/>
      <c r="C459" s="509" t="s">
        <v>74</v>
      </c>
      <c r="D459" s="510"/>
      <c r="E459" s="510"/>
      <c r="F459" s="510"/>
      <c r="G459" s="510"/>
      <c r="H459" s="510"/>
      <c r="I459" s="510"/>
      <c r="J459" s="510"/>
      <c r="K459" s="510"/>
      <c r="L459" s="87">
        <f>SUM(L13:L458)</f>
        <v>0</v>
      </c>
      <c r="M459" s="87">
        <f>SUM(M13:M458)</f>
        <v>0</v>
      </c>
      <c r="N459" s="87">
        <f>SUM(N13:N458)</f>
        <v>0</v>
      </c>
      <c r="O459" s="87">
        <f>SUM(O13:O458)</f>
        <v>0</v>
      </c>
      <c r="P459" s="87">
        <f>SUM(P13:P458)</f>
        <v>0</v>
      </c>
    </row>
    <row r="460" spans="1:16" s="88" customFormat="1" collapsed="1" x14ac:dyDescent="0.2">
      <c r="A460" s="287"/>
      <c r="I460" s="89"/>
    </row>
    <row r="461" spans="1:16" s="2" customFormat="1" ht="12.75" customHeight="1" x14ac:dyDescent="0.2">
      <c r="A461" s="6"/>
      <c r="B461" s="90" t="s">
        <v>75</v>
      </c>
    </row>
    <row r="462" spans="1:16" s="2" customFormat="1" ht="45" customHeight="1" x14ac:dyDescent="0.2">
      <c r="A462"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462" s="511"/>
      <c r="C462" s="511"/>
      <c r="D462" s="511"/>
      <c r="E462" s="511"/>
      <c r="F462" s="511"/>
      <c r="G462" s="511"/>
      <c r="H462" s="511"/>
      <c r="I462" s="511"/>
      <c r="J462" s="511"/>
      <c r="K462" s="511"/>
      <c r="L462" s="511"/>
      <c r="M462" s="511"/>
      <c r="N462" s="511"/>
      <c r="O462" s="511"/>
      <c r="P462" s="511"/>
    </row>
    <row r="463" spans="1:16" s="2" customFormat="1" ht="77.25" customHeight="1" x14ac:dyDescent="0.2">
      <c r="A463" s="512"/>
      <c r="B463" s="512"/>
      <c r="C463" s="512"/>
      <c r="D463" s="512"/>
      <c r="E463" s="512"/>
      <c r="F463" s="512"/>
      <c r="G463" s="512"/>
      <c r="H463" s="512"/>
      <c r="I463" s="512"/>
      <c r="J463" s="512"/>
      <c r="K463" s="512"/>
      <c r="L463" s="512"/>
      <c r="M463" s="512"/>
      <c r="N463" s="512"/>
      <c r="O463" s="512"/>
      <c r="P463" s="512"/>
    </row>
    <row r="464" spans="1:16" s="2" customFormat="1" ht="12.75" customHeight="1" x14ac:dyDescent="0.2">
      <c r="A464" s="6"/>
      <c r="B464" s="91"/>
    </row>
    <row r="465" spans="1:16" s="2" customFormat="1" ht="12.75" customHeight="1" x14ac:dyDescent="0.2">
      <c r="A465" s="6"/>
      <c r="B465" s="91"/>
    </row>
    <row r="466" spans="1:16" s="88" customFormat="1" x14ac:dyDescent="0.2">
      <c r="A466" s="287"/>
      <c r="B466" s="88" t="s">
        <v>36</v>
      </c>
      <c r="L466" s="92" t="s">
        <v>98</v>
      </c>
      <c r="M466" s="92"/>
      <c r="N466" s="92"/>
      <c r="O466" s="92"/>
      <c r="P466" s="92"/>
    </row>
    <row r="467" spans="1:16" s="88" customFormat="1" ht="14.25" customHeight="1" x14ac:dyDescent="0.2">
      <c r="A467" s="287"/>
      <c r="C467" s="36"/>
      <c r="L467" s="36"/>
      <c r="M467" s="513"/>
      <c r="N467" s="513"/>
      <c r="O467" s="92"/>
      <c r="P467" s="92"/>
    </row>
    <row r="468" spans="1:16" s="88" customFormat="1" x14ac:dyDescent="0.2">
      <c r="A468" s="287"/>
      <c r="C468" s="39"/>
      <c r="L468" s="39"/>
      <c r="M468" s="507"/>
      <c r="N468" s="507"/>
      <c r="O468" s="92"/>
      <c r="P468" s="92"/>
    </row>
    <row r="469" spans="1:16" s="88" customFormat="1" collapsed="1" x14ac:dyDescent="0.2">
      <c r="A469" s="287"/>
      <c r="B469" s="89"/>
      <c r="F469" s="89"/>
      <c r="G469" s="89"/>
    </row>
  </sheetData>
  <mergeCells count="17">
    <mergeCell ref="M468:N468"/>
    <mergeCell ref="F11:K11"/>
    <mergeCell ref="L11:P11"/>
    <mergeCell ref="C459:K459"/>
    <mergeCell ref="A462:P462"/>
    <mergeCell ref="A463:P463"/>
    <mergeCell ref="M467:N467"/>
    <mergeCell ref="A11:A12"/>
    <mergeCell ref="B11:B12"/>
    <mergeCell ref="C11:C12"/>
    <mergeCell ref="D11:D12"/>
    <mergeCell ref="E11:E12"/>
    <mergeCell ref="A2:P2"/>
    <mergeCell ref="D3:P3"/>
    <mergeCell ref="D4:P4"/>
    <mergeCell ref="D5:P5"/>
    <mergeCell ref="L9:O9"/>
  </mergeCells>
  <printOptions horizontalCentered="1"/>
  <pageMargins left="0.27559055118110237" right="0.27559055118110237" top="0.74803149606299213" bottom="0.74803149606299213" header="0.31496062992125984" footer="0.31496062992125984"/>
  <pageSetup paperSize="9" scale="71"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2" stopIfTrue="1" id="{71A7F4C9-78E2-4CA8-BFFE-AB82914BF778}">
            <xm:f>'\Users\ARNIS\AppData\Local\Temp\[Baltex_Siguldas kult centrs_VCD8.xlsx]BKasis 3-4;I-J-6A-F'!#REF!='\Users\DATORS\AppData\Local\Temp\A.K.Dokumenti\tames darbam\[02 10 2014Baltex_Jelgava sporta zale_14.9_3.3.xls]1,4'!#REF!=FALSE</xm:f>
            <x14:dxf>
              <fill>
                <patternFill>
                  <bgColor indexed="29"/>
                </patternFill>
              </fill>
            </x14:dxf>
          </x14:cfRule>
          <xm:sqref>I290:I291</xm:sqref>
        </x14:conditionalFormatting>
        <x14:conditionalFormatting xmlns:xm="http://schemas.microsoft.com/office/excel/2006/main">
          <x14:cfRule type="expression" priority="3" stopIfTrue="1" id="{A3EDE6C4-D51A-4EAA-B998-A7F730BBE4DD}">
            <xm:f>'\Users\DATORS\AppData\Local\Temp\A.K.Dokumenti\tames darbam\[02 10 2014Baltex_Jelgava sporta zale_14.9_3.3.xls]1,4'!#REF!&gt;0</xm:f>
            <x14:dxf>
              <fill>
                <patternFill>
                  <bgColor indexed="10"/>
                </patternFill>
              </fill>
            </x14:dxf>
          </x14:cfRule>
          <x14:cfRule type="expression" priority="4" stopIfTrue="1" id="{77C1427D-7533-41D1-A339-B0684B290FED}">
            <xm:f>'\Users\DATORS\AppData\Local\Temp\A.K.Dokumenti\tames darbam\[02 10 2014Baltex_Jelgava sporta zale_14.9_3.3.xls]1,4'!#REF!=3</xm:f>
            <x14:dxf>
              <fill>
                <patternFill>
                  <bgColor indexed="10"/>
                </patternFill>
              </fill>
            </x14:dxf>
          </x14:cfRule>
          <x14:cfRule type="expression" priority="5" stopIfTrue="1" id="{CB4EFF4C-A8B8-4BB1-942F-5C8AB26F180B}">
            <xm:f>'\Users\DATORS\AppData\Local\Temp\A.K.Dokumenti\tames darbam\[02 10 2014Baltex_Jelgava sporta zale_14.9_3.3.xls]1,4'!#REF!=2</xm:f>
            <x14:dxf>
              <fill>
                <patternFill>
                  <bgColor indexed="11"/>
                </patternFill>
              </fill>
            </x14:dxf>
          </x14:cfRule>
          <xm:sqref>I290:I291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35"/>
  <sheetViews>
    <sheetView showZeros="0" view="pageBreakPreview" zoomScale="80" zoomScaleNormal="100" zoomScaleSheetLayoutView="80" workbookViewId="0">
      <selection activeCell="A292" sqref="A292:XFD295"/>
    </sheetView>
  </sheetViews>
  <sheetFormatPr defaultRowHeight="14.25" x14ac:dyDescent="0.2"/>
  <cols>
    <col min="1" max="1" width="9" style="288" customWidth="1"/>
    <col min="2" max="2" width="9.42578125" style="49" customWidth="1"/>
    <col min="3" max="3" width="40.28515625" style="49" customWidth="1"/>
    <col min="4" max="4" width="8.140625" style="49" customWidth="1"/>
    <col min="5" max="8" width="9.140625" style="49"/>
    <col min="9" max="9" width="9.140625" style="61"/>
    <col min="10" max="11" width="9.140625" style="49"/>
    <col min="12" max="12" width="11.5703125" style="49" customWidth="1"/>
    <col min="13" max="13" width="12.28515625" style="49" customWidth="1"/>
    <col min="14" max="14" width="16.42578125" style="49" customWidth="1"/>
    <col min="15" max="15" width="11.5703125" style="49" customWidth="1"/>
    <col min="16" max="16" width="14.28515625" style="49" customWidth="1"/>
    <col min="17" max="16384" width="9.140625" style="49"/>
  </cols>
  <sheetData>
    <row r="1" spans="1:16" s="41" customFormat="1" ht="15" x14ac:dyDescent="0.25">
      <c r="A1" s="288"/>
      <c r="E1" s="43"/>
      <c r="F1" s="43"/>
      <c r="G1" s="95" t="s">
        <v>37</v>
      </c>
      <c r="H1" s="122" t="str">
        <f>kops1!B25</f>
        <v>1,5</v>
      </c>
      <c r="I1" s="42"/>
    </row>
    <row r="2" spans="1:16" s="41" customFormat="1" ht="15" x14ac:dyDescent="0.25">
      <c r="A2" s="504" t="str">
        <f>C13</f>
        <v>Sienas, nesošās konstrukcijas</v>
      </c>
      <c r="B2" s="504"/>
      <c r="C2" s="504"/>
      <c r="D2" s="504"/>
      <c r="E2" s="504"/>
      <c r="F2" s="504"/>
      <c r="G2" s="504"/>
      <c r="H2" s="504"/>
      <c r="I2" s="504"/>
      <c r="J2" s="504"/>
      <c r="K2" s="504"/>
      <c r="L2" s="504"/>
      <c r="M2" s="504"/>
      <c r="N2" s="504"/>
      <c r="O2" s="504"/>
      <c r="P2" s="504"/>
    </row>
    <row r="3" spans="1:16" ht="15" x14ac:dyDescent="0.2">
      <c r="A3" s="283"/>
      <c r="B3" s="47"/>
      <c r="C3" s="47" t="s">
        <v>38</v>
      </c>
      <c r="D3" s="505" t="s">
        <v>94</v>
      </c>
      <c r="E3" s="505"/>
      <c r="F3" s="505"/>
      <c r="G3" s="505"/>
      <c r="H3" s="505"/>
      <c r="I3" s="505"/>
      <c r="J3" s="505"/>
      <c r="K3" s="505"/>
      <c r="L3" s="505"/>
      <c r="M3" s="505"/>
      <c r="N3" s="505"/>
      <c r="O3" s="505"/>
      <c r="P3" s="505"/>
    </row>
    <row r="4" spans="1:16" ht="15" x14ac:dyDescent="0.2">
      <c r="A4" s="283"/>
      <c r="B4" s="47"/>
      <c r="C4" s="47" t="s">
        <v>39</v>
      </c>
      <c r="D4" s="505" t="s">
        <v>95</v>
      </c>
      <c r="E4" s="505"/>
      <c r="F4" s="505"/>
      <c r="G4" s="505"/>
      <c r="H4" s="505"/>
      <c r="I4" s="505"/>
      <c r="J4" s="505"/>
      <c r="K4" s="505"/>
      <c r="L4" s="505"/>
      <c r="M4" s="505"/>
      <c r="N4" s="505"/>
      <c r="O4" s="505"/>
      <c r="P4" s="505"/>
    </row>
    <row r="5" spans="1:16" ht="15" x14ac:dyDescent="0.2">
      <c r="A5" s="283"/>
      <c r="B5" s="47"/>
      <c r="C5" s="47" t="s">
        <v>40</v>
      </c>
      <c r="D5" s="505" t="s">
        <v>96</v>
      </c>
      <c r="E5" s="505"/>
      <c r="F5" s="505"/>
      <c r="G5" s="505"/>
      <c r="H5" s="505"/>
      <c r="I5" s="505"/>
      <c r="J5" s="505"/>
      <c r="K5" s="505"/>
      <c r="L5" s="505"/>
      <c r="M5" s="505"/>
      <c r="N5" s="505"/>
      <c r="O5" s="505"/>
      <c r="P5" s="505"/>
    </row>
    <row r="6" spans="1:16" x14ac:dyDescent="0.2">
      <c r="A6" s="283"/>
      <c r="B6" s="47"/>
      <c r="C6" s="47" t="s">
        <v>100</v>
      </c>
      <c r="D6" s="50" t="s">
        <v>97</v>
      </c>
      <c r="E6" s="51"/>
      <c r="F6" s="51"/>
      <c r="G6" s="51"/>
      <c r="H6" s="51"/>
      <c r="I6" s="52"/>
      <c r="J6" s="51"/>
      <c r="K6" s="51"/>
      <c r="L6" s="51"/>
      <c r="M6" s="51"/>
      <c r="N6" s="51"/>
      <c r="O6" s="51"/>
      <c r="P6" s="53"/>
    </row>
    <row r="7" spans="1:16" x14ac:dyDescent="0.2">
      <c r="A7" s="356" t="s">
        <v>745</v>
      </c>
      <c r="B7" s="96"/>
      <c r="D7" s="50"/>
      <c r="E7" s="50"/>
      <c r="F7" s="50"/>
      <c r="G7" s="50"/>
      <c r="H7" s="50"/>
      <c r="I7" s="55"/>
      <c r="J7" s="50"/>
      <c r="K7" s="51"/>
      <c r="L7" s="51"/>
      <c r="M7" s="51"/>
      <c r="N7" s="51"/>
      <c r="O7" s="47" t="s">
        <v>41</v>
      </c>
      <c r="P7" s="56">
        <f>P325</f>
        <v>0</v>
      </c>
    </row>
    <row r="8" spans="1:16" x14ac:dyDescent="0.2">
      <c r="A8" s="284"/>
      <c r="B8" s="57"/>
      <c r="D8" s="58"/>
      <c r="E8" s="51"/>
      <c r="F8" s="51"/>
      <c r="G8" s="51"/>
      <c r="H8" s="51"/>
      <c r="I8" s="52"/>
      <c r="J8" s="51"/>
      <c r="K8" s="51"/>
      <c r="N8" s="51"/>
      <c r="O8" s="51"/>
      <c r="P8" s="53"/>
    </row>
    <row r="9" spans="1:16" ht="15" customHeight="1" x14ac:dyDescent="0.2">
      <c r="A9" s="285"/>
      <c r="B9" s="59"/>
      <c r="J9" s="62"/>
      <c r="K9" s="62"/>
      <c r="L9" s="506" t="s">
        <v>736</v>
      </c>
      <c r="M9" s="506"/>
      <c r="N9" s="506"/>
      <c r="O9" s="506"/>
      <c r="P9" s="62"/>
    </row>
    <row r="10" spans="1:16" ht="15" x14ac:dyDescent="0.2">
      <c r="A10" s="285"/>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v>0</v>
      </c>
      <c r="C13" s="65" t="str">
        <f>kops1!C25</f>
        <v>Sienas, nesošās konstrukcijas</v>
      </c>
      <c r="D13" s="66"/>
      <c r="E13" s="67"/>
      <c r="F13" s="76">
        <v>0</v>
      </c>
      <c r="G13" s="76">
        <v>0</v>
      </c>
      <c r="H13" s="69">
        <v>0</v>
      </c>
      <c r="I13" s="70">
        <v>0</v>
      </c>
      <c r="J13" s="70">
        <v>0</v>
      </c>
      <c r="K13" s="70">
        <f t="shared" ref="K13" si="0">SUM(H13:J13)</f>
        <v>0</v>
      </c>
      <c r="L13" s="71">
        <f t="shared" ref="L13" si="1">ROUND(F13*E13,2)</f>
        <v>0</v>
      </c>
      <c r="M13" s="70">
        <f t="shared" ref="M13" si="2">ROUND(H13*E13,2)</f>
        <v>0</v>
      </c>
      <c r="N13" s="70">
        <f t="shared" ref="N13" si="3">ROUND(I13*E13,2)</f>
        <v>0</v>
      </c>
      <c r="O13" s="70">
        <f t="shared" ref="O13" si="4">ROUND(J13*E13,2)</f>
        <v>0</v>
      </c>
      <c r="P13" s="72">
        <f t="shared" ref="P13" si="5">SUM(M13:O13)</f>
        <v>0</v>
      </c>
    </row>
    <row r="14" spans="1:16" s="61" customFormat="1" x14ac:dyDescent="0.2">
      <c r="A14" s="202">
        <v>0</v>
      </c>
      <c r="B14" s="144"/>
      <c r="C14" s="203" t="s">
        <v>192</v>
      </c>
      <c r="D14" s="204"/>
      <c r="E14" s="205"/>
      <c r="F14" s="148">
        <v>0</v>
      </c>
      <c r="G14" s="148">
        <v>0</v>
      </c>
      <c r="H14" s="206"/>
      <c r="I14" s="206"/>
      <c r="J14" s="206"/>
      <c r="K14" s="75">
        <f>SUM(H14:J14)</f>
        <v>0</v>
      </c>
      <c r="L14" s="76">
        <f>ROUND(F14*E14,2)</f>
        <v>0</v>
      </c>
      <c r="M14" s="75">
        <f>ROUND(H14*E14,2)</f>
        <v>0</v>
      </c>
      <c r="N14" s="75">
        <f>ROUND(I14*E14,2)</f>
        <v>0</v>
      </c>
      <c r="O14" s="75">
        <f>ROUND(J14*E14,2)</f>
        <v>0</v>
      </c>
      <c r="P14" s="77">
        <f>SUM(M14:O14)</f>
        <v>0</v>
      </c>
    </row>
    <row r="15" spans="1:16" s="61" customFormat="1" ht="31.5" x14ac:dyDescent="0.2">
      <c r="A15" s="202">
        <v>0</v>
      </c>
      <c r="B15" s="144"/>
      <c r="C15" s="374" t="s">
        <v>193</v>
      </c>
      <c r="D15" s="204"/>
      <c r="E15" s="205"/>
      <c r="F15" s="148"/>
      <c r="G15" s="148"/>
      <c r="H15" s="206"/>
      <c r="I15" s="206"/>
      <c r="J15" s="206"/>
      <c r="K15" s="75">
        <f t="shared" ref="K15:K79" si="6">SUM(H15:J15)</f>
        <v>0</v>
      </c>
      <c r="L15" s="76">
        <f t="shared" ref="L15:L79" si="7">ROUND(F15*E15,2)</f>
        <v>0</v>
      </c>
      <c r="M15" s="75">
        <f t="shared" ref="M15:M79" si="8">ROUND(H15*E15,2)</f>
        <v>0</v>
      </c>
      <c r="N15" s="75">
        <f t="shared" ref="N15:N79" si="9">ROUND(I15*E15,2)</f>
        <v>0</v>
      </c>
      <c r="O15" s="75">
        <f t="shared" ref="O15:O79" si="10">ROUND(J15*E15,2)</f>
        <v>0</v>
      </c>
      <c r="P15" s="77">
        <f t="shared" ref="P15:P79" si="11">SUM(M15:O15)</f>
        <v>0</v>
      </c>
    </row>
    <row r="16" spans="1:16" s="61" customFormat="1" x14ac:dyDescent="0.2">
      <c r="A16" s="208">
        <v>1</v>
      </c>
      <c r="B16" s="209" t="s">
        <v>194</v>
      </c>
      <c r="C16" s="210" t="s">
        <v>195</v>
      </c>
      <c r="D16" s="211" t="s">
        <v>115</v>
      </c>
      <c r="E16" s="205">
        <v>280</v>
      </c>
      <c r="F16" s="212"/>
      <c r="G16" s="213"/>
      <c r="H16" s="214"/>
      <c r="I16" s="214"/>
      <c r="J16" s="214"/>
      <c r="K16" s="75">
        <f t="shared" si="6"/>
        <v>0</v>
      </c>
      <c r="L16" s="76">
        <f t="shared" si="7"/>
        <v>0</v>
      </c>
      <c r="M16" s="75">
        <f t="shared" si="8"/>
        <v>0</v>
      </c>
      <c r="N16" s="75">
        <f t="shared" si="9"/>
        <v>0</v>
      </c>
      <c r="O16" s="75">
        <f t="shared" si="10"/>
        <v>0</v>
      </c>
      <c r="P16" s="77">
        <f t="shared" si="11"/>
        <v>0</v>
      </c>
    </row>
    <row r="17" spans="1:16" s="61" customFormat="1" ht="15" x14ac:dyDescent="0.2">
      <c r="A17" s="208">
        <v>0</v>
      </c>
      <c r="B17" s="209">
        <v>0</v>
      </c>
      <c r="C17" s="215" t="s">
        <v>196</v>
      </c>
      <c r="D17" s="211" t="s">
        <v>115</v>
      </c>
      <c r="E17" s="205">
        <f>0.93*E16</f>
        <v>260.40000000000003</v>
      </c>
      <c r="F17" s="212"/>
      <c r="G17" s="212"/>
      <c r="H17" s="214"/>
      <c r="I17" s="214"/>
      <c r="J17" s="214"/>
      <c r="K17" s="75">
        <f t="shared" si="6"/>
        <v>0</v>
      </c>
      <c r="L17" s="76">
        <f t="shared" si="7"/>
        <v>0</v>
      </c>
      <c r="M17" s="75">
        <f t="shared" si="8"/>
        <v>0</v>
      </c>
      <c r="N17" s="75">
        <f t="shared" si="9"/>
        <v>0</v>
      </c>
      <c r="O17" s="75">
        <f t="shared" si="10"/>
        <v>0</v>
      </c>
      <c r="P17" s="77">
        <f t="shared" si="11"/>
        <v>0</v>
      </c>
    </row>
    <row r="18" spans="1:16" s="61" customFormat="1" x14ac:dyDescent="0.2">
      <c r="A18" s="208">
        <v>0</v>
      </c>
      <c r="B18" s="209">
        <v>0</v>
      </c>
      <c r="C18" s="216" t="s">
        <v>197</v>
      </c>
      <c r="D18" s="211" t="s">
        <v>115</v>
      </c>
      <c r="E18" s="205">
        <f>0.15*E16</f>
        <v>42</v>
      </c>
      <c r="F18" s="212"/>
      <c r="G18" s="212"/>
      <c r="H18" s="214"/>
      <c r="I18" s="214"/>
      <c r="J18" s="214"/>
      <c r="K18" s="75">
        <f t="shared" si="6"/>
        <v>0</v>
      </c>
      <c r="L18" s="76">
        <f t="shared" si="7"/>
        <v>0</v>
      </c>
      <c r="M18" s="75">
        <f t="shared" si="8"/>
        <v>0</v>
      </c>
      <c r="N18" s="75">
        <f t="shared" si="9"/>
        <v>0</v>
      </c>
      <c r="O18" s="75">
        <f t="shared" si="10"/>
        <v>0</v>
      </c>
      <c r="P18" s="77">
        <f t="shared" si="11"/>
        <v>0</v>
      </c>
    </row>
    <row r="19" spans="1:16" s="61" customFormat="1" x14ac:dyDescent="0.2">
      <c r="A19" s="208">
        <v>0</v>
      </c>
      <c r="B19" s="209">
        <v>0</v>
      </c>
      <c r="C19" s="216" t="s">
        <v>198</v>
      </c>
      <c r="D19" s="211" t="s">
        <v>199</v>
      </c>
      <c r="E19" s="205">
        <f>E16/0.2*2.2</f>
        <v>3080.0000000000005</v>
      </c>
      <c r="F19" s="212"/>
      <c r="G19" s="212"/>
      <c r="H19" s="214"/>
      <c r="I19" s="214"/>
      <c r="J19" s="214"/>
      <c r="K19" s="75">
        <f t="shared" si="6"/>
        <v>0</v>
      </c>
      <c r="L19" s="76">
        <f t="shared" si="7"/>
        <v>0</v>
      </c>
      <c r="M19" s="75">
        <f t="shared" si="8"/>
        <v>0</v>
      </c>
      <c r="N19" s="75">
        <f t="shared" si="9"/>
        <v>0</v>
      </c>
      <c r="O19" s="75">
        <f t="shared" si="10"/>
        <v>0</v>
      </c>
      <c r="P19" s="77">
        <f t="shared" si="11"/>
        <v>0</v>
      </c>
    </row>
    <row r="20" spans="1:16" s="61" customFormat="1" ht="21" x14ac:dyDescent="0.2">
      <c r="A20" s="202">
        <v>0</v>
      </c>
      <c r="B20" s="144"/>
      <c r="C20" s="374" t="s">
        <v>200</v>
      </c>
      <c r="D20" s="204"/>
      <c r="E20" s="205"/>
      <c r="F20" s="148"/>
      <c r="G20" s="148"/>
      <c r="H20" s="217"/>
      <c r="I20" s="217"/>
      <c r="J20" s="217"/>
      <c r="K20" s="75">
        <f t="shared" si="6"/>
        <v>0</v>
      </c>
      <c r="L20" s="76">
        <f t="shared" si="7"/>
        <v>0</v>
      </c>
      <c r="M20" s="75">
        <f t="shared" si="8"/>
        <v>0</v>
      </c>
      <c r="N20" s="75">
        <f t="shared" si="9"/>
        <v>0</v>
      </c>
      <c r="O20" s="75">
        <f t="shared" si="10"/>
        <v>0</v>
      </c>
      <c r="P20" s="77">
        <f t="shared" si="11"/>
        <v>0</v>
      </c>
    </row>
    <row r="21" spans="1:16" s="61" customFormat="1" ht="21" x14ac:dyDescent="0.2">
      <c r="A21" s="202">
        <v>0</v>
      </c>
      <c r="B21" s="144"/>
      <c r="C21" s="374" t="s">
        <v>201</v>
      </c>
      <c r="D21" s="204"/>
      <c r="E21" s="205"/>
      <c r="F21" s="148"/>
      <c r="G21" s="148"/>
      <c r="H21" s="217"/>
      <c r="I21" s="217"/>
      <c r="J21" s="217"/>
      <c r="K21" s="75">
        <f t="shared" si="6"/>
        <v>0</v>
      </c>
      <c r="L21" s="76">
        <f t="shared" si="7"/>
        <v>0</v>
      </c>
      <c r="M21" s="75">
        <f t="shared" si="8"/>
        <v>0</v>
      </c>
      <c r="N21" s="75">
        <f t="shared" si="9"/>
        <v>0</v>
      </c>
      <c r="O21" s="75">
        <f t="shared" si="10"/>
        <v>0</v>
      </c>
      <c r="P21" s="77">
        <f t="shared" si="11"/>
        <v>0</v>
      </c>
    </row>
    <row r="22" spans="1:16" s="61" customFormat="1" ht="31.5" x14ac:dyDescent="0.2">
      <c r="A22" s="202">
        <v>0</v>
      </c>
      <c r="B22" s="144"/>
      <c r="C22" s="374" t="s">
        <v>202</v>
      </c>
      <c r="D22" s="204"/>
      <c r="E22" s="205"/>
      <c r="F22" s="148"/>
      <c r="G22" s="148"/>
      <c r="H22" s="217"/>
      <c r="I22" s="217"/>
      <c r="J22" s="217"/>
      <c r="K22" s="75">
        <f t="shared" si="6"/>
        <v>0</v>
      </c>
      <c r="L22" s="76">
        <f t="shared" si="7"/>
        <v>0</v>
      </c>
      <c r="M22" s="75">
        <f t="shared" si="8"/>
        <v>0</v>
      </c>
      <c r="N22" s="75">
        <f t="shared" si="9"/>
        <v>0</v>
      </c>
      <c r="O22" s="75">
        <f t="shared" si="10"/>
        <v>0</v>
      </c>
      <c r="P22" s="77">
        <f t="shared" si="11"/>
        <v>0</v>
      </c>
    </row>
    <row r="23" spans="1:16" s="61" customFormat="1" ht="21" x14ac:dyDescent="0.2">
      <c r="A23" s="202">
        <v>0</v>
      </c>
      <c r="B23" s="144"/>
      <c r="C23" s="374" t="s">
        <v>203</v>
      </c>
      <c r="D23" s="204"/>
      <c r="E23" s="205"/>
      <c r="F23" s="148"/>
      <c r="G23" s="148"/>
      <c r="H23" s="217"/>
      <c r="I23" s="217"/>
      <c r="J23" s="217"/>
      <c r="K23" s="75">
        <f t="shared" si="6"/>
        <v>0</v>
      </c>
      <c r="L23" s="76">
        <f t="shared" si="7"/>
        <v>0</v>
      </c>
      <c r="M23" s="75">
        <f t="shared" si="8"/>
        <v>0</v>
      </c>
      <c r="N23" s="75">
        <f t="shared" si="9"/>
        <v>0</v>
      </c>
      <c r="O23" s="75">
        <f t="shared" si="10"/>
        <v>0</v>
      </c>
      <c r="P23" s="77">
        <f t="shared" si="11"/>
        <v>0</v>
      </c>
    </row>
    <row r="24" spans="1:16" s="61" customFormat="1" ht="31.5" x14ac:dyDescent="0.2">
      <c r="A24" s="202">
        <v>0</v>
      </c>
      <c r="B24" s="144"/>
      <c r="C24" s="374" t="s">
        <v>204</v>
      </c>
      <c r="D24" s="204"/>
      <c r="E24" s="205"/>
      <c r="F24" s="148"/>
      <c r="G24" s="148"/>
      <c r="H24" s="217"/>
      <c r="I24" s="217"/>
      <c r="J24" s="217"/>
      <c r="K24" s="75">
        <f t="shared" si="6"/>
        <v>0</v>
      </c>
      <c r="L24" s="76">
        <f t="shared" si="7"/>
        <v>0</v>
      </c>
      <c r="M24" s="75">
        <f t="shared" si="8"/>
        <v>0</v>
      </c>
      <c r="N24" s="75">
        <f t="shared" si="9"/>
        <v>0</v>
      </c>
      <c r="O24" s="75">
        <f t="shared" si="10"/>
        <v>0</v>
      </c>
      <c r="P24" s="77">
        <f t="shared" si="11"/>
        <v>0</v>
      </c>
    </row>
    <row r="25" spans="1:16" s="61" customFormat="1" ht="30" x14ac:dyDescent="0.2">
      <c r="A25" s="228">
        <v>4</v>
      </c>
      <c r="B25" s="229" t="s">
        <v>215</v>
      </c>
      <c r="C25" s="230" t="s">
        <v>216</v>
      </c>
      <c r="D25" s="67" t="s">
        <v>207</v>
      </c>
      <c r="E25" s="205">
        <v>165</v>
      </c>
      <c r="F25" s="226"/>
      <c r="G25" s="226"/>
      <c r="H25" s="227"/>
      <c r="I25" s="227"/>
      <c r="J25" s="227"/>
      <c r="K25" s="75">
        <f t="shared" ref="K25" si="12">SUM(H25:J25)</f>
        <v>0</v>
      </c>
      <c r="L25" s="76">
        <f t="shared" ref="L25" si="13">ROUND(F25*E25,2)</f>
        <v>0</v>
      </c>
      <c r="M25" s="75">
        <f t="shared" ref="M25" si="14">ROUND(H25*E25,2)</f>
        <v>0</v>
      </c>
      <c r="N25" s="75">
        <f t="shared" ref="N25" si="15">ROUND(I25*E25,2)</f>
        <v>0</v>
      </c>
      <c r="O25" s="75">
        <f t="shared" ref="O25" si="16">ROUND(J25*E25,2)</f>
        <v>0</v>
      </c>
      <c r="P25" s="77">
        <f t="shared" ref="P25" si="17">SUM(M25:O25)</f>
        <v>0</v>
      </c>
    </row>
    <row r="26" spans="1:16" s="61" customFormat="1" x14ac:dyDescent="0.2">
      <c r="A26" s="218">
        <v>2</v>
      </c>
      <c r="B26" s="219" t="s">
        <v>205</v>
      </c>
      <c r="C26" s="220" t="s">
        <v>206</v>
      </c>
      <c r="D26" s="67" t="s">
        <v>207</v>
      </c>
      <c r="E26" s="205">
        <v>165</v>
      </c>
      <c r="F26" s="213"/>
      <c r="G26" s="148"/>
      <c r="H26" s="221"/>
      <c r="I26" s="221"/>
      <c r="J26" s="222"/>
      <c r="K26" s="75">
        <f t="shared" si="6"/>
        <v>0</v>
      </c>
      <c r="L26" s="76">
        <f t="shared" si="7"/>
        <v>0</v>
      </c>
      <c r="M26" s="75">
        <f t="shared" si="8"/>
        <v>0</v>
      </c>
      <c r="N26" s="75">
        <f t="shared" si="9"/>
        <v>0</v>
      </c>
      <c r="O26" s="75">
        <f t="shared" si="10"/>
        <v>0</v>
      </c>
      <c r="P26" s="77">
        <f t="shared" si="11"/>
        <v>0</v>
      </c>
    </row>
    <row r="27" spans="1:16" s="61" customFormat="1" x14ac:dyDescent="0.2">
      <c r="A27" s="218">
        <v>0</v>
      </c>
      <c r="B27" s="219">
        <v>0</v>
      </c>
      <c r="C27" s="125" t="s">
        <v>208</v>
      </c>
      <c r="D27" s="67" t="s">
        <v>115</v>
      </c>
      <c r="E27" s="205">
        <f>0.05*0.1*E26*1.05/0.4</f>
        <v>2.1656250000000004</v>
      </c>
      <c r="F27" s="213"/>
      <c r="G27" s="213"/>
      <c r="H27" s="221"/>
      <c r="I27" s="221"/>
      <c r="J27" s="222"/>
      <c r="K27" s="75">
        <f t="shared" si="6"/>
        <v>0</v>
      </c>
      <c r="L27" s="76">
        <f t="shared" si="7"/>
        <v>0</v>
      </c>
      <c r="M27" s="75">
        <f t="shared" si="8"/>
        <v>0</v>
      </c>
      <c r="N27" s="75">
        <f t="shared" si="9"/>
        <v>0</v>
      </c>
      <c r="O27" s="75">
        <f t="shared" si="10"/>
        <v>0</v>
      </c>
      <c r="P27" s="77">
        <f t="shared" si="11"/>
        <v>0</v>
      </c>
    </row>
    <row r="28" spans="1:16" s="61" customFormat="1" x14ac:dyDescent="0.2">
      <c r="A28" s="218">
        <v>0</v>
      </c>
      <c r="B28" s="219">
        <v>0</v>
      </c>
      <c r="C28" s="125" t="s">
        <v>209</v>
      </c>
      <c r="D28" s="67" t="s">
        <v>210</v>
      </c>
      <c r="E28" s="205">
        <f>0.08*E26</f>
        <v>13.200000000000001</v>
      </c>
      <c r="F28" s="213"/>
      <c r="G28" s="213"/>
      <c r="H28" s="221"/>
      <c r="I28" s="221"/>
      <c r="J28" s="222"/>
      <c r="K28" s="75">
        <f t="shared" si="6"/>
        <v>0</v>
      </c>
      <c r="L28" s="76">
        <f t="shared" si="7"/>
        <v>0</v>
      </c>
      <c r="M28" s="75">
        <f t="shared" si="8"/>
        <v>0</v>
      </c>
      <c r="N28" s="75">
        <f t="shared" si="9"/>
        <v>0</v>
      </c>
      <c r="O28" s="75">
        <f t="shared" si="10"/>
        <v>0</v>
      </c>
      <c r="P28" s="77">
        <f t="shared" si="11"/>
        <v>0</v>
      </c>
    </row>
    <row r="29" spans="1:16" s="61" customFormat="1" ht="15" x14ac:dyDescent="0.25">
      <c r="A29" s="362">
        <v>3</v>
      </c>
      <c r="B29" s="223" t="s">
        <v>211</v>
      </c>
      <c r="C29" s="224" t="s">
        <v>212</v>
      </c>
      <c r="D29" s="225" t="s">
        <v>207</v>
      </c>
      <c r="E29" s="225">
        <v>165</v>
      </c>
      <c r="F29" s="226"/>
      <c r="G29" s="226"/>
      <c r="H29" s="227"/>
      <c r="I29" s="227"/>
      <c r="J29" s="227"/>
      <c r="K29" s="75">
        <f t="shared" si="6"/>
        <v>0</v>
      </c>
      <c r="L29" s="76">
        <f t="shared" si="7"/>
        <v>0</v>
      </c>
      <c r="M29" s="75">
        <f t="shared" si="8"/>
        <v>0</v>
      </c>
      <c r="N29" s="75">
        <f t="shared" si="9"/>
        <v>0</v>
      </c>
      <c r="O29" s="75">
        <f t="shared" si="10"/>
        <v>0</v>
      </c>
      <c r="P29" s="77">
        <f t="shared" si="11"/>
        <v>0</v>
      </c>
    </row>
    <row r="30" spans="1:16" s="61" customFormat="1" ht="30" x14ac:dyDescent="0.25">
      <c r="A30" s="362">
        <v>0</v>
      </c>
      <c r="B30" s="223">
        <v>0</v>
      </c>
      <c r="C30" s="224" t="s">
        <v>213</v>
      </c>
      <c r="D30" s="225" t="s">
        <v>207</v>
      </c>
      <c r="E30" s="225">
        <f>1.04*E29</f>
        <v>171.6</v>
      </c>
      <c r="F30" s="226"/>
      <c r="G30" s="226"/>
      <c r="H30" s="227"/>
      <c r="I30" s="227"/>
      <c r="J30" s="227"/>
      <c r="K30" s="75">
        <f t="shared" si="6"/>
        <v>0</v>
      </c>
      <c r="L30" s="76">
        <f t="shared" si="7"/>
        <v>0</v>
      </c>
      <c r="M30" s="75">
        <f t="shared" si="8"/>
        <v>0</v>
      </c>
      <c r="N30" s="75">
        <f t="shared" si="9"/>
        <v>0</v>
      </c>
      <c r="O30" s="75">
        <f t="shared" si="10"/>
        <v>0</v>
      </c>
      <c r="P30" s="77">
        <f t="shared" si="11"/>
        <v>0</v>
      </c>
    </row>
    <row r="31" spans="1:16" s="61" customFormat="1" ht="51" x14ac:dyDescent="0.2">
      <c r="A31" s="202">
        <v>0</v>
      </c>
      <c r="B31" s="144"/>
      <c r="C31" s="207" t="s">
        <v>214</v>
      </c>
      <c r="D31" s="204"/>
      <c r="E31" s="205"/>
      <c r="F31" s="148"/>
      <c r="G31" s="148"/>
      <c r="H31" s="217"/>
      <c r="I31" s="217"/>
      <c r="J31" s="217"/>
      <c r="K31" s="75">
        <f t="shared" si="6"/>
        <v>0</v>
      </c>
      <c r="L31" s="76">
        <f t="shared" si="7"/>
        <v>0</v>
      </c>
      <c r="M31" s="75">
        <f t="shared" si="8"/>
        <v>0</v>
      </c>
      <c r="N31" s="75">
        <f t="shared" si="9"/>
        <v>0</v>
      </c>
      <c r="O31" s="75">
        <f t="shared" si="10"/>
        <v>0</v>
      </c>
      <c r="P31" s="77">
        <f t="shared" si="11"/>
        <v>0</v>
      </c>
    </row>
    <row r="32" spans="1:16" s="61" customFormat="1" ht="30" x14ac:dyDescent="0.2">
      <c r="A32" s="228">
        <v>4</v>
      </c>
      <c r="B32" s="229" t="s">
        <v>215</v>
      </c>
      <c r="C32" s="230" t="s">
        <v>216</v>
      </c>
      <c r="D32" s="67" t="s">
        <v>207</v>
      </c>
      <c r="E32" s="205">
        <v>95</v>
      </c>
      <c r="F32" s="226"/>
      <c r="G32" s="226"/>
      <c r="H32" s="227"/>
      <c r="I32" s="227"/>
      <c r="J32" s="227"/>
      <c r="K32" s="75">
        <f t="shared" si="6"/>
        <v>0</v>
      </c>
      <c r="L32" s="76">
        <f t="shared" si="7"/>
        <v>0</v>
      </c>
      <c r="M32" s="75">
        <f t="shared" si="8"/>
        <v>0</v>
      </c>
      <c r="N32" s="75">
        <f t="shared" si="9"/>
        <v>0</v>
      </c>
      <c r="O32" s="75">
        <f t="shared" si="10"/>
        <v>0</v>
      </c>
      <c r="P32" s="77">
        <f t="shared" si="11"/>
        <v>0</v>
      </c>
    </row>
    <row r="33" spans="1:16" s="61" customFormat="1" x14ac:dyDescent="0.2">
      <c r="A33" s="218">
        <v>5</v>
      </c>
      <c r="B33" s="219" t="s">
        <v>205</v>
      </c>
      <c r="C33" s="220" t="s">
        <v>206</v>
      </c>
      <c r="D33" s="67" t="s">
        <v>207</v>
      </c>
      <c r="E33" s="205">
        <v>95</v>
      </c>
      <c r="F33" s="213"/>
      <c r="G33" s="148"/>
      <c r="H33" s="221"/>
      <c r="I33" s="221"/>
      <c r="J33" s="222"/>
      <c r="K33" s="75">
        <f t="shared" si="6"/>
        <v>0</v>
      </c>
      <c r="L33" s="76">
        <f t="shared" si="7"/>
        <v>0</v>
      </c>
      <c r="M33" s="75">
        <f t="shared" si="8"/>
        <v>0</v>
      </c>
      <c r="N33" s="75">
        <f t="shared" si="9"/>
        <v>0</v>
      </c>
      <c r="O33" s="75">
        <f t="shared" si="10"/>
        <v>0</v>
      </c>
      <c r="P33" s="77">
        <f t="shared" si="11"/>
        <v>0</v>
      </c>
    </row>
    <row r="34" spans="1:16" s="61" customFormat="1" x14ac:dyDescent="0.2">
      <c r="A34" s="218">
        <v>0</v>
      </c>
      <c r="B34" s="219">
        <v>0</v>
      </c>
      <c r="C34" s="125" t="s">
        <v>208</v>
      </c>
      <c r="D34" s="67" t="s">
        <v>115</v>
      </c>
      <c r="E34" s="205">
        <f>0.05*0.1*E33*1.05/0.4</f>
        <v>1.2468750000000002</v>
      </c>
      <c r="F34" s="213"/>
      <c r="G34" s="213"/>
      <c r="H34" s="221"/>
      <c r="I34" s="221"/>
      <c r="J34" s="222"/>
      <c r="K34" s="75">
        <f t="shared" si="6"/>
        <v>0</v>
      </c>
      <c r="L34" s="76">
        <f t="shared" si="7"/>
        <v>0</v>
      </c>
      <c r="M34" s="75">
        <f t="shared" si="8"/>
        <v>0</v>
      </c>
      <c r="N34" s="75">
        <f t="shared" si="9"/>
        <v>0</v>
      </c>
      <c r="O34" s="75">
        <f t="shared" si="10"/>
        <v>0</v>
      </c>
      <c r="P34" s="77">
        <f t="shared" si="11"/>
        <v>0</v>
      </c>
    </row>
    <row r="35" spans="1:16" s="61" customFormat="1" x14ac:dyDescent="0.2">
      <c r="A35" s="218">
        <v>0</v>
      </c>
      <c r="B35" s="219">
        <v>0</v>
      </c>
      <c r="C35" s="125" t="s">
        <v>209</v>
      </c>
      <c r="D35" s="67" t="s">
        <v>210</v>
      </c>
      <c r="E35" s="205">
        <f>0.08*E33</f>
        <v>7.6000000000000005</v>
      </c>
      <c r="F35" s="213"/>
      <c r="G35" s="213"/>
      <c r="H35" s="221"/>
      <c r="I35" s="221"/>
      <c r="J35" s="222"/>
      <c r="K35" s="75">
        <f t="shared" si="6"/>
        <v>0</v>
      </c>
      <c r="L35" s="76">
        <f t="shared" si="7"/>
        <v>0</v>
      </c>
      <c r="M35" s="75">
        <f t="shared" si="8"/>
        <v>0</v>
      </c>
      <c r="N35" s="75">
        <f t="shared" si="9"/>
        <v>0</v>
      </c>
      <c r="O35" s="75">
        <f t="shared" si="10"/>
        <v>0</v>
      </c>
      <c r="P35" s="77">
        <f t="shared" si="11"/>
        <v>0</v>
      </c>
    </row>
    <row r="36" spans="1:16" s="61" customFormat="1" ht="15" x14ac:dyDescent="0.25">
      <c r="A36" s="362">
        <v>6</v>
      </c>
      <c r="B36" s="223" t="s">
        <v>211</v>
      </c>
      <c r="C36" s="224" t="s">
        <v>212</v>
      </c>
      <c r="D36" s="225" t="s">
        <v>207</v>
      </c>
      <c r="E36" s="225">
        <v>95</v>
      </c>
      <c r="F36" s="226"/>
      <c r="G36" s="226"/>
      <c r="H36" s="227"/>
      <c r="I36" s="227"/>
      <c r="J36" s="227"/>
      <c r="K36" s="75">
        <f t="shared" si="6"/>
        <v>0</v>
      </c>
      <c r="L36" s="76">
        <f t="shared" si="7"/>
        <v>0</v>
      </c>
      <c r="M36" s="75">
        <f t="shared" si="8"/>
        <v>0</v>
      </c>
      <c r="N36" s="75">
        <f t="shared" si="9"/>
        <v>0</v>
      </c>
      <c r="O36" s="75">
        <f t="shared" si="10"/>
        <v>0</v>
      </c>
      <c r="P36" s="77">
        <f t="shared" si="11"/>
        <v>0</v>
      </c>
    </row>
    <row r="37" spans="1:16" s="61" customFormat="1" ht="30" x14ac:dyDescent="0.25">
      <c r="A37" s="362">
        <v>0</v>
      </c>
      <c r="B37" s="223">
        <v>0</v>
      </c>
      <c r="C37" s="224" t="s">
        <v>217</v>
      </c>
      <c r="D37" s="225" t="s">
        <v>207</v>
      </c>
      <c r="E37" s="225">
        <f>1.04*E36</f>
        <v>98.8</v>
      </c>
      <c r="F37" s="226"/>
      <c r="G37" s="226"/>
      <c r="H37" s="227"/>
      <c r="I37" s="227"/>
      <c r="J37" s="227"/>
      <c r="K37" s="75">
        <f t="shared" si="6"/>
        <v>0</v>
      </c>
      <c r="L37" s="76">
        <f t="shared" si="7"/>
        <v>0</v>
      </c>
      <c r="M37" s="75">
        <f t="shared" si="8"/>
        <v>0</v>
      </c>
      <c r="N37" s="75">
        <f t="shared" si="9"/>
        <v>0</v>
      </c>
      <c r="O37" s="75">
        <f t="shared" si="10"/>
        <v>0</v>
      </c>
      <c r="P37" s="77">
        <f t="shared" si="11"/>
        <v>0</v>
      </c>
    </row>
    <row r="38" spans="1:16" s="61" customFormat="1" x14ac:dyDescent="0.2">
      <c r="A38" s="202">
        <v>0</v>
      </c>
      <c r="B38" s="144"/>
      <c r="C38" s="207" t="s">
        <v>218</v>
      </c>
      <c r="D38" s="204"/>
      <c r="E38" s="205"/>
      <c r="F38" s="148"/>
      <c r="G38" s="148"/>
      <c r="H38" s="217"/>
      <c r="I38" s="217"/>
      <c r="J38" s="217"/>
      <c r="K38" s="75">
        <f t="shared" si="6"/>
        <v>0</v>
      </c>
      <c r="L38" s="76">
        <f t="shared" si="7"/>
        <v>0</v>
      </c>
      <c r="M38" s="75">
        <f t="shared" si="8"/>
        <v>0</v>
      </c>
      <c r="N38" s="75">
        <f t="shared" si="9"/>
        <v>0</v>
      </c>
      <c r="O38" s="75">
        <f t="shared" si="10"/>
        <v>0</v>
      </c>
      <c r="P38" s="77">
        <f t="shared" si="11"/>
        <v>0</v>
      </c>
    </row>
    <row r="39" spans="1:16" s="61" customFormat="1" ht="42.75" customHeight="1" x14ac:dyDescent="0.2">
      <c r="A39" s="208">
        <v>7</v>
      </c>
      <c r="B39" s="231" t="s">
        <v>219</v>
      </c>
      <c r="C39" s="232" t="s">
        <v>220</v>
      </c>
      <c r="D39" s="211" t="s">
        <v>207</v>
      </c>
      <c r="E39" s="205">
        <v>200</v>
      </c>
      <c r="F39" s="226"/>
      <c r="G39" s="226"/>
      <c r="H39" s="227"/>
      <c r="I39" s="227"/>
      <c r="J39" s="227"/>
      <c r="K39" s="75">
        <f t="shared" si="6"/>
        <v>0</v>
      </c>
      <c r="L39" s="76">
        <f t="shared" si="7"/>
        <v>0</v>
      </c>
      <c r="M39" s="75">
        <f t="shared" si="8"/>
        <v>0</v>
      </c>
      <c r="N39" s="75">
        <f t="shared" si="9"/>
        <v>0</v>
      </c>
      <c r="O39" s="75">
        <f t="shared" si="10"/>
        <v>0</v>
      </c>
      <c r="P39" s="77">
        <f t="shared" si="11"/>
        <v>0</v>
      </c>
    </row>
    <row r="40" spans="1:16" s="61" customFormat="1" ht="15" x14ac:dyDescent="0.2">
      <c r="A40" s="208">
        <v>0</v>
      </c>
      <c r="B40" s="231"/>
      <c r="C40" s="215" t="s">
        <v>221</v>
      </c>
      <c r="D40" s="211" t="s">
        <v>207</v>
      </c>
      <c r="E40" s="205">
        <f>1.05*E39</f>
        <v>210</v>
      </c>
      <c r="F40" s="226"/>
      <c r="G40" s="226"/>
      <c r="H40" s="227"/>
      <c r="I40" s="227"/>
      <c r="J40" s="227"/>
      <c r="K40" s="75">
        <f t="shared" si="6"/>
        <v>0</v>
      </c>
      <c r="L40" s="76">
        <f t="shared" si="7"/>
        <v>0</v>
      </c>
      <c r="M40" s="75">
        <f t="shared" si="8"/>
        <v>0</v>
      </c>
      <c r="N40" s="75">
        <f t="shared" si="9"/>
        <v>0</v>
      </c>
      <c r="O40" s="75">
        <f t="shared" si="10"/>
        <v>0</v>
      </c>
      <c r="P40" s="77">
        <f t="shared" si="11"/>
        <v>0</v>
      </c>
    </row>
    <row r="41" spans="1:16" s="61" customFormat="1" x14ac:dyDescent="0.2">
      <c r="A41" s="208">
        <v>0</v>
      </c>
      <c r="B41" s="231"/>
      <c r="C41" s="216" t="s">
        <v>222</v>
      </c>
      <c r="D41" s="211" t="s">
        <v>131</v>
      </c>
      <c r="E41" s="205">
        <f>5*E39</f>
        <v>1000</v>
      </c>
      <c r="F41" s="226"/>
      <c r="G41" s="226"/>
      <c r="H41" s="227"/>
      <c r="I41" s="227"/>
      <c r="J41" s="227"/>
      <c r="K41" s="75">
        <f t="shared" si="6"/>
        <v>0</v>
      </c>
      <c r="L41" s="76">
        <f t="shared" si="7"/>
        <v>0</v>
      </c>
      <c r="M41" s="75">
        <f t="shared" si="8"/>
        <v>0</v>
      </c>
      <c r="N41" s="75">
        <f t="shared" si="9"/>
        <v>0</v>
      </c>
      <c r="O41" s="75">
        <f t="shared" si="10"/>
        <v>0</v>
      </c>
      <c r="P41" s="77">
        <f t="shared" si="11"/>
        <v>0</v>
      </c>
    </row>
    <row r="42" spans="1:16" s="61" customFormat="1" ht="15" x14ac:dyDescent="0.2">
      <c r="A42" s="208">
        <v>0</v>
      </c>
      <c r="B42" s="231"/>
      <c r="C42" s="215" t="s">
        <v>223</v>
      </c>
      <c r="D42" s="233" t="s">
        <v>207</v>
      </c>
      <c r="E42" s="205">
        <f>E39</f>
        <v>200</v>
      </c>
      <c r="F42" s="226"/>
      <c r="G42" s="226"/>
      <c r="H42" s="227"/>
      <c r="I42" s="227"/>
      <c r="J42" s="227"/>
      <c r="K42" s="75">
        <f t="shared" si="6"/>
        <v>0</v>
      </c>
      <c r="L42" s="76">
        <f t="shared" si="7"/>
        <v>0</v>
      </c>
      <c r="M42" s="75">
        <f t="shared" si="8"/>
        <v>0</v>
      </c>
      <c r="N42" s="75">
        <f t="shared" si="9"/>
        <v>0</v>
      </c>
      <c r="O42" s="75">
        <f t="shared" si="10"/>
        <v>0</v>
      </c>
      <c r="P42" s="77">
        <f t="shared" si="11"/>
        <v>0</v>
      </c>
    </row>
    <row r="43" spans="1:16" s="61" customFormat="1" x14ac:dyDescent="0.2">
      <c r="A43" s="202">
        <v>0</v>
      </c>
      <c r="B43" s="144"/>
      <c r="C43" s="207" t="s">
        <v>224</v>
      </c>
      <c r="D43" s="204"/>
      <c r="E43" s="205"/>
      <c r="F43" s="148"/>
      <c r="G43" s="148"/>
      <c r="H43" s="217"/>
      <c r="I43" s="217"/>
      <c r="J43" s="217"/>
      <c r="K43" s="75">
        <f t="shared" si="6"/>
        <v>0</v>
      </c>
      <c r="L43" s="76">
        <f t="shared" si="7"/>
        <v>0</v>
      </c>
      <c r="M43" s="75">
        <f t="shared" si="8"/>
        <v>0</v>
      </c>
      <c r="N43" s="75">
        <f t="shared" si="9"/>
        <v>0</v>
      </c>
      <c r="O43" s="75">
        <f t="shared" si="10"/>
        <v>0</v>
      </c>
      <c r="P43" s="77">
        <f t="shared" si="11"/>
        <v>0</v>
      </c>
    </row>
    <row r="44" spans="1:16" s="61" customFormat="1" ht="32.25" customHeight="1" x14ac:dyDescent="0.2">
      <c r="A44" s="208">
        <v>8</v>
      </c>
      <c r="B44" s="231" t="s">
        <v>219</v>
      </c>
      <c r="C44" s="232" t="s">
        <v>220</v>
      </c>
      <c r="D44" s="211" t="s">
        <v>207</v>
      </c>
      <c r="E44" s="205">
        <v>95</v>
      </c>
      <c r="F44" s="226"/>
      <c r="G44" s="226"/>
      <c r="H44" s="227"/>
      <c r="I44" s="227"/>
      <c r="J44" s="227"/>
      <c r="K44" s="75">
        <f t="shared" si="6"/>
        <v>0</v>
      </c>
      <c r="L44" s="76">
        <f t="shared" si="7"/>
        <v>0</v>
      </c>
      <c r="M44" s="75">
        <f t="shared" si="8"/>
        <v>0</v>
      </c>
      <c r="N44" s="75">
        <f t="shared" si="9"/>
        <v>0</v>
      </c>
      <c r="O44" s="75">
        <f t="shared" si="10"/>
        <v>0</v>
      </c>
      <c r="P44" s="77">
        <f t="shared" si="11"/>
        <v>0</v>
      </c>
    </row>
    <row r="45" spans="1:16" s="61" customFormat="1" ht="15" x14ac:dyDescent="0.2">
      <c r="A45" s="208">
        <v>0</v>
      </c>
      <c r="B45" s="231"/>
      <c r="C45" s="215" t="s">
        <v>221</v>
      </c>
      <c r="D45" s="211" t="s">
        <v>207</v>
      </c>
      <c r="E45" s="205">
        <f>1.05*E44</f>
        <v>99.75</v>
      </c>
      <c r="F45" s="226"/>
      <c r="G45" s="226"/>
      <c r="H45" s="227"/>
      <c r="I45" s="227"/>
      <c r="J45" s="227"/>
      <c r="K45" s="75">
        <f t="shared" si="6"/>
        <v>0</v>
      </c>
      <c r="L45" s="76">
        <f t="shared" si="7"/>
        <v>0</v>
      </c>
      <c r="M45" s="75">
        <f t="shared" si="8"/>
        <v>0</v>
      </c>
      <c r="N45" s="75">
        <f t="shared" si="9"/>
        <v>0</v>
      </c>
      <c r="O45" s="75">
        <f t="shared" si="10"/>
        <v>0</v>
      </c>
      <c r="P45" s="77">
        <f t="shared" si="11"/>
        <v>0</v>
      </c>
    </row>
    <row r="46" spans="1:16" s="61" customFormat="1" x14ac:dyDescent="0.2">
      <c r="A46" s="208">
        <v>0</v>
      </c>
      <c r="B46" s="231"/>
      <c r="C46" s="216" t="s">
        <v>222</v>
      </c>
      <c r="D46" s="211" t="s">
        <v>131</v>
      </c>
      <c r="E46" s="205">
        <f>5*E44</f>
        <v>475</v>
      </c>
      <c r="F46" s="226"/>
      <c r="G46" s="226"/>
      <c r="H46" s="227"/>
      <c r="I46" s="227"/>
      <c r="J46" s="227"/>
      <c r="K46" s="75">
        <f t="shared" si="6"/>
        <v>0</v>
      </c>
      <c r="L46" s="76">
        <f t="shared" si="7"/>
        <v>0</v>
      </c>
      <c r="M46" s="75">
        <f t="shared" si="8"/>
        <v>0</v>
      </c>
      <c r="N46" s="75">
        <f t="shared" si="9"/>
        <v>0</v>
      </c>
      <c r="O46" s="75">
        <f t="shared" si="10"/>
        <v>0</v>
      </c>
      <c r="P46" s="77">
        <f t="shared" si="11"/>
        <v>0</v>
      </c>
    </row>
    <row r="47" spans="1:16" s="61" customFormat="1" ht="15" x14ac:dyDescent="0.2">
      <c r="A47" s="208">
        <v>0</v>
      </c>
      <c r="B47" s="231"/>
      <c r="C47" s="215" t="s">
        <v>223</v>
      </c>
      <c r="D47" s="233" t="s">
        <v>207</v>
      </c>
      <c r="E47" s="205">
        <f>E44</f>
        <v>95</v>
      </c>
      <c r="F47" s="226"/>
      <c r="G47" s="226"/>
      <c r="H47" s="227"/>
      <c r="I47" s="227"/>
      <c r="J47" s="227"/>
      <c r="K47" s="75">
        <f t="shared" si="6"/>
        <v>0</v>
      </c>
      <c r="L47" s="76">
        <f t="shared" si="7"/>
        <v>0</v>
      </c>
      <c r="M47" s="75">
        <f t="shared" si="8"/>
        <v>0</v>
      </c>
      <c r="N47" s="75">
        <f t="shared" si="9"/>
        <v>0</v>
      </c>
      <c r="O47" s="75">
        <f t="shared" si="10"/>
        <v>0</v>
      </c>
      <c r="P47" s="77">
        <f t="shared" si="11"/>
        <v>0</v>
      </c>
    </row>
    <row r="48" spans="1:16" s="61" customFormat="1" ht="51" x14ac:dyDescent="0.2">
      <c r="A48" s="202">
        <v>0</v>
      </c>
      <c r="B48" s="144"/>
      <c r="C48" s="207" t="s">
        <v>225</v>
      </c>
      <c r="D48" s="204"/>
      <c r="E48" s="205"/>
      <c r="F48" s="148"/>
      <c r="G48" s="148"/>
      <c r="H48" s="217"/>
      <c r="I48" s="217"/>
      <c r="J48" s="217"/>
      <c r="K48" s="75">
        <f t="shared" si="6"/>
        <v>0</v>
      </c>
      <c r="L48" s="76">
        <f t="shared" si="7"/>
        <v>0</v>
      </c>
      <c r="M48" s="75">
        <f t="shared" si="8"/>
        <v>0</v>
      </c>
      <c r="N48" s="75">
        <f t="shared" si="9"/>
        <v>0</v>
      </c>
      <c r="O48" s="75">
        <f t="shared" si="10"/>
        <v>0</v>
      </c>
      <c r="P48" s="77">
        <f t="shared" si="11"/>
        <v>0</v>
      </c>
    </row>
    <row r="49" spans="1:16" s="61" customFormat="1" x14ac:dyDescent="0.2">
      <c r="A49" s="218">
        <v>9</v>
      </c>
      <c r="B49" s="219" t="s">
        <v>205</v>
      </c>
      <c r="C49" s="220" t="s">
        <v>206</v>
      </c>
      <c r="D49" s="67" t="s">
        <v>207</v>
      </c>
      <c r="E49" s="205">
        <v>91</v>
      </c>
      <c r="F49" s="213"/>
      <c r="G49" s="148"/>
      <c r="H49" s="221"/>
      <c r="I49" s="221"/>
      <c r="J49" s="222"/>
      <c r="K49" s="75">
        <f t="shared" si="6"/>
        <v>0</v>
      </c>
      <c r="L49" s="76">
        <f t="shared" si="7"/>
        <v>0</v>
      </c>
      <c r="M49" s="75">
        <f t="shared" si="8"/>
        <v>0</v>
      </c>
      <c r="N49" s="75">
        <f t="shared" si="9"/>
        <v>0</v>
      </c>
      <c r="O49" s="75">
        <f t="shared" si="10"/>
        <v>0</v>
      </c>
      <c r="P49" s="77">
        <f t="shared" si="11"/>
        <v>0</v>
      </c>
    </row>
    <row r="50" spans="1:16" s="61" customFormat="1" x14ac:dyDescent="0.2">
      <c r="A50" s="218">
        <v>0</v>
      </c>
      <c r="B50" s="219">
        <v>0</v>
      </c>
      <c r="C50" s="125" t="s">
        <v>208</v>
      </c>
      <c r="D50" s="67" t="s">
        <v>115</v>
      </c>
      <c r="E50" s="205">
        <f>0.05*0.1*E49*1.05/0.4</f>
        <v>1.1943750000000002</v>
      </c>
      <c r="F50" s="213"/>
      <c r="G50" s="213"/>
      <c r="H50" s="221"/>
      <c r="I50" s="221"/>
      <c r="J50" s="222"/>
      <c r="K50" s="75">
        <f t="shared" si="6"/>
        <v>0</v>
      </c>
      <c r="L50" s="76">
        <f t="shared" si="7"/>
        <v>0</v>
      </c>
      <c r="M50" s="75">
        <f t="shared" si="8"/>
        <v>0</v>
      </c>
      <c r="N50" s="75">
        <f t="shared" si="9"/>
        <v>0</v>
      </c>
      <c r="O50" s="75">
        <f t="shared" si="10"/>
        <v>0</v>
      </c>
      <c r="P50" s="77">
        <f t="shared" si="11"/>
        <v>0</v>
      </c>
    </row>
    <row r="51" spans="1:16" s="61" customFormat="1" x14ac:dyDescent="0.2">
      <c r="A51" s="218">
        <v>0</v>
      </c>
      <c r="B51" s="219">
        <v>0</v>
      </c>
      <c r="C51" s="125" t="s">
        <v>209</v>
      </c>
      <c r="D51" s="67" t="s">
        <v>210</v>
      </c>
      <c r="E51" s="205">
        <f>0.08*E49</f>
        <v>7.28</v>
      </c>
      <c r="F51" s="213"/>
      <c r="G51" s="213"/>
      <c r="H51" s="221"/>
      <c r="I51" s="221"/>
      <c r="J51" s="222"/>
      <c r="K51" s="75">
        <f t="shared" si="6"/>
        <v>0</v>
      </c>
      <c r="L51" s="76">
        <f t="shared" si="7"/>
        <v>0</v>
      </c>
      <c r="M51" s="75">
        <f t="shared" si="8"/>
        <v>0</v>
      </c>
      <c r="N51" s="75">
        <f t="shared" si="9"/>
        <v>0</v>
      </c>
      <c r="O51" s="75">
        <f t="shared" si="10"/>
        <v>0</v>
      </c>
      <c r="P51" s="77">
        <f t="shared" si="11"/>
        <v>0</v>
      </c>
    </row>
    <row r="52" spans="1:16" s="61" customFormat="1" ht="15" x14ac:dyDescent="0.25">
      <c r="A52" s="362">
        <v>10</v>
      </c>
      <c r="B52" s="223" t="s">
        <v>211</v>
      </c>
      <c r="C52" s="224" t="s">
        <v>212</v>
      </c>
      <c r="D52" s="225" t="s">
        <v>207</v>
      </c>
      <c r="E52" s="225">
        <v>91</v>
      </c>
      <c r="F52" s="226"/>
      <c r="G52" s="226"/>
      <c r="H52" s="227"/>
      <c r="I52" s="227"/>
      <c r="J52" s="227"/>
      <c r="K52" s="75">
        <f t="shared" si="6"/>
        <v>0</v>
      </c>
      <c r="L52" s="76">
        <f t="shared" si="7"/>
        <v>0</v>
      </c>
      <c r="M52" s="75">
        <f t="shared" si="8"/>
        <v>0</v>
      </c>
      <c r="N52" s="75">
        <f t="shared" si="9"/>
        <v>0</v>
      </c>
      <c r="O52" s="75">
        <f t="shared" si="10"/>
        <v>0</v>
      </c>
      <c r="P52" s="77">
        <f t="shared" si="11"/>
        <v>0</v>
      </c>
    </row>
    <row r="53" spans="1:16" s="61" customFormat="1" ht="30" x14ac:dyDescent="0.25">
      <c r="A53" s="362">
        <v>0</v>
      </c>
      <c r="B53" s="223">
        <v>0</v>
      </c>
      <c r="C53" s="224" t="s">
        <v>213</v>
      </c>
      <c r="D53" s="225" t="s">
        <v>207</v>
      </c>
      <c r="E53" s="225">
        <f>1.04*E52</f>
        <v>94.64</v>
      </c>
      <c r="F53" s="226"/>
      <c r="G53" s="226"/>
      <c r="H53" s="227"/>
      <c r="I53" s="227"/>
      <c r="J53" s="227"/>
      <c r="K53" s="75">
        <f t="shared" si="6"/>
        <v>0</v>
      </c>
      <c r="L53" s="76">
        <f t="shared" si="7"/>
        <v>0</v>
      </c>
      <c r="M53" s="75">
        <f t="shared" si="8"/>
        <v>0</v>
      </c>
      <c r="N53" s="75">
        <f t="shared" si="9"/>
        <v>0</v>
      </c>
      <c r="O53" s="75">
        <f t="shared" si="10"/>
        <v>0</v>
      </c>
      <c r="P53" s="77">
        <f t="shared" si="11"/>
        <v>0</v>
      </c>
    </row>
    <row r="54" spans="1:16" s="61" customFormat="1" x14ac:dyDescent="0.2">
      <c r="A54" s="234">
        <v>11</v>
      </c>
      <c r="B54" s="235" t="s">
        <v>226</v>
      </c>
      <c r="C54" s="236" t="s">
        <v>227</v>
      </c>
      <c r="D54" s="211" t="s">
        <v>207</v>
      </c>
      <c r="E54" s="205">
        <v>91</v>
      </c>
      <c r="F54" s="226"/>
      <c r="G54" s="226"/>
      <c r="H54" s="227"/>
      <c r="I54" s="227"/>
      <c r="J54" s="227"/>
      <c r="K54" s="75">
        <f t="shared" si="6"/>
        <v>0</v>
      </c>
      <c r="L54" s="76">
        <f t="shared" si="7"/>
        <v>0</v>
      </c>
      <c r="M54" s="75">
        <f t="shared" si="8"/>
        <v>0</v>
      </c>
      <c r="N54" s="75">
        <f t="shared" si="9"/>
        <v>0</v>
      </c>
      <c r="O54" s="75">
        <f t="shared" si="10"/>
        <v>0</v>
      </c>
      <c r="P54" s="77">
        <f t="shared" si="11"/>
        <v>0</v>
      </c>
    </row>
    <row r="55" spans="1:16" s="61" customFormat="1" ht="15" x14ac:dyDescent="0.2">
      <c r="A55" s="234">
        <v>0</v>
      </c>
      <c r="B55" s="237">
        <v>0</v>
      </c>
      <c r="C55" s="215" t="s">
        <v>228</v>
      </c>
      <c r="D55" s="67" t="s">
        <v>207</v>
      </c>
      <c r="E55" s="205">
        <f>E54*1.1</f>
        <v>100.10000000000001</v>
      </c>
      <c r="F55" s="226"/>
      <c r="G55" s="226"/>
      <c r="H55" s="227"/>
      <c r="I55" s="227"/>
      <c r="J55" s="227"/>
      <c r="K55" s="75">
        <f t="shared" si="6"/>
        <v>0</v>
      </c>
      <c r="L55" s="76">
        <f t="shared" si="7"/>
        <v>0</v>
      </c>
      <c r="M55" s="75">
        <f t="shared" si="8"/>
        <v>0</v>
      </c>
      <c r="N55" s="75">
        <f t="shared" si="9"/>
        <v>0</v>
      </c>
      <c r="O55" s="75">
        <f t="shared" si="10"/>
        <v>0</v>
      </c>
      <c r="P55" s="77">
        <f t="shared" si="11"/>
        <v>0</v>
      </c>
    </row>
    <row r="56" spans="1:16" s="61" customFormat="1" ht="15" x14ac:dyDescent="0.2">
      <c r="A56" s="218">
        <v>12</v>
      </c>
      <c r="B56" s="238" t="s">
        <v>229</v>
      </c>
      <c r="C56" s="239" t="s">
        <v>230</v>
      </c>
      <c r="D56" s="67" t="s">
        <v>207</v>
      </c>
      <c r="E56" s="205">
        <v>91</v>
      </c>
      <c r="F56" s="226"/>
      <c r="G56" s="226"/>
      <c r="H56" s="227"/>
      <c r="I56" s="227"/>
      <c r="J56" s="227"/>
      <c r="K56" s="75">
        <f t="shared" si="6"/>
        <v>0</v>
      </c>
      <c r="L56" s="76">
        <f t="shared" si="7"/>
        <v>0</v>
      </c>
      <c r="M56" s="75">
        <f t="shared" si="8"/>
        <v>0</v>
      </c>
      <c r="N56" s="75">
        <f t="shared" si="9"/>
        <v>0</v>
      </c>
      <c r="O56" s="75">
        <f t="shared" si="10"/>
        <v>0</v>
      </c>
      <c r="P56" s="77">
        <f t="shared" si="11"/>
        <v>0</v>
      </c>
    </row>
    <row r="57" spans="1:16" s="61" customFormat="1" x14ac:dyDescent="0.2">
      <c r="A57" s="218">
        <v>0</v>
      </c>
      <c r="B57" s="240">
        <v>0</v>
      </c>
      <c r="C57" s="241" t="s">
        <v>231</v>
      </c>
      <c r="D57" s="67" t="s">
        <v>131</v>
      </c>
      <c r="E57" s="205">
        <f>15*E56</f>
        <v>1365</v>
      </c>
      <c r="F57" s="226"/>
      <c r="G57" s="226"/>
      <c r="H57" s="227"/>
      <c r="I57" s="227"/>
      <c r="J57" s="227"/>
      <c r="K57" s="75">
        <f t="shared" si="6"/>
        <v>0</v>
      </c>
      <c r="L57" s="76">
        <f t="shared" si="7"/>
        <v>0</v>
      </c>
      <c r="M57" s="75">
        <f t="shared" si="8"/>
        <v>0</v>
      </c>
      <c r="N57" s="75">
        <f t="shared" si="9"/>
        <v>0</v>
      </c>
      <c r="O57" s="75">
        <f t="shared" si="10"/>
        <v>0</v>
      </c>
      <c r="P57" s="77">
        <f t="shared" si="11"/>
        <v>0</v>
      </c>
    </row>
    <row r="58" spans="1:16" s="61" customFormat="1" ht="38.25" x14ac:dyDescent="0.2">
      <c r="A58" s="202">
        <v>0</v>
      </c>
      <c r="B58" s="144"/>
      <c r="C58" s="207" t="s">
        <v>232</v>
      </c>
      <c r="D58" s="204"/>
      <c r="E58" s="205"/>
      <c r="F58" s="148"/>
      <c r="G58" s="148"/>
      <c r="H58" s="217"/>
      <c r="I58" s="217"/>
      <c r="J58" s="217"/>
      <c r="K58" s="75">
        <f t="shared" si="6"/>
        <v>0</v>
      </c>
      <c r="L58" s="76">
        <f t="shared" si="7"/>
        <v>0</v>
      </c>
      <c r="M58" s="75">
        <f t="shared" si="8"/>
        <v>0</v>
      </c>
      <c r="N58" s="75">
        <f t="shared" si="9"/>
        <v>0</v>
      </c>
      <c r="O58" s="75">
        <f t="shared" si="10"/>
        <v>0</v>
      </c>
      <c r="P58" s="77">
        <f t="shared" si="11"/>
        <v>0</v>
      </c>
    </row>
    <row r="59" spans="1:16" s="61" customFormat="1" x14ac:dyDescent="0.2">
      <c r="A59" s="218">
        <v>13</v>
      </c>
      <c r="B59" s="219" t="s">
        <v>205</v>
      </c>
      <c r="C59" s="220" t="s">
        <v>206</v>
      </c>
      <c r="D59" s="67" t="s">
        <v>207</v>
      </c>
      <c r="E59" s="205">
        <v>170</v>
      </c>
      <c r="F59" s="213"/>
      <c r="G59" s="148"/>
      <c r="H59" s="221"/>
      <c r="I59" s="221"/>
      <c r="J59" s="222"/>
      <c r="K59" s="75">
        <f t="shared" si="6"/>
        <v>0</v>
      </c>
      <c r="L59" s="76">
        <f t="shared" si="7"/>
        <v>0</v>
      </c>
      <c r="M59" s="75">
        <f t="shared" si="8"/>
        <v>0</v>
      </c>
      <c r="N59" s="75">
        <f t="shared" si="9"/>
        <v>0</v>
      </c>
      <c r="O59" s="75">
        <f t="shared" si="10"/>
        <v>0</v>
      </c>
      <c r="P59" s="77">
        <f t="shared" si="11"/>
        <v>0</v>
      </c>
    </row>
    <row r="60" spans="1:16" s="61" customFormat="1" x14ac:dyDescent="0.2">
      <c r="A60" s="218">
        <v>0</v>
      </c>
      <c r="B60" s="219">
        <v>0</v>
      </c>
      <c r="C60" s="125" t="s">
        <v>208</v>
      </c>
      <c r="D60" s="67" t="s">
        <v>115</v>
      </c>
      <c r="E60" s="205">
        <f>0.05*0.1*E59*1.05/0.4</f>
        <v>2.2312500000000006</v>
      </c>
      <c r="F60" s="213"/>
      <c r="G60" s="213"/>
      <c r="H60" s="221"/>
      <c r="I60" s="221"/>
      <c r="J60" s="222"/>
      <c r="K60" s="75">
        <f t="shared" si="6"/>
        <v>0</v>
      </c>
      <c r="L60" s="76">
        <f t="shared" si="7"/>
        <v>0</v>
      </c>
      <c r="M60" s="75">
        <f t="shared" si="8"/>
        <v>0</v>
      </c>
      <c r="N60" s="75">
        <f t="shared" si="9"/>
        <v>0</v>
      </c>
      <c r="O60" s="75">
        <f t="shared" si="10"/>
        <v>0</v>
      </c>
      <c r="P60" s="77">
        <f t="shared" si="11"/>
        <v>0</v>
      </c>
    </row>
    <row r="61" spans="1:16" s="61" customFormat="1" x14ac:dyDescent="0.2">
      <c r="A61" s="218">
        <v>0</v>
      </c>
      <c r="B61" s="219">
        <v>0</v>
      </c>
      <c r="C61" s="125" t="s">
        <v>209</v>
      </c>
      <c r="D61" s="67" t="s">
        <v>210</v>
      </c>
      <c r="E61" s="205">
        <f>0.08*E59</f>
        <v>13.6</v>
      </c>
      <c r="F61" s="213"/>
      <c r="G61" s="213"/>
      <c r="H61" s="221"/>
      <c r="I61" s="221"/>
      <c r="J61" s="222"/>
      <c r="K61" s="75">
        <f t="shared" si="6"/>
        <v>0</v>
      </c>
      <c r="L61" s="76">
        <f t="shared" si="7"/>
        <v>0</v>
      </c>
      <c r="M61" s="75">
        <f t="shared" si="8"/>
        <v>0</v>
      </c>
      <c r="N61" s="75">
        <f t="shared" si="9"/>
        <v>0</v>
      </c>
      <c r="O61" s="75">
        <f t="shared" si="10"/>
        <v>0</v>
      </c>
      <c r="P61" s="77">
        <f t="shared" si="11"/>
        <v>0</v>
      </c>
    </row>
    <row r="62" spans="1:16" s="61" customFormat="1" ht="15" x14ac:dyDescent="0.25">
      <c r="A62" s="362">
        <v>14</v>
      </c>
      <c r="B62" s="223" t="s">
        <v>211</v>
      </c>
      <c r="C62" s="224" t="s">
        <v>212</v>
      </c>
      <c r="D62" s="225" t="s">
        <v>207</v>
      </c>
      <c r="E62" s="225">
        <v>170</v>
      </c>
      <c r="F62" s="226"/>
      <c r="G62" s="226"/>
      <c r="H62" s="227"/>
      <c r="I62" s="227"/>
      <c r="J62" s="227"/>
      <c r="K62" s="75">
        <f t="shared" si="6"/>
        <v>0</v>
      </c>
      <c r="L62" s="76">
        <f t="shared" si="7"/>
        <v>0</v>
      </c>
      <c r="M62" s="75">
        <f t="shared" si="8"/>
        <v>0</v>
      </c>
      <c r="N62" s="75">
        <f t="shared" si="9"/>
        <v>0</v>
      </c>
      <c r="O62" s="75">
        <f t="shared" si="10"/>
        <v>0</v>
      </c>
      <c r="P62" s="77">
        <f t="shared" si="11"/>
        <v>0</v>
      </c>
    </row>
    <row r="63" spans="1:16" s="61" customFormat="1" ht="30" x14ac:dyDescent="0.25">
      <c r="A63" s="362">
        <v>0</v>
      </c>
      <c r="B63" s="223">
        <v>0</v>
      </c>
      <c r="C63" s="224" t="s">
        <v>213</v>
      </c>
      <c r="D63" s="225" t="s">
        <v>207</v>
      </c>
      <c r="E63" s="225">
        <f>1.04*E62</f>
        <v>176.8</v>
      </c>
      <c r="F63" s="226"/>
      <c r="G63" s="226"/>
      <c r="H63" s="227"/>
      <c r="I63" s="227"/>
      <c r="J63" s="227"/>
      <c r="K63" s="75">
        <f t="shared" si="6"/>
        <v>0</v>
      </c>
      <c r="L63" s="76">
        <f t="shared" si="7"/>
        <v>0</v>
      </c>
      <c r="M63" s="75">
        <f t="shared" si="8"/>
        <v>0</v>
      </c>
      <c r="N63" s="75">
        <f t="shared" si="9"/>
        <v>0</v>
      </c>
      <c r="O63" s="75">
        <f t="shared" si="10"/>
        <v>0</v>
      </c>
      <c r="P63" s="77">
        <f t="shared" si="11"/>
        <v>0</v>
      </c>
    </row>
    <row r="64" spans="1:16" s="61" customFormat="1" x14ac:dyDescent="0.2">
      <c r="A64" s="234">
        <v>15</v>
      </c>
      <c r="B64" s="235" t="s">
        <v>226</v>
      </c>
      <c r="C64" s="236" t="s">
        <v>227</v>
      </c>
      <c r="D64" s="211" t="s">
        <v>207</v>
      </c>
      <c r="E64" s="205">
        <v>170</v>
      </c>
      <c r="F64" s="226"/>
      <c r="G64" s="226"/>
      <c r="H64" s="227"/>
      <c r="I64" s="227"/>
      <c r="J64" s="227"/>
      <c r="K64" s="75">
        <f t="shared" si="6"/>
        <v>0</v>
      </c>
      <c r="L64" s="76">
        <f t="shared" si="7"/>
        <v>0</v>
      </c>
      <c r="M64" s="75">
        <f t="shared" si="8"/>
        <v>0</v>
      </c>
      <c r="N64" s="75">
        <f t="shared" si="9"/>
        <v>0</v>
      </c>
      <c r="O64" s="75">
        <f t="shared" si="10"/>
        <v>0</v>
      </c>
      <c r="P64" s="77">
        <f t="shared" si="11"/>
        <v>0</v>
      </c>
    </row>
    <row r="65" spans="1:16" s="61" customFormat="1" ht="15" x14ac:dyDescent="0.2">
      <c r="A65" s="234">
        <v>0</v>
      </c>
      <c r="B65" s="237">
        <v>0</v>
      </c>
      <c r="C65" s="215" t="s">
        <v>228</v>
      </c>
      <c r="D65" s="67" t="s">
        <v>207</v>
      </c>
      <c r="E65" s="205">
        <f>E64*1.1</f>
        <v>187.00000000000003</v>
      </c>
      <c r="F65" s="226"/>
      <c r="G65" s="226"/>
      <c r="H65" s="227"/>
      <c r="I65" s="227"/>
      <c r="J65" s="227"/>
      <c r="K65" s="75">
        <f t="shared" si="6"/>
        <v>0</v>
      </c>
      <c r="L65" s="76">
        <f t="shared" si="7"/>
        <v>0</v>
      </c>
      <c r="M65" s="75">
        <f t="shared" si="8"/>
        <v>0</v>
      </c>
      <c r="N65" s="75">
        <f t="shared" si="9"/>
        <v>0</v>
      </c>
      <c r="O65" s="75">
        <f t="shared" si="10"/>
        <v>0</v>
      </c>
      <c r="P65" s="77">
        <f t="shared" si="11"/>
        <v>0</v>
      </c>
    </row>
    <row r="66" spans="1:16" s="61" customFormat="1" ht="15" x14ac:dyDescent="0.2">
      <c r="A66" s="218">
        <v>16</v>
      </c>
      <c r="B66" s="238" t="s">
        <v>229</v>
      </c>
      <c r="C66" s="239" t="s">
        <v>230</v>
      </c>
      <c r="D66" s="67" t="s">
        <v>207</v>
      </c>
      <c r="E66" s="205">
        <v>170</v>
      </c>
      <c r="F66" s="226"/>
      <c r="G66" s="226"/>
      <c r="H66" s="227"/>
      <c r="I66" s="227"/>
      <c r="J66" s="227"/>
      <c r="K66" s="75">
        <f t="shared" si="6"/>
        <v>0</v>
      </c>
      <c r="L66" s="76">
        <f t="shared" si="7"/>
        <v>0</v>
      </c>
      <c r="M66" s="75">
        <f t="shared" si="8"/>
        <v>0</v>
      </c>
      <c r="N66" s="75">
        <f t="shared" si="9"/>
        <v>0</v>
      </c>
      <c r="O66" s="75">
        <f t="shared" si="10"/>
        <v>0</v>
      </c>
      <c r="P66" s="77">
        <f t="shared" si="11"/>
        <v>0</v>
      </c>
    </row>
    <row r="67" spans="1:16" s="61" customFormat="1" x14ac:dyDescent="0.2">
      <c r="A67" s="218">
        <v>0</v>
      </c>
      <c r="B67" s="240">
        <v>0</v>
      </c>
      <c r="C67" s="241" t="s">
        <v>231</v>
      </c>
      <c r="D67" s="67" t="s">
        <v>131</v>
      </c>
      <c r="E67" s="205">
        <f>15*E66</f>
        <v>2550</v>
      </c>
      <c r="F67" s="226"/>
      <c r="G67" s="226"/>
      <c r="H67" s="227"/>
      <c r="I67" s="227"/>
      <c r="J67" s="227"/>
      <c r="K67" s="75">
        <f t="shared" si="6"/>
        <v>0</v>
      </c>
      <c r="L67" s="76">
        <f t="shared" si="7"/>
        <v>0</v>
      </c>
      <c r="M67" s="75">
        <f t="shared" si="8"/>
        <v>0</v>
      </c>
      <c r="N67" s="75">
        <f t="shared" si="9"/>
        <v>0</v>
      </c>
      <c r="O67" s="75">
        <f t="shared" si="10"/>
        <v>0</v>
      </c>
      <c r="P67" s="77">
        <f t="shared" si="11"/>
        <v>0</v>
      </c>
    </row>
    <row r="68" spans="1:16" s="61" customFormat="1" x14ac:dyDescent="0.2">
      <c r="A68" s="202">
        <v>0</v>
      </c>
      <c r="B68" s="144"/>
      <c r="C68" s="207" t="s">
        <v>233</v>
      </c>
      <c r="D68" s="204"/>
      <c r="E68" s="205"/>
      <c r="F68" s="148"/>
      <c r="G68" s="148"/>
      <c r="H68" s="217"/>
      <c r="I68" s="217"/>
      <c r="J68" s="217"/>
      <c r="K68" s="75">
        <f t="shared" si="6"/>
        <v>0</v>
      </c>
      <c r="L68" s="76">
        <f t="shared" si="7"/>
        <v>0</v>
      </c>
      <c r="M68" s="75">
        <f t="shared" si="8"/>
        <v>0</v>
      </c>
      <c r="N68" s="75">
        <f t="shared" si="9"/>
        <v>0</v>
      </c>
      <c r="O68" s="75">
        <f t="shared" si="10"/>
        <v>0</v>
      </c>
      <c r="P68" s="77">
        <f t="shared" si="11"/>
        <v>0</v>
      </c>
    </row>
    <row r="69" spans="1:16" s="61" customFormat="1" x14ac:dyDescent="0.2">
      <c r="A69" s="208">
        <v>17</v>
      </c>
      <c r="B69" s="231" t="s">
        <v>219</v>
      </c>
      <c r="C69" s="232" t="s">
        <v>220</v>
      </c>
      <c r="D69" s="211" t="s">
        <v>207</v>
      </c>
      <c r="E69" s="205">
        <v>115</v>
      </c>
      <c r="F69" s="226"/>
      <c r="G69" s="226"/>
      <c r="H69" s="227"/>
      <c r="I69" s="227"/>
      <c r="J69" s="227"/>
      <c r="K69" s="75">
        <f t="shared" si="6"/>
        <v>0</v>
      </c>
      <c r="L69" s="76">
        <f t="shared" si="7"/>
        <v>0</v>
      </c>
      <c r="M69" s="75">
        <f t="shared" si="8"/>
        <v>0</v>
      </c>
      <c r="N69" s="75">
        <f t="shared" si="9"/>
        <v>0</v>
      </c>
      <c r="O69" s="75">
        <f t="shared" si="10"/>
        <v>0</v>
      </c>
      <c r="P69" s="77">
        <f t="shared" si="11"/>
        <v>0</v>
      </c>
    </row>
    <row r="70" spans="1:16" s="61" customFormat="1" ht="15" x14ac:dyDescent="0.2">
      <c r="A70" s="208">
        <v>0</v>
      </c>
      <c r="B70" s="231"/>
      <c r="C70" s="215" t="s">
        <v>221</v>
      </c>
      <c r="D70" s="211" t="s">
        <v>207</v>
      </c>
      <c r="E70" s="205">
        <f>1.05*E69</f>
        <v>120.75</v>
      </c>
      <c r="F70" s="226"/>
      <c r="G70" s="226"/>
      <c r="H70" s="227"/>
      <c r="I70" s="227"/>
      <c r="J70" s="227"/>
      <c r="K70" s="75">
        <f t="shared" si="6"/>
        <v>0</v>
      </c>
      <c r="L70" s="76">
        <f t="shared" si="7"/>
        <v>0</v>
      </c>
      <c r="M70" s="75">
        <f t="shared" si="8"/>
        <v>0</v>
      </c>
      <c r="N70" s="75">
        <f t="shared" si="9"/>
        <v>0</v>
      </c>
      <c r="O70" s="75">
        <f t="shared" si="10"/>
        <v>0</v>
      </c>
      <c r="P70" s="77">
        <f t="shared" si="11"/>
        <v>0</v>
      </c>
    </row>
    <row r="71" spans="1:16" s="61" customFormat="1" x14ac:dyDescent="0.2">
      <c r="A71" s="208">
        <v>0</v>
      </c>
      <c r="B71" s="231"/>
      <c r="C71" s="216" t="s">
        <v>222</v>
      </c>
      <c r="D71" s="211" t="s">
        <v>131</v>
      </c>
      <c r="E71" s="205">
        <f>5*E69</f>
        <v>575</v>
      </c>
      <c r="F71" s="226"/>
      <c r="G71" s="226"/>
      <c r="H71" s="227"/>
      <c r="I71" s="227"/>
      <c r="J71" s="227"/>
      <c r="K71" s="75">
        <f t="shared" si="6"/>
        <v>0</v>
      </c>
      <c r="L71" s="76">
        <f t="shared" si="7"/>
        <v>0</v>
      </c>
      <c r="M71" s="75">
        <f t="shared" si="8"/>
        <v>0</v>
      </c>
      <c r="N71" s="75">
        <f t="shared" si="9"/>
        <v>0</v>
      </c>
      <c r="O71" s="75">
        <f t="shared" si="10"/>
        <v>0</v>
      </c>
      <c r="P71" s="77">
        <f t="shared" si="11"/>
        <v>0</v>
      </c>
    </row>
    <row r="72" spans="1:16" s="61" customFormat="1" ht="15" x14ac:dyDescent="0.2">
      <c r="A72" s="208">
        <v>0</v>
      </c>
      <c r="B72" s="231"/>
      <c r="C72" s="215" t="s">
        <v>223</v>
      </c>
      <c r="D72" s="233" t="s">
        <v>207</v>
      </c>
      <c r="E72" s="205">
        <f>E69</f>
        <v>115</v>
      </c>
      <c r="F72" s="226"/>
      <c r="G72" s="226"/>
      <c r="H72" s="227"/>
      <c r="I72" s="227"/>
      <c r="J72" s="227"/>
      <c r="K72" s="75">
        <f t="shared" si="6"/>
        <v>0</v>
      </c>
      <c r="L72" s="76">
        <f t="shared" si="7"/>
        <v>0</v>
      </c>
      <c r="M72" s="75">
        <f t="shared" si="8"/>
        <v>0</v>
      </c>
      <c r="N72" s="75">
        <f t="shared" si="9"/>
        <v>0</v>
      </c>
      <c r="O72" s="75">
        <f t="shared" si="10"/>
        <v>0</v>
      </c>
      <c r="P72" s="77">
        <f t="shared" si="11"/>
        <v>0</v>
      </c>
    </row>
    <row r="73" spans="1:16" s="61" customFormat="1" x14ac:dyDescent="0.2">
      <c r="A73" s="202">
        <v>0</v>
      </c>
      <c r="B73" s="144"/>
      <c r="C73" s="207" t="s">
        <v>234</v>
      </c>
      <c r="D73" s="204"/>
      <c r="E73" s="205"/>
      <c r="F73" s="148"/>
      <c r="G73" s="148"/>
      <c r="H73" s="217"/>
      <c r="I73" s="217"/>
      <c r="J73" s="217"/>
      <c r="K73" s="75">
        <f t="shared" si="6"/>
        <v>0</v>
      </c>
      <c r="L73" s="76">
        <f t="shared" si="7"/>
        <v>0</v>
      </c>
      <c r="M73" s="75">
        <f t="shared" si="8"/>
        <v>0</v>
      </c>
      <c r="N73" s="75">
        <f t="shared" si="9"/>
        <v>0</v>
      </c>
      <c r="O73" s="75">
        <f t="shared" si="10"/>
        <v>0</v>
      </c>
      <c r="P73" s="77">
        <f t="shared" si="11"/>
        <v>0</v>
      </c>
    </row>
    <row r="74" spans="1:16" s="61" customFormat="1" x14ac:dyDescent="0.2">
      <c r="A74" s="208">
        <v>18</v>
      </c>
      <c r="B74" s="209" t="s">
        <v>194</v>
      </c>
      <c r="C74" s="210" t="s">
        <v>195</v>
      </c>
      <c r="D74" s="211" t="s">
        <v>115</v>
      </c>
      <c r="E74" s="205">
        <f>390*0.15</f>
        <v>58.5</v>
      </c>
      <c r="F74" s="212"/>
      <c r="G74" s="213"/>
      <c r="H74" s="214"/>
      <c r="I74" s="214"/>
      <c r="J74" s="214"/>
      <c r="K74" s="75">
        <f t="shared" si="6"/>
        <v>0</v>
      </c>
      <c r="L74" s="76">
        <f t="shared" si="7"/>
        <v>0</v>
      </c>
      <c r="M74" s="75">
        <f t="shared" si="8"/>
        <v>0</v>
      </c>
      <c r="N74" s="75">
        <f t="shared" si="9"/>
        <v>0</v>
      </c>
      <c r="O74" s="75">
        <f t="shared" si="10"/>
        <v>0</v>
      </c>
      <c r="P74" s="77">
        <f t="shared" si="11"/>
        <v>0</v>
      </c>
    </row>
    <row r="75" spans="1:16" s="61" customFormat="1" ht="15" x14ac:dyDescent="0.2">
      <c r="A75" s="208">
        <v>0</v>
      </c>
      <c r="B75" s="209">
        <v>0</v>
      </c>
      <c r="C75" s="215" t="s">
        <v>235</v>
      </c>
      <c r="D75" s="211" t="s">
        <v>115</v>
      </c>
      <c r="E75" s="205">
        <f>0.93*E74</f>
        <v>54.405000000000001</v>
      </c>
      <c r="F75" s="212"/>
      <c r="G75" s="212"/>
      <c r="H75" s="214"/>
      <c r="I75" s="214"/>
      <c r="J75" s="214"/>
      <c r="K75" s="75">
        <f t="shared" si="6"/>
        <v>0</v>
      </c>
      <c r="L75" s="76">
        <f t="shared" si="7"/>
        <v>0</v>
      </c>
      <c r="M75" s="75">
        <f t="shared" si="8"/>
        <v>0</v>
      </c>
      <c r="N75" s="75">
        <f t="shared" si="9"/>
        <v>0</v>
      </c>
      <c r="O75" s="75">
        <f t="shared" si="10"/>
        <v>0</v>
      </c>
      <c r="P75" s="77">
        <f t="shared" si="11"/>
        <v>0</v>
      </c>
    </row>
    <row r="76" spans="1:16" s="61" customFormat="1" x14ac:dyDescent="0.2">
      <c r="A76" s="208">
        <v>0</v>
      </c>
      <c r="B76" s="209">
        <v>0</v>
      </c>
      <c r="C76" s="216" t="s">
        <v>197</v>
      </c>
      <c r="D76" s="211" t="s">
        <v>115</v>
      </c>
      <c r="E76" s="205">
        <f>0.15*E74</f>
        <v>8.7750000000000004</v>
      </c>
      <c r="F76" s="212"/>
      <c r="G76" s="212"/>
      <c r="H76" s="214"/>
      <c r="I76" s="214"/>
      <c r="J76" s="214"/>
      <c r="K76" s="75">
        <f t="shared" si="6"/>
        <v>0</v>
      </c>
      <c r="L76" s="76">
        <f t="shared" si="7"/>
        <v>0</v>
      </c>
      <c r="M76" s="75">
        <f t="shared" si="8"/>
        <v>0</v>
      </c>
      <c r="N76" s="75">
        <f t="shared" si="9"/>
        <v>0</v>
      </c>
      <c r="O76" s="75">
        <f t="shared" si="10"/>
        <v>0</v>
      </c>
      <c r="P76" s="77">
        <f t="shared" si="11"/>
        <v>0</v>
      </c>
    </row>
    <row r="77" spans="1:16" s="61" customFormat="1" x14ac:dyDescent="0.2">
      <c r="A77" s="208">
        <v>0</v>
      </c>
      <c r="B77" s="209">
        <v>0</v>
      </c>
      <c r="C77" s="216" t="s">
        <v>198</v>
      </c>
      <c r="D77" s="211" t="s">
        <v>199</v>
      </c>
      <c r="E77" s="205">
        <f>E74/0.2*2.2</f>
        <v>643.5</v>
      </c>
      <c r="F77" s="212"/>
      <c r="G77" s="212"/>
      <c r="H77" s="214"/>
      <c r="I77" s="214"/>
      <c r="J77" s="214"/>
      <c r="K77" s="75">
        <f t="shared" si="6"/>
        <v>0</v>
      </c>
      <c r="L77" s="76">
        <f t="shared" si="7"/>
        <v>0</v>
      </c>
      <c r="M77" s="75">
        <f t="shared" si="8"/>
        <v>0</v>
      </c>
      <c r="N77" s="75">
        <f t="shared" si="9"/>
        <v>0</v>
      </c>
      <c r="O77" s="75">
        <f t="shared" si="10"/>
        <v>0</v>
      </c>
      <c r="P77" s="77">
        <f t="shared" si="11"/>
        <v>0</v>
      </c>
    </row>
    <row r="78" spans="1:16" s="61" customFormat="1" x14ac:dyDescent="0.2">
      <c r="A78" s="202">
        <v>0</v>
      </c>
      <c r="B78" s="144"/>
      <c r="C78" s="207" t="s">
        <v>236</v>
      </c>
      <c r="D78" s="204"/>
      <c r="E78" s="205"/>
      <c r="F78" s="148"/>
      <c r="G78" s="148"/>
      <c r="H78" s="217"/>
      <c r="I78" s="217"/>
      <c r="J78" s="217"/>
      <c r="K78" s="75">
        <f t="shared" si="6"/>
        <v>0</v>
      </c>
      <c r="L78" s="76">
        <f t="shared" si="7"/>
        <v>0</v>
      </c>
      <c r="M78" s="75">
        <f t="shared" si="8"/>
        <v>0</v>
      </c>
      <c r="N78" s="75">
        <f t="shared" si="9"/>
        <v>0</v>
      </c>
      <c r="O78" s="75">
        <f t="shared" si="10"/>
        <v>0</v>
      </c>
      <c r="P78" s="77">
        <f t="shared" si="11"/>
        <v>0</v>
      </c>
    </row>
    <row r="79" spans="1:16" s="61" customFormat="1" x14ac:dyDescent="0.2">
      <c r="A79" s="208">
        <v>19</v>
      </c>
      <c r="B79" s="209" t="s">
        <v>194</v>
      </c>
      <c r="C79" s="210" t="s">
        <v>195</v>
      </c>
      <c r="D79" s="211" t="s">
        <v>115</v>
      </c>
      <c r="E79" s="205">
        <f>240*0.25</f>
        <v>60</v>
      </c>
      <c r="F79" s="212"/>
      <c r="G79" s="213"/>
      <c r="H79" s="214"/>
      <c r="I79" s="214"/>
      <c r="J79" s="214"/>
      <c r="K79" s="75">
        <f t="shared" si="6"/>
        <v>0</v>
      </c>
      <c r="L79" s="76">
        <f t="shared" si="7"/>
        <v>0</v>
      </c>
      <c r="M79" s="75">
        <f t="shared" si="8"/>
        <v>0</v>
      </c>
      <c r="N79" s="75">
        <f t="shared" si="9"/>
        <v>0</v>
      </c>
      <c r="O79" s="75">
        <f t="shared" si="10"/>
        <v>0</v>
      </c>
      <c r="P79" s="77">
        <f t="shared" si="11"/>
        <v>0</v>
      </c>
    </row>
    <row r="80" spans="1:16" s="61" customFormat="1" ht="15" x14ac:dyDescent="0.2">
      <c r="A80" s="208">
        <v>0</v>
      </c>
      <c r="B80" s="209">
        <v>0</v>
      </c>
      <c r="C80" s="215" t="s">
        <v>235</v>
      </c>
      <c r="D80" s="211" t="s">
        <v>115</v>
      </c>
      <c r="E80" s="205">
        <f>0.93*E79</f>
        <v>55.800000000000004</v>
      </c>
      <c r="F80" s="212"/>
      <c r="G80" s="212"/>
      <c r="H80" s="214"/>
      <c r="I80" s="214"/>
      <c r="J80" s="214"/>
      <c r="K80" s="75">
        <f t="shared" ref="K80:K139" si="18">SUM(H80:J80)</f>
        <v>0</v>
      </c>
      <c r="L80" s="76">
        <f t="shared" ref="L80:L139" si="19">ROUND(F80*E80,2)</f>
        <v>0</v>
      </c>
      <c r="M80" s="75">
        <f t="shared" ref="M80:M139" si="20">ROUND(H80*E80,2)</f>
        <v>0</v>
      </c>
      <c r="N80" s="75">
        <f t="shared" ref="N80:N139" si="21">ROUND(I80*E80,2)</f>
        <v>0</v>
      </c>
      <c r="O80" s="75">
        <f t="shared" ref="O80:O139" si="22">ROUND(J80*E80,2)</f>
        <v>0</v>
      </c>
      <c r="P80" s="77">
        <f t="shared" ref="P80:P139" si="23">SUM(M80:O80)</f>
        <v>0</v>
      </c>
    </row>
    <row r="81" spans="1:16" s="61" customFormat="1" x14ac:dyDescent="0.2">
      <c r="A81" s="208">
        <v>0</v>
      </c>
      <c r="B81" s="209">
        <v>0</v>
      </c>
      <c r="C81" s="216" t="s">
        <v>197</v>
      </c>
      <c r="D81" s="211" t="s">
        <v>115</v>
      </c>
      <c r="E81" s="205">
        <f>0.15*E79</f>
        <v>9</v>
      </c>
      <c r="F81" s="212"/>
      <c r="G81" s="212"/>
      <c r="H81" s="214"/>
      <c r="I81" s="214"/>
      <c r="J81" s="214"/>
      <c r="K81" s="75">
        <f t="shared" si="18"/>
        <v>0</v>
      </c>
      <c r="L81" s="76">
        <f t="shared" si="19"/>
        <v>0</v>
      </c>
      <c r="M81" s="75">
        <f t="shared" si="20"/>
        <v>0</v>
      </c>
      <c r="N81" s="75">
        <f t="shared" si="21"/>
        <v>0</v>
      </c>
      <c r="O81" s="75">
        <f t="shared" si="22"/>
        <v>0</v>
      </c>
      <c r="P81" s="77">
        <f t="shared" si="23"/>
        <v>0</v>
      </c>
    </row>
    <row r="82" spans="1:16" s="61" customFormat="1" x14ac:dyDescent="0.2">
      <c r="A82" s="208">
        <v>0</v>
      </c>
      <c r="B82" s="209">
        <v>0</v>
      </c>
      <c r="C82" s="216" t="s">
        <v>198</v>
      </c>
      <c r="D82" s="211" t="s">
        <v>199</v>
      </c>
      <c r="E82" s="205">
        <f>E79/0.2*2.2</f>
        <v>660</v>
      </c>
      <c r="F82" s="212"/>
      <c r="G82" s="212"/>
      <c r="H82" s="214"/>
      <c r="I82" s="214"/>
      <c r="J82" s="214"/>
      <c r="K82" s="75">
        <f t="shared" si="18"/>
        <v>0</v>
      </c>
      <c r="L82" s="76">
        <f t="shared" si="19"/>
        <v>0</v>
      </c>
      <c r="M82" s="75">
        <f t="shared" si="20"/>
        <v>0</v>
      </c>
      <c r="N82" s="75">
        <f t="shared" si="21"/>
        <v>0</v>
      </c>
      <c r="O82" s="75">
        <f t="shared" si="22"/>
        <v>0</v>
      </c>
      <c r="P82" s="77">
        <f t="shared" si="23"/>
        <v>0</v>
      </c>
    </row>
    <row r="83" spans="1:16" s="61" customFormat="1" x14ac:dyDescent="0.2">
      <c r="A83" s="202">
        <v>0</v>
      </c>
      <c r="B83" s="144"/>
      <c r="C83" s="207" t="s">
        <v>237</v>
      </c>
      <c r="D83" s="204"/>
      <c r="E83" s="205"/>
      <c r="F83" s="148"/>
      <c r="G83" s="148"/>
      <c r="H83" s="217"/>
      <c r="I83" s="217"/>
      <c r="J83" s="217"/>
      <c r="K83" s="75">
        <f t="shared" si="18"/>
        <v>0</v>
      </c>
      <c r="L83" s="76">
        <f t="shared" si="19"/>
        <v>0</v>
      </c>
      <c r="M83" s="75">
        <f t="shared" si="20"/>
        <v>0</v>
      </c>
      <c r="N83" s="75">
        <f t="shared" si="21"/>
        <v>0</v>
      </c>
      <c r="O83" s="75">
        <f t="shared" si="22"/>
        <v>0</v>
      </c>
      <c r="P83" s="77">
        <f t="shared" si="23"/>
        <v>0</v>
      </c>
    </row>
    <row r="84" spans="1:16" s="61" customFormat="1" x14ac:dyDescent="0.2">
      <c r="A84" s="208">
        <v>20</v>
      </c>
      <c r="B84" s="209" t="s">
        <v>194</v>
      </c>
      <c r="C84" s="210" t="s">
        <v>195</v>
      </c>
      <c r="D84" s="211" t="s">
        <v>115</v>
      </c>
      <c r="E84" s="205">
        <f>260*0.2</f>
        <v>52</v>
      </c>
      <c r="F84" s="212"/>
      <c r="G84" s="213"/>
      <c r="H84" s="214"/>
      <c r="I84" s="214"/>
      <c r="J84" s="214"/>
      <c r="K84" s="75">
        <f t="shared" si="18"/>
        <v>0</v>
      </c>
      <c r="L84" s="76">
        <f t="shared" si="19"/>
        <v>0</v>
      </c>
      <c r="M84" s="75">
        <f t="shared" si="20"/>
        <v>0</v>
      </c>
      <c r="N84" s="75">
        <f t="shared" si="21"/>
        <v>0</v>
      </c>
      <c r="O84" s="75">
        <f t="shared" si="22"/>
        <v>0</v>
      </c>
      <c r="P84" s="77">
        <f t="shared" si="23"/>
        <v>0</v>
      </c>
    </row>
    <row r="85" spans="1:16" s="61" customFormat="1" ht="15" x14ac:dyDescent="0.2">
      <c r="A85" s="208">
        <v>0</v>
      </c>
      <c r="B85" s="209">
        <v>0</v>
      </c>
      <c r="C85" s="215" t="s">
        <v>235</v>
      </c>
      <c r="D85" s="211" t="s">
        <v>115</v>
      </c>
      <c r="E85" s="205">
        <f>0.93*E84</f>
        <v>48.36</v>
      </c>
      <c r="F85" s="212"/>
      <c r="G85" s="212"/>
      <c r="H85" s="214"/>
      <c r="I85" s="214"/>
      <c r="J85" s="214"/>
      <c r="K85" s="75">
        <f t="shared" si="18"/>
        <v>0</v>
      </c>
      <c r="L85" s="76">
        <f t="shared" si="19"/>
        <v>0</v>
      </c>
      <c r="M85" s="75">
        <f t="shared" si="20"/>
        <v>0</v>
      </c>
      <c r="N85" s="75">
        <f t="shared" si="21"/>
        <v>0</v>
      </c>
      <c r="O85" s="75">
        <f t="shared" si="22"/>
        <v>0</v>
      </c>
      <c r="P85" s="77">
        <f t="shared" si="23"/>
        <v>0</v>
      </c>
    </row>
    <row r="86" spans="1:16" s="61" customFormat="1" x14ac:dyDescent="0.2">
      <c r="A86" s="208">
        <v>0</v>
      </c>
      <c r="B86" s="209">
        <v>0</v>
      </c>
      <c r="C86" s="216" t="s">
        <v>197</v>
      </c>
      <c r="D86" s="211" t="s">
        <v>115</v>
      </c>
      <c r="E86" s="205">
        <f>0.15*E84</f>
        <v>7.8</v>
      </c>
      <c r="F86" s="212"/>
      <c r="G86" s="212"/>
      <c r="H86" s="214"/>
      <c r="I86" s="214"/>
      <c r="J86" s="214"/>
      <c r="K86" s="75">
        <f t="shared" si="18"/>
        <v>0</v>
      </c>
      <c r="L86" s="76">
        <f t="shared" si="19"/>
        <v>0</v>
      </c>
      <c r="M86" s="75">
        <f t="shared" si="20"/>
        <v>0</v>
      </c>
      <c r="N86" s="75">
        <f t="shared" si="21"/>
        <v>0</v>
      </c>
      <c r="O86" s="75">
        <f t="shared" si="22"/>
        <v>0</v>
      </c>
      <c r="P86" s="77">
        <f t="shared" si="23"/>
        <v>0</v>
      </c>
    </row>
    <row r="87" spans="1:16" s="61" customFormat="1" x14ac:dyDescent="0.2">
      <c r="A87" s="208">
        <v>0</v>
      </c>
      <c r="B87" s="209">
        <v>0</v>
      </c>
      <c r="C87" s="216" t="s">
        <v>198</v>
      </c>
      <c r="D87" s="211" t="s">
        <v>199</v>
      </c>
      <c r="E87" s="205">
        <f>E84/0.2*2.2</f>
        <v>572</v>
      </c>
      <c r="F87" s="212"/>
      <c r="G87" s="212"/>
      <c r="H87" s="214"/>
      <c r="I87" s="214"/>
      <c r="J87" s="214"/>
      <c r="K87" s="75">
        <f t="shared" si="18"/>
        <v>0</v>
      </c>
      <c r="L87" s="76">
        <f t="shared" si="19"/>
        <v>0</v>
      </c>
      <c r="M87" s="75">
        <f t="shared" si="20"/>
        <v>0</v>
      </c>
      <c r="N87" s="75">
        <f t="shared" si="21"/>
        <v>0</v>
      </c>
      <c r="O87" s="75">
        <f t="shared" si="22"/>
        <v>0</v>
      </c>
      <c r="P87" s="77">
        <f t="shared" si="23"/>
        <v>0</v>
      </c>
    </row>
    <row r="88" spans="1:16" s="61" customFormat="1" x14ac:dyDescent="0.2">
      <c r="A88" s="202">
        <v>0</v>
      </c>
      <c r="B88" s="144"/>
      <c r="C88" s="207" t="s">
        <v>238</v>
      </c>
      <c r="D88" s="204"/>
      <c r="E88" s="205"/>
      <c r="F88" s="148"/>
      <c r="G88" s="148"/>
      <c r="H88" s="217"/>
      <c r="I88" s="217"/>
      <c r="J88" s="217"/>
      <c r="K88" s="75">
        <f t="shared" si="18"/>
        <v>0</v>
      </c>
      <c r="L88" s="76">
        <f t="shared" si="19"/>
        <v>0</v>
      </c>
      <c r="M88" s="75">
        <f t="shared" si="20"/>
        <v>0</v>
      </c>
      <c r="N88" s="75">
        <f t="shared" si="21"/>
        <v>0</v>
      </c>
      <c r="O88" s="75">
        <f t="shared" si="22"/>
        <v>0</v>
      </c>
      <c r="P88" s="77">
        <f t="shared" si="23"/>
        <v>0</v>
      </c>
    </row>
    <row r="89" spans="1:16" s="61" customFormat="1" x14ac:dyDescent="0.2">
      <c r="A89" s="208">
        <v>21</v>
      </c>
      <c r="B89" s="209" t="s">
        <v>194</v>
      </c>
      <c r="C89" s="210" t="s">
        <v>195</v>
      </c>
      <c r="D89" s="211" t="s">
        <v>115</v>
      </c>
      <c r="E89" s="205">
        <f>138*0.2</f>
        <v>27.6</v>
      </c>
      <c r="F89" s="212"/>
      <c r="G89" s="213"/>
      <c r="H89" s="214"/>
      <c r="I89" s="214"/>
      <c r="J89" s="214"/>
      <c r="K89" s="75">
        <f t="shared" si="18"/>
        <v>0</v>
      </c>
      <c r="L89" s="76">
        <f t="shared" si="19"/>
        <v>0</v>
      </c>
      <c r="M89" s="75">
        <f t="shared" si="20"/>
        <v>0</v>
      </c>
      <c r="N89" s="75">
        <f t="shared" si="21"/>
        <v>0</v>
      </c>
      <c r="O89" s="75">
        <f t="shared" si="22"/>
        <v>0</v>
      </c>
      <c r="P89" s="77">
        <f t="shared" si="23"/>
        <v>0</v>
      </c>
    </row>
    <row r="90" spans="1:16" s="61" customFormat="1" ht="15" x14ac:dyDescent="0.2">
      <c r="A90" s="208">
        <v>0</v>
      </c>
      <c r="B90" s="209">
        <v>0</v>
      </c>
      <c r="C90" s="215" t="s">
        <v>235</v>
      </c>
      <c r="D90" s="211" t="s">
        <v>115</v>
      </c>
      <c r="E90" s="205">
        <f>0.93*E89</f>
        <v>25.668000000000003</v>
      </c>
      <c r="F90" s="212"/>
      <c r="G90" s="212"/>
      <c r="H90" s="214"/>
      <c r="I90" s="214"/>
      <c r="J90" s="214"/>
      <c r="K90" s="75">
        <f t="shared" si="18"/>
        <v>0</v>
      </c>
      <c r="L90" s="76">
        <f t="shared" si="19"/>
        <v>0</v>
      </c>
      <c r="M90" s="75">
        <f t="shared" si="20"/>
        <v>0</v>
      </c>
      <c r="N90" s="75">
        <f t="shared" si="21"/>
        <v>0</v>
      </c>
      <c r="O90" s="75">
        <f t="shared" si="22"/>
        <v>0</v>
      </c>
      <c r="P90" s="77">
        <f t="shared" si="23"/>
        <v>0</v>
      </c>
    </row>
    <row r="91" spans="1:16" s="61" customFormat="1" x14ac:dyDescent="0.2">
      <c r="A91" s="208">
        <v>0</v>
      </c>
      <c r="B91" s="209">
        <v>0</v>
      </c>
      <c r="C91" s="216" t="s">
        <v>197</v>
      </c>
      <c r="D91" s="211" t="s">
        <v>115</v>
      </c>
      <c r="E91" s="205">
        <f>0.15*E89</f>
        <v>4.1399999999999997</v>
      </c>
      <c r="F91" s="212"/>
      <c r="G91" s="212"/>
      <c r="H91" s="214"/>
      <c r="I91" s="214"/>
      <c r="J91" s="214"/>
      <c r="K91" s="75">
        <f t="shared" si="18"/>
        <v>0</v>
      </c>
      <c r="L91" s="76">
        <f t="shared" si="19"/>
        <v>0</v>
      </c>
      <c r="M91" s="75">
        <f t="shared" si="20"/>
        <v>0</v>
      </c>
      <c r="N91" s="75">
        <f t="shared" si="21"/>
        <v>0</v>
      </c>
      <c r="O91" s="75">
        <f t="shared" si="22"/>
        <v>0</v>
      </c>
      <c r="P91" s="77">
        <f t="shared" si="23"/>
        <v>0</v>
      </c>
    </row>
    <row r="92" spans="1:16" s="61" customFormat="1" x14ac:dyDescent="0.2">
      <c r="A92" s="208">
        <v>0</v>
      </c>
      <c r="B92" s="209">
        <v>0</v>
      </c>
      <c r="C92" s="216" t="s">
        <v>198</v>
      </c>
      <c r="D92" s="211" t="s">
        <v>199</v>
      </c>
      <c r="E92" s="205">
        <f>E89/0.2*2.2</f>
        <v>303.60000000000002</v>
      </c>
      <c r="F92" s="212"/>
      <c r="G92" s="212"/>
      <c r="H92" s="214"/>
      <c r="I92" s="214"/>
      <c r="J92" s="214"/>
      <c r="K92" s="75">
        <f t="shared" si="18"/>
        <v>0</v>
      </c>
      <c r="L92" s="76">
        <f t="shared" si="19"/>
        <v>0</v>
      </c>
      <c r="M92" s="75">
        <f t="shared" si="20"/>
        <v>0</v>
      </c>
      <c r="N92" s="75">
        <f t="shared" si="21"/>
        <v>0</v>
      </c>
      <c r="O92" s="75">
        <f t="shared" si="22"/>
        <v>0</v>
      </c>
      <c r="P92" s="77">
        <f t="shared" si="23"/>
        <v>0</v>
      </c>
    </row>
    <row r="93" spans="1:16" s="61" customFormat="1" x14ac:dyDescent="0.2">
      <c r="A93" s="202">
        <v>0</v>
      </c>
      <c r="B93" s="144"/>
      <c r="C93" s="207" t="s">
        <v>239</v>
      </c>
      <c r="D93" s="204"/>
      <c r="E93" s="205"/>
      <c r="F93" s="148"/>
      <c r="G93" s="148"/>
      <c r="H93" s="217"/>
      <c r="I93" s="217"/>
      <c r="J93" s="217"/>
      <c r="K93" s="75">
        <f t="shared" si="18"/>
        <v>0</v>
      </c>
      <c r="L93" s="76">
        <f t="shared" si="19"/>
        <v>0</v>
      </c>
      <c r="M93" s="75">
        <f t="shared" si="20"/>
        <v>0</v>
      </c>
      <c r="N93" s="75">
        <f t="shared" si="21"/>
        <v>0</v>
      </c>
      <c r="O93" s="75">
        <f t="shared" si="22"/>
        <v>0</v>
      </c>
      <c r="P93" s="77">
        <f t="shared" si="23"/>
        <v>0</v>
      </c>
    </row>
    <row r="94" spans="1:16" s="61" customFormat="1" ht="25.5" x14ac:dyDescent="0.2">
      <c r="A94" s="218">
        <v>22</v>
      </c>
      <c r="B94" s="219" t="s">
        <v>205</v>
      </c>
      <c r="C94" s="220" t="s">
        <v>240</v>
      </c>
      <c r="D94" s="67" t="s">
        <v>207</v>
      </c>
      <c r="E94" s="205">
        <v>400</v>
      </c>
      <c r="F94" s="213"/>
      <c r="G94" s="148"/>
      <c r="H94" s="221"/>
      <c r="I94" s="221"/>
      <c r="J94" s="222"/>
      <c r="K94" s="75">
        <f t="shared" si="18"/>
        <v>0</v>
      </c>
      <c r="L94" s="76">
        <f t="shared" si="19"/>
        <v>0</v>
      </c>
      <c r="M94" s="75">
        <f t="shared" si="20"/>
        <v>0</v>
      </c>
      <c r="N94" s="75">
        <f t="shared" si="21"/>
        <v>0</v>
      </c>
      <c r="O94" s="75">
        <f t="shared" si="22"/>
        <v>0</v>
      </c>
      <c r="P94" s="77">
        <f t="shared" si="23"/>
        <v>0</v>
      </c>
    </row>
    <row r="95" spans="1:16" s="61" customFormat="1" x14ac:dyDescent="0.2">
      <c r="A95" s="218">
        <v>0</v>
      </c>
      <c r="B95" s="219">
        <v>0</v>
      </c>
      <c r="C95" s="125" t="s">
        <v>241</v>
      </c>
      <c r="D95" s="211" t="s">
        <v>199</v>
      </c>
      <c r="E95" s="205">
        <f>0.77*E94</f>
        <v>308</v>
      </c>
      <c r="F95" s="213"/>
      <c r="G95" s="213"/>
      <c r="H95" s="221"/>
      <c r="I95" s="221"/>
      <c r="J95" s="222"/>
      <c r="K95" s="75">
        <f t="shared" si="18"/>
        <v>0</v>
      </c>
      <c r="L95" s="76">
        <f t="shared" si="19"/>
        <v>0</v>
      </c>
      <c r="M95" s="75">
        <f t="shared" si="20"/>
        <v>0</v>
      </c>
      <c r="N95" s="75">
        <f t="shared" si="21"/>
        <v>0</v>
      </c>
      <c r="O95" s="75">
        <f t="shared" si="22"/>
        <v>0</v>
      </c>
      <c r="P95" s="77">
        <f t="shared" si="23"/>
        <v>0</v>
      </c>
    </row>
    <row r="96" spans="1:16" s="61" customFormat="1" x14ac:dyDescent="0.2">
      <c r="A96" s="218">
        <v>0</v>
      </c>
      <c r="B96" s="219">
        <v>0</v>
      </c>
      <c r="C96" s="125" t="s">
        <v>242</v>
      </c>
      <c r="D96" s="211" t="s">
        <v>199</v>
      </c>
      <c r="E96" s="205">
        <f>1.32*E94</f>
        <v>528</v>
      </c>
      <c r="F96" s="213"/>
      <c r="G96" s="213"/>
      <c r="H96" s="221"/>
      <c r="I96" s="221"/>
      <c r="J96" s="222"/>
      <c r="K96" s="75">
        <f t="shared" si="18"/>
        <v>0</v>
      </c>
      <c r="L96" s="76">
        <f t="shared" si="19"/>
        <v>0</v>
      </c>
      <c r="M96" s="75">
        <f t="shared" si="20"/>
        <v>0</v>
      </c>
      <c r="N96" s="75">
        <f t="shared" si="21"/>
        <v>0</v>
      </c>
      <c r="O96" s="75">
        <f t="shared" si="22"/>
        <v>0</v>
      </c>
      <c r="P96" s="77">
        <f t="shared" si="23"/>
        <v>0</v>
      </c>
    </row>
    <row r="97" spans="1:16" s="61" customFormat="1" x14ac:dyDescent="0.2">
      <c r="A97" s="218">
        <v>0</v>
      </c>
      <c r="B97" s="219">
        <v>0</v>
      </c>
      <c r="C97" s="125" t="s">
        <v>243</v>
      </c>
      <c r="D97" s="67" t="s">
        <v>210</v>
      </c>
      <c r="E97" s="205">
        <f>0.02*E94</f>
        <v>8</v>
      </c>
      <c r="F97" s="213"/>
      <c r="G97" s="213"/>
      <c r="H97" s="221"/>
      <c r="I97" s="221"/>
      <c r="J97" s="222"/>
      <c r="K97" s="75">
        <f t="shared" si="18"/>
        <v>0</v>
      </c>
      <c r="L97" s="76">
        <f t="shared" si="19"/>
        <v>0</v>
      </c>
      <c r="M97" s="75">
        <f t="shared" si="20"/>
        <v>0</v>
      </c>
      <c r="N97" s="75">
        <f t="shared" si="21"/>
        <v>0</v>
      </c>
      <c r="O97" s="75">
        <f t="shared" si="22"/>
        <v>0</v>
      </c>
      <c r="P97" s="77">
        <f t="shared" si="23"/>
        <v>0</v>
      </c>
    </row>
    <row r="98" spans="1:16" s="61" customFormat="1" x14ac:dyDescent="0.2">
      <c r="A98" s="218">
        <v>0</v>
      </c>
      <c r="B98" s="219">
        <v>0</v>
      </c>
      <c r="C98" s="125" t="s">
        <v>244</v>
      </c>
      <c r="D98" s="211" t="s">
        <v>199</v>
      </c>
      <c r="E98" s="205">
        <f>2.2*E94</f>
        <v>880.00000000000011</v>
      </c>
      <c r="F98" s="213"/>
      <c r="G98" s="213"/>
      <c r="H98" s="221"/>
      <c r="I98" s="221"/>
      <c r="J98" s="222"/>
      <c r="K98" s="75">
        <f t="shared" si="18"/>
        <v>0</v>
      </c>
      <c r="L98" s="76">
        <f t="shared" si="19"/>
        <v>0</v>
      </c>
      <c r="M98" s="75">
        <f t="shared" si="20"/>
        <v>0</v>
      </c>
      <c r="N98" s="75">
        <f t="shared" si="21"/>
        <v>0</v>
      </c>
      <c r="O98" s="75">
        <f t="shared" si="22"/>
        <v>0</v>
      </c>
      <c r="P98" s="77">
        <f t="shared" si="23"/>
        <v>0</v>
      </c>
    </row>
    <row r="99" spans="1:16" s="61" customFormat="1" x14ac:dyDescent="0.2">
      <c r="A99" s="218">
        <v>0</v>
      </c>
      <c r="B99" s="219"/>
      <c r="C99" s="125" t="s">
        <v>245</v>
      </c>
      <c r="D99" s="211" t="s">
        <v>207</v>
      </c>
      <c r="E99" s="205">
        <f>E94</f>
        <v>400</v>
      </c>
      <c r="F99" s="213"/>
      <c r="G99" s="213"/>
      <c r="H99" s="221"/>
      <c r="I99" s="221"/>
      <c r="J99" s="222"/>
      <c r="K99" s="75">
        <f t="shared" si="18"/>
        <v>0</v>
      </c>
      <c r="L99" s="76">
        <f t="shared" si="19"/>
        <v>0</v>
      </c>
      <c r="M99" s="75">
        <f t="shared" si="20"/>
        <v>0</v>
      </c>
      <c r="N99" s="75">
        <f t="shared" si="21"/>
        <v>0</v>
      </c>
      <c r="O99" s="75">
        <f t="shared" si="22"/>
        <v>0</v>
      </c>
      <c r="P99" s="77">
        <f t="shared" si="23"/>
        <v>0</v>
      </c>
    </row>
    <row r="100" spans="1:16" s="61" customFormat="1" ht="25.5" x14ac:dyDescent="0.2">
      <c r="A100" s="218">
        <v>23</v>
      </c>
      <c r="B100" s="219" t="s">
        <v>246</v>
      </c>
      <c r="C100" s="220" t="s">
        <v>247</v>
      </c>
      <c r="D100" s="67" t="s">
        <v>207</v>
      </c>
      <c r="E100" s="205">
        <v>400</v>
      </c>
      <c r="F100" s="213"/>
      <c r="G100" s="148"/>
      <c r="H100" s="221"/>
      <c r="I100" s="221"/>
      <c r="J100" s="222"/>
      <c r="K100" s="75">
        <f t="shared" si="18"/>
        <v>0</v>
      </c>
      <c r="L100" s="76">
        <f t="shared" si="19"/>
        <v>0</v>
      </c>
      <c r="M100" s="75">
        <f t="shared" si="20"/>
        <v>0</v>
      </c>
      <c r="N100" s="75">
        <f t="shared" si="21"/>
        <v>0</v>
      </c>
      <c r="O100" s="75">
        <f t="shared" si="22"/>
        <v>0</v>
      </c>
      <c r="P100" s="77">
        <f t="shared" si="23"/>
        <v>0</v>
      </c>
    </row>
    <row r="101" spans="1:16" s="61" customFormat="1" x14ac:dyDescent="0.2">
      <c r="A101" s="218">
        <v>0</v>
      </c>
      <c r="B101" s="219">
        <v>0</v>
      </c>
      <c r="C101" s="125" t="s">
        <v>248</v>
      </c>
      <c r="D101" s="67" t="s">
        <v>207</v>
      </c>
      <c r="E101" s="205">
        <f>1.05*E100</f>
        <v>420</v>
      </c>
      <c r="F101" s="213"/>
      <c r="G101" s="213"/>
      <c r="H101" s="221"/>
      <c r="I101" s="221"/>
      <c r="J101" s="222"/>
      <c r="K101" s="75">
        <f t="shared" si="18"/>
        <v>0</v>
      </c>
      <c r="L101" s="76">
        <f t="shared" si="19"/>
        <v>0</v>
      </c>
      <c r="M101" s="75">
        <f t="shared" si="20"/>
        <v>0</v>
      </c>
      <c r="N101" s="75">
        <f t="shared" si="21"/>
        <v>0</v>
      </c>
      <c r="O101" s="75">
        <f t="shared" si="22"/>
        <v>0</v>
      </c>
      <c r="P101" s="77">
        <f t="shared" si="23"/>
        <v>0</v>
      </c>
    </row>
    <row r="102" spans="1:16" s="61" customFormat="1" x14ac:dyDescent="0.2">
      <c r="A102" s="218">
        <v>24</v>
      </c>
      <c r="B102" s="219" t="s">
        <v>205</v>
      </c>
      <c r="C102" s="220" t="s">
        <v>249</v>
      </c>
      <c r="D102" s="67" t="s">
        <v>207</v>
      </c>
      <c r="E102" s="205">
        <v>650</v>
      </c>
      <c r="F102" s="213"/>
      <c r="G102" s="148"/>
      <c r="H102" s="221"/>
      <c r="I102" s="221"/>
      <c r="J102" s="222"/>
      <c r="K102" s="75">
        <f t="shared" si="18"/>
        <v>0</v>
      </c>
      <c r="L102" s="76">
        <f t="shared" si="19"/>
        <v>0</v>
      </c>
      <c r="M102" s="75">
        <f t="shared" si="20"/>
        <v>0</v>
      </c>
      <c r="N102" s="75">
        <f t="shared" si="21"/>
        <v>0</v>
      </c>
      <c r="O102" s="75">
        <f t="shared" si="22"/>
        <v>0</v>
      </c>
      <c r="P102" s="77">
        <f t="shared" si="23"/>
        <v>0</v>
      </c>
    </row>
    <row r="103" spans="1:16" s="61" customFormat="1" x14ac:dyDescent="0.2">
      <c r="A103" s="218">
        <v>0</v>
      </c>
      <c r="B103" s="219">
        <v>0</v>
      </c>
      <c r="C103" s="125" t="s">
        <v>250</v>
      </c>
      <c r="D103" s="67" t="s">
        <v>210</v>
      </c>
      <c r="E103" s="205">
        <f>0.07*E102</f>
        <v>45.500000000000007</v>
      </c>
      <c r="F103" s="213"/>
      <c r="G103" s="213"/>
      <c r="H103" s="221"/>
      <c r="I103" s="221"/>
      <c r="J103" s="222"/>
      <c r="K103" s="75">
        <f t="shared" si="18"/>
        <v>0</v>
      </c>
      <c r="L103" s="76">
        <f t="shared" si="19"/>
        <v>0</v>
      </c>
      <c r="M103" s="75">
        <f t="shared" si="20"/>
        <v>0</v>
      </c>
      <c r="N103" s="75">
        <f t="shared" si="21"/>
        <v>0</v>
      </c>
      <c r="O103" s="75">
        <f t="shared" si="22"/>
        <v>0</v>
      </c>
      <c r="P103" s="77">
        <f t="shared" si="23"/>
        <v>0</v>
      </c>
    </row>
    <row r="104" spans="1:16" s="61" customFormat="1" x14ac:dyDescent="0.2">
      <c r="A104" s="218">
        <v>0</v>
      </c>
      <c r="B104" s="219">
        <v>0</v>
      </c>
      <c r="C104" s="125" t="s">
        <v>251</v>
      </c>
      <c r="D104" s="67" t="s">
        <v>210</v>
      </c>
      <c r="E104" s="205">
        <f>0.15*E102</f>
        <v>97.5</v>
      </c>
      <c r="F104" s="213"/>
      <c r="G104" s="213"/>
      <c r="H104" s="221"/>
      <c r="I104" s="221"/>
      <c r="J104" s="222"/>
      <c r="K104" s="75">
        <f t="shared" si="18"/>
        <v>0</v>
      </c>
      <c r="L104" s="76">
        <f t="shared" si="19"/>
        <v>0</v>
      </c>
      <c r="M104" s="75">
        <f t="shared" si="20"/>
        <v>0</v>
      </c>
      <c r="N104" s="75">
        <f t="shared" si="21"/>
        <v>0</v>
      </c>
      <c r="O104" s="75">
        <f t="shared" si="22"/>
        <v>0</v>
      </c>
      <c r="P104" s="77">
        <f t="shared" si="23"/>
        <v>0</v>
      </c>
    </row>
    <row r="105" spans="1:16" s="61" customFormat="1" x14ac:dyDescent="0.2">
      <c r="A105" s="218">
        <v>0</v>
      </c>
      <c r="B105" s="219">
        <v>0</v>
      </c>
      <c r="C105" s="125" t="s">
        <v>252</v>
      </c>
      <c r="D105" s="67" t="s">
        <v>207</v>
      </c>
      <c r="E105" s="205">
        <f>2.2*E102</f>
        <v>1430.0000000000002</v>
      </c>
      <c r="F105" s="213"/>
      <c r="G105" s="213"/>
      <c r="H105" s="221"/>
      <c r="I105" s="221"/>
      <c r="J105" s="222"/>
      <c r="K105" s="75">
        <f t="shared" si="18"/>
        <v>0</v>
      </c>
      <c r="L105" s="76">
        <f t="shared" si="19"/>
        <v>0</v>
      </c>
      <c r="M105" s="75">
        <f t="shared" si="20"/>
        <v>0</v>
      </c>
      <c r="N105" s="75">
        <f t="shared" si="21"/>
        <v>0</v>
      </c>
      <c r="O105" s="75">
        <f t="shared" si="22"/>
        <v>0</v>
      </c>
      <c r="P105" s="77">
        <f t="shared" si="23"/>
        <v>0</v>
      </c>
    </row>
    <row r="106" spans="1:16" s="61" customFormat="1" ht="25.5" x14ac:dyDescent="0.2">
      <c r="A106" s="218">
        <v>25</v>
      </c>
      <c r="B106" s="219" t="s">
        <v>205</v>
      </c>
      <c r="C106" s="220" t="s">
        <v>253</v>
      </c>
      <c r="D106" s="67" t="s">
        <v>207</v>
      </c>
      <c r="E106" s="205">
        <v>150</v>
      </c>
      <c r="F106" s="213"/>
      <c r="G106" s="148"/>
      <c r="H106" s="221"/>
      <c r="I106" s="221"/>
      <c r="J106" s="222"/>
      <c r="K106" s="75">
        <f t="shared" si="18"/>
        <v>0</v>
      </c>
      <c r="L106" s="76">
        <f t="shared" si="19"/>
        <v>0</v>
      </c>
      <c r="M106" s="75">
        <f t="shared" si="20"/>
        <v>0</v>
      </c>
      <c r="N106" s="75">
        <f t="shared" si="21"/>
        <v>0</v>
      </c>
      <c r="O106" s="75">
        <f t="shared" si="22"/>
        <v>0</v>
      </c>
      <c r="P106" s="77">
        <f t="shared" si="23"/>
        <v>0</v>
      </c>
    </row>
    <row r="107" spans="1:16" s="61" customFormat="1" x14ac:dyDescent="0.2">
      <c r="A107" s="218">
        <v>0</v>
      </c>
      <c r="B107" s="219">
        <v>0</v>
      </c>
      <c r="C107" s="125" t="s">
        <v>250</v>
      </c>
      <c r="D107" s="67" t="s">
        <v>210</v>
      </c>
      <c r="E107" s="205">
        <f>0.07*E106</f>
        <v>10.500000000000002</v>
      </c>
      <c r="F107" s="213"/>
      <c r="G107" s="213"/>
      <c r="H107" s="221"/>
      <c r="I107" s="221"/>
      <c r="J107" s="222"/>
      <c r="K107" s="75">
        <f t="shared" si="18"/>
        <v>0</v>
      </c>
      <c r="L107" s="76">
        <f t="shared" si="19"/>
        <v>0</v>
      </c>
      <c r="M107" s="75">
        <f t="shared" si="20"/>
        <v>0</v>
      </c>
      <c r="N107" s="75">
        <f t="shared" si="21"/>
        <v>0</v>
      </c>
      <c r="O107" s="75">
        <f t="shared" si="22"/>
        <v>0</v>
      </c>
      <c r="P107" s="77">
        <f t="shared" si="23"/>
        <v>0</v>
      </c>
    </row>
    <row r="108" spans="1:16" s="61" customFormat="1" x14ac:dyDescent="0.2">
      <c r="A108" s="218">
        <v>0</v>
      </c>
      <c r="B108" s="219">
        <v>0</v>
      </c>
      <c r="C108" s="125" t="s">
        <v>251</v>
      </c>
      <c r="D108" s="67" t="s">
        <v>210</v>
      </c>
      <c r="E108" s="205">
        <f>0.15*E106</f>
        <v>22.5</v>
      </c>
      <c r="F108" s="213"/>
      <c r="G108" s="213"/>
      <c r="H108" s="221"/>
      <c r="I108" s="221"/>
      <c r="J108" s="222"/>
      <c r="K108" s="75">
        <f t="shared" si="18"/>
        <v>0</v>
      </c>
      <c r="L108" s="76">
        <f t="shared" si="19"/>
        <v>0</v>
      </c>
      <c r="M108" s="75">
        <f t="shared" si="20"/>
        <v>0</v>
      </c>
      <c r="N108" s="75">
        <f t="shared" si="21"/>
        <v>0</v>
      </c>
      <c r="O108" s="75">
        <f t="shared" si="22"/>
        <v>0</v>
      </c>
      <c r="P108" s="77">
        <f t="shared" si="23"/>
        <v>0</v>
      </c>
    </row>
    <row r="109" spans="1:16" s="61" customFormat="1" x14ac:dyDescent="0.2">
      <c r="A109" s="218">
        <v>0</v>
      </c>
      <c r="B109" s="219">
        <v>0</v>
      </c>
      <c r="C109" s="125" t="s">
        <v>254</v>
      </c>
      <c r="D109" s="67" t="s">
        <v>207</v>
      </c>
      <c r="E109" s="205">
        <f>2.2*E106</f>
        <v>330</v>
      </c>
      <c r="F109" s="213"/>
      <c r="G109" s="213"/>
      <c r="H109" s="221"/>
      <c r="I109" s="221"/>
      <c r="J109" s="222"/>
      <c r="K109" s="75">
        <f t="shared" si="18"/>
        <v>0</v>
      </c>
      <c r="L109" s="76">
        <f t="shared" si="19"/>
        <v>0</v>
      </c>
      <c r="M109" s="75">
        <f t="shared" si="20"/>
        <v>0</v>
      </c>
      <c r="N109" s="75">
        <f t="shared" si="21"/>
        <v>0</v>
      </c>
      <c r="O109" s="75">
        <f t="shared" si="22"/>
        <v>0</v>
      </c>
      <c r="P109" s="77">
        <f t="shared" si="23"/>
        <v>0</v>
      </c>
    </row>
    <row r="110" spans="1:16" s="61" customFormat="1" ht="25.5" x14ac:dyDescent="0.2">
      <c r="A110" s="202">
        <v>0</v>
      </c>
      <c r="B110" s="144"/>
      <c r="C110" s="207" t="s">
        <v>256</v>
      </c>
      <c r="D110" s="204"/>
      <c r="E110" s="205"/>
      <c r="F110" s="148"/>
      <c r="G110" s="148"/>
      <c r="H110" s="217"/>
      <c r="I110" s="217"/>
      <c r="J110" s="217"/>
      <c r="K110" s="75">
        <f t="shared" si="18"/>
        <v>0</v>
      </c>
      <c r="L110" s="76">
        <f t="shared" si="19"/>
        <v>0</v>
      </c>
      <c r="M110" s="75">
        <f t="shared" si="20"/>
        <v>0</v>
      </c>
      <c r="N110" s="75">
        <f t="shared" si="21"/>
        <v>0</v>
      </c>
      <c r="O110" s="75">
        <f t="shared" si="22"/>
        <v>0</v>
      </c>
      <c r="P110" s="77">
        <f t="shared" si="23"/>
        <v>0</v>
      </c>
    </row>
    <row r="111" spans="1:16" s="61" customFormat="1" x14ac:dyDescent="0.2">
      <c r="A111" s="202">
        <v>0</v>
      </c>
      <c r="B111" s="144"/>
      <c r="C111" s="207" t="s">
        <v>257</v>
      </c>
      <c r="D111" s="204"/>
      <c r="E111" s="205"/>
      <c r="F111" s="148"/>
      <c r="G111" s="148"/>
      <c r="H111" s="217"/>
      <c r="I111" s="217"/>
      <c r="J111" s="217"/>
      <c r="K111" s="75">
        <f t="shared" si="18"/>
        <v>0</v>
      </c>
      <c r="L111" s="76">
        <f t="shared" si="19"/>
        <v>0</v>
      </c>
      <c r="M111" s="75">
        <f t="shared" si="20"/>
        <v>0</v>
      </c>
      <c r="N111" s="75">
        <f t="shared" si="21"/>
        <v>0</v>
      </c>
      <c r="O111" s="75">
        <f t="shared" si="22"/>
        <v>0</v>
      </c>
      <c r="P111" s="77">
        <f t="shared" si="23"/>
        <v>0</v>
      </c>
    </row>
    <row r="112" spans="1:16" s="61" customFormat="1" ht="25.5" x14ac:dyDescent="0.2">
      <c r="A112" s="218">
        <v>27</v>
      </c>
      <c r="B112" s="219" t="s">
        <v>205</v>
      </c>
      <c r="C112" s="220" t="s">
        <v>258</v>
      </c>
      <c r="D112" s="67" t="s">
        <v>207</v>
      </c>
      <c r="E112" s="205">
        <v>375</v>
      </c>
      <c r="F112" s="213"/>
      <c r="G112" s="148"/>
      <c r="H112" s="221"/>
      <c r="I112" s="221"/>
      <c r="J112" s="222"/>
      <c r="K112" s="75">
        <f t="shared" si="18"/>
        <v>0</v>
      </c>
      <c r="L112" s="76">
        <f t="shared" si="19"/>
        <v>0</v>
      </c>
      <c r="M112" s="75">
        <f t="shared" si="20"/>
        <v>0</v>
      </c>
      <c r="N112" s="75">
        <f t="shared" si="21"/>
        <v>0</v>
      </c>
      <c r="O112" s="75">
        <f t="shared" si="22"/>
        <v>0</v>
      </c>
      <c r="P112" s="77">
        <f t="shared" si="23"/>
        <v>0</v>
      </c>
    </row>
    <row r="113" spans="1:16" s="61" customFormat="1" x14ac:dyDescent="0.2">
      <c r="A113" s="218">
        <v>0</v>
      </c>
      <c r="B113" s="219">
        <v>0</v>
      </c>
      <c r="C113" s="125" t="s">
        <v>259</v>
      </c>
      <c r="D113" s="211" t="s">
        <v>199</v>
      </c>
      <c r="E113" s="205">
        <f>0.77*E112</f>
        <v>288.75</v>
      </c>
      <c r="F113" s="213"/>
      <c r="G113" s="213"/>
      <c r="H113" s="221"/>
      <c r="I113" s="221"/>
      <c r="J113" s="222"/>
      <c r="K113" s="75">
        <f t="shared" si="18"/>
        <v>0</v>
      </c>
      <c r="L113" s="76">
        <f t="shared" si="19"/>
        <v>0</v>
      </c>
      <c r="M113" s="75">
        <f t="shared" si="20"/>
        <v>0</v>
      </c>
      <c r="N113" s="75">
        <f t="shared" si="21"/>
        <v>0</v>
      </c>
      <c r="O113" s="75">
        <f t="shared" si="22"/>
        <v>0</v>
      </c>
      <c r="P113" s="77">
        <f t="shared" si="23"/>
        <v>0</v>
      </c>
    </row>
    <row r="114" spans="1:16" s="61" customFormat="1" x14ac:dyDescent="0.2">
      <c r="A114" s="218">
        <v>0</v>
      </c>
      <c r="B114" s="219">
        <v>0</v>
      </c>
      <c r="C114" s="125" t="s">
        <v>243</v>
      </c>
      <c r="D114" s="67" t="s">
        <v>210</v>
      </c>
      <c r="E114" s="205">
        <f>0.02*E112</f>
        <v>7.5</v>
      </c>
      <c r="F114" s="213"/>
      <c r="G114" s="213"/>
      <c r="H114" s="221"/>
      <c r="I114" s="221"/>
      <c r="J114" s="222"/>
      <c r="K114" s="75">
        <f t="shared" si="18"/>
        <v>0</v>
      </c>
      <c r="L114" s="76">
        <f t="shared" si="19"/>
        <v>0</v>
      </c>
      <c r="M114" s="75">
        <f t="shared" si="20"/>
        <v>0</v>
      </c>
      <c r="N114" s="75">
        <f t="shared" si="21"/>
        <v>0</v>
      </c>
      <c r="O114" s="75">
        <f t="shared" si="22"/>
        <v>0</v>
      </c>
      <c r="P114" s="77">
        <f t="shared" si="23"/>
        <v>0</v>
      </c>
    </row>
    <row r="115" spans="1:16" s="61" customFormat="1" x14ac:dyDescent="0.2">
      <c r="A115" s="218">
        <v>0</v>
      </c>
      <c r="B115" s="219">
        <v>0</v>
      </c>
      <c r="C115" s="125" t="s">
        <v>260</v>
      </c>
      <c r="D115" s="211" t="s">
        <v>199</v>
      </c>
      <c r="E115" s="205">
        <f>0.11*E112</f>
        <v>41.25</v>
      </c>
      <c r="F115" s="213"/>
      <c r="G115" s="213"/>
      <c r="H115" s="221"/>
      <c r="I115" s="221"/>
      <c r="J115" s="222"/>
      <c r="K115" s="75">
        <f t="shared" si="18"/>
        <v>0</v>
      </c>
      <c r="L115" s="76">
        <f t="shared" si="19"/>
        <v>0</v>
      </c>
      <c r="M115" s="75">
        <f t="shared" si="20"/>
        <v>0</v>
      </c>
      <c r="N115" s="75">
        <f t="shared" si="21"/>
        <v>0</v>
      </c>
      <c r="O115" s="75">
        <f t="shared" si="22"/>
        <v>0</v>
      </c>
      <c r="P115" s="77">
        <f t="shared" si="23"/>
        <v>0</v>
      </c>
    </row>
    <row r="116" spans="1:16" s="61" customFormat="1" x14ac:dyDescent="0.2">
      <c r="A116" s="218">
        <v>0</v>
      </c>
      <c r="B116" s="219">
        <v>0</v>
      </c>
      <c r="C116" s="125" t="s">
        <v>261</v>
      </c>
      <c r="D116" s="211" t="s">
        <v>199</v>
      </c>
      <c r="E116" s="205">
        <f>2.2*E112</f>
        <v>825.00000000000011</v>
      </c>
      <c r="F116" s="213"/>
      <c r="G116" s="213"/>
      <c r="H116" s="221"/>
      <c r="I116" s="221"/>
      <c r="J116" s="222"/>
      <c r="K116" s="75">
        <f t="shared" si="18"/>
        <v>0</v>
      </c>
      <c r="L116" s="76">
        <f t="shared" si="19"/>
        <v>0</v>
      </c>
      <c r="M116" s="75">
        <f t="shared" si="20"/>
        <v>0</v>
      </c>
      <c r="N116" s="75">
        <f t="shared" si="21"/>
        <v>0</v>
      </c>
      <c r="O116" s="75">
        <f t="shared" si="22"/>
        <v>0</v>
      </c>
      <c r="P116" s="77">
        <f t="shared" si="23"/>
        <v>0</v>
      </c>
    </row>
    <row r="117" spans="1:16" s="61" customFormat="1" x14ac:dyDescent="0.2">
      <c r="A117" s="218">
        <v>0</v>
      </c>
      <c r="B117" s="219">
        <v>0</v>
      </c>
      <c r="C117" s="125" t="s">
        <v>262</v>
      </c>
      <c r="D117" s="211" t="s">
        <v>62</v>
      </c>
      <c r="E117" s="205">
        <f>0.77*E112</f>
        <v>288.75</v>
      </c>
      <c r="F117" s="213"/>
      <c r="G117" s="213"/>
      <c r="H117" s="221"/>
      <c r="I117" s="221"/>
      <c r="J117" s="222"/>
      <c r="K117" s="75">
        <f t="shared" si="18"/>
        <v>0</v>
      </c>
      <c r="L117" s="76">
        <f t="shared" si="19"/>
        <v>0</v>
      </c>
      <c r="M117" s="75">
        <f t="shared" si="20"/>
        <v>0</v>
      </c>
      <c r="N117" s="75">
        <f t="shared" si="21"/>
        <v>0</v>
      </c>
      <c r="O117" s="75">
        <f t="shared" si="22"/>
        <v>0</v>
      </c>
      <c r="P117" s="77">
        <f t="shared" si="23"/>
        <v>0</v>
      </c>
    </row>
    <row r="118" spans="1:16" s="61" customFormat="1" x14ac:dyDescent="0.2">
      <c r="A118" s="218">
        <v>0</v>
      </c>
      <c r="B118" s="219">
        <v>0</v>
      </c>
      <c r="C118" s="125" t="s">
        <v>263</v>
      </c>
      <c r="D118" s="67" t="s">
        <v>210</v>
      </c>
      <c r="E118" s="205">
        <f>0.02*E112</f>
        <v>7.5</v>
      </c>
      <c r="F118" s="213"/>
      <c r="G118" s="213"/>
      <c r="H118" s="221"/>
      <c r="I118" s="221"/>
      <c r="J118" s="222"/>
      <c r="K118" s="75">
        <f t="shared" si="18"/>
        <v>0</v>
      </c>
      <c r="L118" s="76">
        <f t="shared" si="19"/>
        <v>0</v>
      </c>
      <c r="M118" s="75">
        <f t="shared" si="20"/>
        <v>0</v>
      </c>
      <c r="N118" s="75">
        <f t="shared" si="21"/>
        <v>0</v>
      </c>
      <c r="O118" s="75">
        <f t="shared" si="22"/>
        <v>0</v>
      </c>
      <c r="P118" s="77">
        <f t="shared" si="23"/>
        <v>0</v>
      </c>
    </row>
    <row r="119" spans="1:16" s="61" customFormat="1" x14ac:dyDescent="0.2">
      <c r="A119" s="218">
        <v>0</v>
      </c>
      <c r="B119" s="219"/>
      <c r="C119" s="125" t="s">
        <v>245</v>
      </c>
      <c r="D119" s="211" t="s">
        <v>207</v>
      </c>
      <c r="E119" s="205">
        <f>E112</f>
        <v>375</v>
      </c>
      <c r="F119" s="213"/>
      <c r="G119" s="213"/>
      <c r="H119" s="221"/>
      <c r="I119" s="221"/>
      <c r="J119" s="222"/>
      <c r="K119" s="75">
        <f t="shared" si="18"/>
        <v>0</v>
      </c>
      <c r="L119" s="76">
        <f t="shared" si="19"/>
        <v>0</v>
      </c>
      <c r="M119" s="75">
        <f t="shared" si="20"/>
        <v>0</v>
      </c>
      <c r="N119" s="75">
        <f t="shared" si="21"/>
        <v>0</v>
      </c>
      <c r="O119" s="75">
        <f t="shared" si="22"/>
        <v>0</v>
      </c>
      <c r="P119" s="77">
        <f t="shared" si="23"/>
        <v>0</v>
      </c>
    </row>
    <row r="120" spans="1:16" s="61" customFormat="1" ht="25.5" x14ac:dyDescent="0.2">
      <c r="A120" s="218">
        <v>28</v>
      </c>
      <c r="B120" s="219" t="s">
        <v>246</v>
      </c>
      <c r="C120" s="220" t="s">
        <v>264</v>
      </c>
      <c r="D120" s="67" t="s">
        <v>207</v>
      </c>
      <c r="E120" s="205">
        <v>375</v>
      </c>
      <c r="F120" s="213"/>
      <c r="G120" s="148"/>
      <c r="H120" s="221"/>
      <c r="I120" s="221"/>
      <c r="J120" s="222"/>
      <c r="K120" s="75">
        <f t="shared" si="18"/>
        <v>0</v>
      </c>
      <c r="L120" s="76">
        <f t="shared" si="19"/>
        <v>0</v>
      </c>
      <c r="M120" s="75">
        <f t="shared" si="20"/>
        <v>0</v>
      </c>
      <c r="N120" s="75">
        <f t="shared" si="21"/>
        <v>0</v>
      </c>
      <c r="O120" s="75">
        <f t="shared" si="22"/>
        <v>0</v>
      </c>
      <c r="P120" s="77">
        <f t="shared" si="23"/>
        <v>0</v>
      </c>
    </row>
    <row r="121" spans="1:16" s="61" customFormat="1" x14ac:dyDescent="0.2">
      <c r="A121" s="218">
        <v>0</v>
      </c>
      <c r="B121" s="219">
        <v>0</v>
      </c>
      <c r="C121" s="125" t="s">
        <v>265</v>
      </c>
      <c r="D121" s="67" t="s">
        <v>207</v>
      </c>
      <c r="E121" s="205">
        <f>1.05*E120</f>
        <v>393.75</v>
      </c>
      <c r="F121" s="213"/>
      <c r="G121" s="213"/>
      <c r="H121" s="221"/>
      <c r="I121" s="221"/>
      <c r="J121" s="222"/>
      <c r="K121" s="75">
        <f t="shared" si="18"/>
        <v>0</v>
      </c>
      <c r="L121" s="76">
        <f t="shared" si="19"/>
        <v>0</v>
      </c>
      <c r="M121" s="75">
        <f t="shared" si="20"/>
        <v>0</v>
      </c>
      <c r="N121" s="75">
        <f t="shared" si="21"/>
        <v>0</v>
      </c>
      <c r="O121" s="75">
        <f t="shared" si="22"/>
        <v>0</v>
      </c>
      <c r="P121" s="77">
        <f t="shared" si="23"/>
        <v>0</v>
      </c>
    </row>
    <row r="122" spans="1:16" s="61" customFormat="1" x14ac:dyDescent="0.2">
      <c r="A122" s="218">
        <v>29</v>
      </c>
      <c r="B122" s="219" t="s">
        <v>205</v>
      </c>
      <c r="C122" s="220" t="s">
        <v>266</v>
      </c>
      <c r="D122" s="67" t="s">
        <v>207</v>
      </c>
      <c r="E122" s="205">
        <v>375</v>
      </c>
      <c r="F122" s="213"/>
      <c r="G122" s="148"/>
      <c r="H122" s="221"/>
      <c r="I122" s="221"/>
      <c r="J122" s="222"/>
      <c r="K122" s="75">
        <f t="shared" si="18"/>
        <v>0</v>
      </c>
      <c r="L122" s="76">
        <f t="shared" si="19"/>
        <v>0</v>
      </c>
      <c r="M122" s="75">
        <f t="shared" si="20"/>
        <v>0</v>
      </c>
      <c r="N122" s="75">
        <f t="shared" si="21"/>
        <v>0</v>
      </c>
      <c r="O122" s="75">
        <f t="shared" si="22"/>
        <v>0</v>
      </c>
      <c r="P122" s="77">
        <f t="shared" si="23"/>
        <v>0</v>
      </c>
    </row>
    <row r="123" spans="1:16" s="61" customFormat="1" x14ac:dyDescent="0.2">
      <c r="A123" s="218">
        <v>0</v>
      </c>
      <c r="B123" s="219">
        <v>0</v>
      </c>
      <c r="C123" s="125" t="s">
        <v>252</v>
      </c>
      <c r="D123" s="67" t="s">
        <v>207</v>
      </c>
      <c r="E123" s="205">
        <f>1.05*E122</f>
        <v>393.75</v>
      </c>
      <c r="F123" s="213"/>
      <c r="G123" s="213"/>
      <c r="H123" s="221"/>
      <c r="I123" s="221"/>
      <c r="J123" s="222"/>
      <c r="K123" s="75">
        <f t="shared" si="18"/>
        <v>0</v>
      </c>
      <c r="L123" s="76">
        <f t="shared" si="19"/>
        <v>0</v>
      </c>
      <c r="M123" s="75">
        <f t="shared" si="20"/>
        <v>0</v>
      </c>
      <c r="N123" s="75">
        <f t="shared" si="21"/>
        <v>0</v>
      </c>
      <c r="O123" s="75">
        <f t="shared" si="22"/>
        <v>0</v>
      </c>
      <c r="P123" s="77">
        <f t="shared" si="23"/>
        <v>0</v>
      </c>
    </row>
    <row r="124" spans="1:16" s="61" customFormat="1" x14ac:dyDescent="0.2">
      <c r="A124" s="218">
        <v>0</v>
      </c>
      <c r="B124" s="219">
        <v>0</v>
      </c>
      <c r="C124" s="125" t="s">
        <v>250</v>
      </c>
      <c r="D124" s="67" t="s">
        <v>210</v>
      </c>
      <c r="E124" s="205">
        <f>0.16*E122</f>
        <v>60</v>
      </c>
      <c r="F124" s="213"/>
      <c r="G124" s="213"/>
      <c r="H124" s="221"/>
      <c r="I124" s="221"/>
      <c r="J124" s="222"/>
      <c r="K124" s="75">
        <f t="shared" si="18"/>
        <v>0</v>
      </c>
      <c r="L124" s="76">
        <f t="shared" si="19"/>
        <v>0</v>
      </c>
      <c r="M124" s="75">
        <f t="shared" si="20"/>
        <v>0</v>
      </c>
      <c r="N124" s="75">
        <f t="shared" si="21"/>
        <v>0</v>
      </c>
      <c r="O124" s="75">
        <f t="shared" si="22"/>
        <v>0</v>
      </c>
      <c r="P124" s="77">
        <f t="shared" si="23"/>
        <v>0</v>
      </c>
    </row>
    <row r="125" spans="1:16" s="61" customFormat="1" x14ac:dyDescent="0.2">
      <c r="A125" s="202">
        <v>0</v>
      </c>
      <c r="B125" s="144"/>
      <c r="C125" s="207" t="s">
        <v>267</v>
      </c>
      <c r="D125" s="204"/>
      <c r="E125" s="205"/>
      <c r="F125" s="148"/>
      <c r="G125" s="148"/>
      <c r="H125" s="217"/>
      <c r="I125" s="217"/>
      <c r="J125" s="217"/>
      <c r="K125" s="75">
        <f t="shared" si="18"/>
        <v>0</v>
      </c>
      <c r="L125" s="76">
        <f t="shared" si="19"/>
        <v>0</v>
      </c>
      <c r="M125" s="75">
        <f t="shared" si="20"/>
        <v>0</v>
      </c>
      <c r="N125" s="75">
        <f t="shared" si="21"/>
        <v>0</v>
      </c>
      <c r="O125" s="75">
        <f t="shared" si="22"/>
        <v>0</v>
      </c>
      <c r="P125" s="77">
        <f t="shared" si="23"/>
        <v>0</v>
      </c>
    </row>
    <row r="126" spans="1:16" s="61" customFormat="1" ht="25.5" x14ac:dyDescent="0.2">
      <c r="A126" s="218">
        <v>30</v>
      </c>
      <c r="B126" s="219" t="s">
        <v>205</v>
      </c>
      <c r="C126" s="220" t="s">
        <v>268</v>
      </c>
      <c r="D126" s="67" t="s">
        <v>207</v>
      </c>
      <c r="E126" s="205">
        <v>35</v>
      </c>
      <c r="F126" s="213"/>
      <c r="G126" s="148"/>
      <c r="H126" s="221"/>
      <c r="I126" s="221"/>
      <c r="J126" s="222"/>
      <c r="K126" s="75">
        <f t="shared" si="18"/>
        <v>0</v>
      </c>
      <c r="L126" s="76">
        <f t="shared" si="19"/>
        <v>0</v>
      </c>
      <c r="M126" s="75">
        <f t="shared" si="20"/>
        <v>0</v>
      </c>
      <c r="N126" s="75">
        <f t="shared" si="21"/>
        <v>0</v>
      </c>
      <c r="O126" s="75">
        <f t="shared" si="22"/>
        <v>0</v>
      </c>
      <c r="P126" s="77">
        <f t="shared" si="23"/>
        <v>0</v>
      </c>
    </row>
    <row r="127" spans="1:16" s="61" customFormat="1" ht="25.5" x14ac:dyDescent="0.2">
      <c r="A127" s="218">
        <v>31</v>
      </c>
      <c r="B127" s="219" t="s">
        <v>246</v>
      </c>
      <c r="C127" s="220" t="s">
        <v>264</v>
      </c>
      <c r="D127" s="67" t="s">
        <v>207</v>
      </c>
      <c r="E127" s="205">
        <v>35</v>
      </c>
      <c r="F127" s="213"/>
      <c r="G127" s="148"/>
      <c r="H127" s="221"/>
      <c r="I127" s="221"/>
      <c r="J127" s="222"/>
      <c r="K127" s="75">
        <f t="shared" si="18"/>
        <v>0</v>
      </c>
      <c r="L127" s="76">
        <f t="shared" si="19"/>
        <v>0</v>
      </c>
      <c r="M127" s="75">
        <f t="shared" si="20"/>
        <v>0</v>
      </c>
      <c r="N127" s="75">
        <f t="shared" si="21"/>
        <v>0</v>
      </c>
      <c r="O127" s="75">
        <f t="shared" si="22"/>
        <v>0</v>
      </c>
      <c r="P127" s="77">
        <f t="shared" si="23"/>
        <v>0</v>
      </c>
    </row>
    <row r="128" spans="1:16" s="61" customFormat="1" x14ac:dyDescent="0.2">
      <c r="A128" s="218">
        <v>0</v>
      </c>
      <c r="B128" s="219">
        <v>0</v>
      </c>
      <c r="C128" s="125" t="s">
        <v>265</v>
      </c>
      <c r="D128" s="67" t="s">
        <v>207</v>
      </c>
      <c r="E128" s="205">
        <f>1.05*E127</f>
        <v>36.75</v>
      </c>
      <c r="F128" s="213"/>
      <c r="G128" s="213"/>
      <c r="H128" s="221"/>
      <c r="I128" s="221"/>
      <c r="J128" s="222"/>
      <c r="K128" s="75">
        <f t="shared" si="18"/>
        <v>0</v>
      </c>
      <c r="L128" s="76">
        <f t="shared" si="19"/>
        <v>0</v>
      </c>
      <c r="M128" s="75">
        <f t="shared" si="20"/>
        <v>0</v>
      </c>
      <c r="N128" s="75">
        <f t="shared" si="21"/>
        <v>0</v>
      </c>
      <c r="O128" s="75">
        <f t="shared" si="22"/>
        <v>0</v>
      </c>
      <c r="P128" s="77">
        <f t="shared" si="23"/>
        <v>0</v>
      </c>
    </row>
    <row r="129" spans="1:16" s="61" customFormat="1" x14ac:dyDescent="0.2">
      <c r="A129" s="218">
        <v>32</v>
      </c>
      <c r="B129" s="219" t="s">
        <v>205</v>
      </c>
      <c r="C129" s="220" t="s">
        <v>266</v>
      </c>
      <c r="D129" s="67" t="s">
        <v>207</v>
      </c>
      <c r="E129" s="205">
        <v>35</v>
      </c>
      <c r="F129" s="213"/>
      <c r="G129" s="148"/>
      <c r="H129" s="221"/>
      <c r="I129" s="221"/>
      <c r="J129" s="222"/>
      <c r="K129" s="75">
        <f t="shared" si="18"/>
        <v>0</v>
      </c>
      <c r="L129" s="76">
        <f t="shared" si="19"/>
        <v>0</v>
      </c>
      <c r="M129" s="75">
        <f t="shared" si="20"/>
        <v>0</v>
      </c>
      <c r="N129" s="75">
        <f t="shared" si="21"/>
        <v>0</v>
      </c>
      <c r="O129" s="75">
        <f t="shared" si="22"/>
        <v>0</v>
      </c>
      <c r="P129" s="77">
        <f t="shared" si="23"/>
        <v>0</v>
      </c>
    </row>
    <row r="130" spans="1:16" s="61" customFormat="1" x14ac:dyDescent="0.2">
      <c r="A130" s="218">
        <v>0</v>
      </c>
      <c r="B130" s="219">
        <v>0</v>
      </c>
      <c r="C130" s="125" t="s">
        <v>252</v>
      </c>
      <c r="D130" s="67" t="s">
        <v>207</v>
      </c>
      <c r="E130" s="205">
        <f>1.05*E129</f>
        <v>36.75</v>
      </c>
      <c r="F130" s="213"/>
      <c r="G130" s="213"/>
      <c r="H130" s="221"/>
      <c r="I130" s="221"/>
      <c r="J130" s="222"/>
      <c r="K130" s="75">
        <f t="shared" si="18"/>
        <v>0</v>
      </c>
      <c r="L130" s="76">
        <f t="shared" si="19"/>
        <v>0</v>
      </c>
      <c r="M130" s="75">
        <f t="shared" si="20"/>
        <v>0</v>
      </c>
      <c r="N130" s="75">
        <f t="shared" si="21"/>
        <v>0</v>
      </c>
      <c r="O130" s="75">
        <f t="shared" si="22"/>
        <v>0</v>
      </c>
      <c r="P130" s="77">
        <f t="shared" si="23"/>
        <v>0</v>
      </c>
    </row>
    <row r="131" spans="1:16" s="61" customFormat="1" x14ac:dyDescent="0.2">
      <c r="A131" s="218">
        <v>0</v>
      </c>
      <c r="B131" s="219">
        <v>0</v>
      </c>
      <c r="C131" s="125" t="s">
        <v>250</v>
      </c>
      <c r="D131" s="67" t="s">
        <v>210</v>
      </c>
      <c r="E131" s="205">
        <f>0.16*E129</f>
        <v>5.6000000000000005</v>
      </c>
      <c r="F131" s="213"/>
      <c r="G131" s="213"/>
      <c r="H131" s="221"/>
      <c r="I131" s="221"/>
      <c r="J131" s="222"/>
      <c r="K131" s="75">
        <f t="shared" si="18"/>
        <v>0</v>
      </c>
      <c r="L131" s="76">
        <f t="shared" si="19"/>
        <v>0</v>
      </c>
      <c r="M131" s="75">
        <f t="shared" si="20"/>
        <v>0</v>
      </c>
      <c r="N131" s="75">
        <f t="shared" si="21"/>
        <v>0</v>
      </c>
      <c r="O131" s="75">
        <f t="shared" si="22"/>
        <v>0</v>
      </c>
      <c r="P131" s="77">
        <f t="shared" si="23"/>
        <v>0</v>
      </c>
    </row>
    <row r="132" spans="1:16" s="61" customFormat="1" x14ac:dyDescent="0.2">
      <c r="A132" s="202">
        <v>0</v>
      </c>
      <c r="B132" s="144"/>
      <c r="C132" s="207" t="s">
        <v>269</v>
      </c>
      <c r="D132" s="204"/>
      <c r="E132" s="205"/>
      <c r="F132" s="148"/>
      <c r="G132" s="148"/>
      <c r="H132" s="217"/>
      <c r="I132" s="217"/>
      <c r="J132" s="217"/>
      <c r="K132" s="75">
        <f t="shared" si="18"/>
        <v>0</v>
      </c>
      <c r="L132" s="76">
        <f t="shared" si="19"/>
        <v>0</v>
      </c>
      <c r="M132" s="75">
        <f t="shared" si="20"/>
        <v>0</v>
      </c>
      <c r="N132" s="75">
        <f t="shared" si="21"/>
        <v>0</v>
      </c>
      <c r="O132" s="75">
        <f t="shared" si="22"/>
        <v>0</v>
      </c>
      <c r="P132" s="77">
        <f t="shared" si="23"/>
        <v>0</v>
      </c>
    </row>
    <row r="133" spans="1:16" s="61" customFormat="1" ht="25.5" x14ac:dyDescent="0.2">
      <c r="A133" s="218">
        <v>33</v>
      </c>
      <c r="B133" s="219" t="s">
        <v>205</v>
      </c>
      <c r="C133" s="220" t="s">
        <v>240</v>
      </c>
      <c r="D133" s="67" t="s">
        <v>207</v>
      </c>
      <c r="E133" s="205">
        <f>35*2</f>
        <v>70</v>
      </c>
      <c r="F133" s="213"/>
      <c r="G133" s="148"/>
      <c r="H133" s="221"/>
      <c r="I133" s="221"/>
      <c r="J133" s="222"/>
      <c r="K133" s="75">
        <f t="shared" si="18"/>
        <v>0</v>
      </c>
      <c r="L133" s="76">
        <f t="shared" si="19"/>
        <v>0</v>
      </c>
      <c r="M133" s="75">
        <f t="shared" si="20"/>
        <v>0</v>
      </c>
      <c r="N133" s="75">
        <f t="shared" si="21"/>
        <v>0</v>
      </c>
      <c r="O133" s="75">
        <f t="shared" si="22"/>
        <v>0</v>
      </c>
      <c r="P133" s="77">
        <f t="shared" si="23"/>
        <v>0</v>
      </c>
    </row>
    <row r="134" spans="1:16" s="61" customFormat="1" x14ac:dyDescent="0.2">
      <c r="A134" s="218">
        <v>0</v>
      </c>
      <c r="B134" s="219">
        <v>0</v>
      </c>
      <c r="C134" s="125" t="s">
        <v>241</v>
      </c>
      <c r="D134" s="211" t="s">
        <v>199</v>
      </c>
      <c r="E134" s="205">
        <f>0.77*E133</f>
        <v>53.9</v>
      </c>
      <c r="F134" s="213"/>
      <c r="G134" s="213"/>
      <c r="H134" s="221"/>
      <c r="I134" s="221"/>
      <c r="J134" s="222"/>
      <c r="K134" s="75">
        <f t="shared" si="18"/>
        <v>0</v>
      </c>
      <c r="L134" s="76">
        <f t="shared" si="19"/>
        <v>0</v>
      </c>
      <c r="M134" s="75">
        <f t="shared" si="20"/>
        <v>0</v>
      </c>
      <c r="N134" s="75">
        <f t="shared" si="21"/>
        <v>0</v>
      </c>
      <c r="O134" s="75">
        <f t="shared" si="22"/>
        <v>0</v>
      </c>
      <c r="P134" s="77">
        <f t="shared" si="23"/>
        <v>0</v>
      </c>
    </row>
    <row r="135" spans="1:16" s="61" customFormat="1" x14ac:dyDescent="0.2">
      <c r="A135" s="218">
        <v>0</v>
      </c>
      <c r="B135" s="219">
        <v>0</v>
      </c>
      <c r="C135" s="125" t="s">
        <v>242</v>
      </c>
      <c r="D135" s="211" t="s">
        <v>199</v>
      </c>
      <c r="E135" s="205">
        <f>1.32*E133</f>
        <v>92.4</v>
      </c>
      <c r="F135" s="213"/>
      <c r="G135" s="213"/>
      <c r="H135" s="221"/>
      <c r="I135" s="221"/>
      <c r="J135" s="222"/>
      <c r="K135" s="75">
        <f t="shared" si="18"/>
        <v>0</v>
      </c>
      <c r="L135" s="76">
        <f t="shared" si="19"/>
        <v>0</v>
      </c>
      <c r="M135" s="75">
        <f t="shared" si="20"/>
        <v>0</v>
      </c>
      <c r="N135" s="75">
        <f t="shared" si="21"/>
        <v>0</v>
      </c>
      <c r="O135" s="75">
        <f t="shared" si="22"/>
        <v>0</v>
      </c>
      <c r="P135" s="77">
        <f t="shared" si="23"/>
        <v>0</v>
      </c>
    </row>
    <row r="136" spans="1:16" s="61" customFormat="1" x14ac:dyDescent="0.2">
      <c r="A136" s="218">
        <v>0</v>
      </c>
      <c r="B136" s="219">
        <v>0</v>
      </c>
      <c r="C136" s="125" t="s">
        <v>243</v>
      </c>
      <c r="D136" s="67" t="s">
        <v>210</v>
      </c>
      <c r="E136" s="205">
        <f>0.02*E133</f>
        <v>1.4000000000000001</v>
      </c>
      <c r="F136" s="213"/>
      <c r="G136" s="213"/>
      <c r="H136" s="221"/>
      <c r="I136" s="221"/>
      <c r="J136" s="222"/>
      <c r="K136" s="75">
        <f t="shared" si="18"/>
        <v>0</v>
      </c>
      <c r="L136" s="76">
        <f t="shared" si="19"/>
        <v>0</v>
      </c>
      <c r="M136" s="75">
        <f t="shared" si="20"/>
        <v>0</v>
      </c>
      <c r="N136" s="75">
        <f t="shared" si="21"/>
        <v>0</v>
      </c>
      <c r="O136" s="75">
        <f t="shared" si="22"/>
        <v>0</v>
      </c>
      <c r="P136" s="77">
        <f t="shared" si="23"/>
        <v>0</v>
      </c>
    </row>
    <row r="137" spans="1:16" s="61" customFormat="1" x14ac:dyDescent="0.2">
      <c r="A137" s="218">
        <v>0</v>
      </c>
      <c r="B137" s="219">
        <v>0</v>
      </c>
      <c r="C137" s="125" t="s">
        <v>244</v>
      </c>
      <c r="D137" s="211" t="s">
        <v>199</v>
      </c>
      <c r="E137" s="205">
        <f>2.2*E133</f>
        <v>154</v>
      </c>
      <c r="F137" s="213"/>
      <c r="G137" s="213"/>
      <c r="H137" s="221"/>
      <c r="I137" s="221"/>
      <c r="J137" s="222"/>
      <c r="K137" s="75">
        <f t="shared" si="18"/>
        <v>0</v>
      </c>
      <c r="L137" s="76">
        <f t="shared" si="19"/>
        <v>0</v>
      </c>
      <c r="M137" s="75">
        <f t="shared" si="20"/>
        <v>0</v>
      </c>
      <c r="N137" s="75">
        <f t="shared" si="21"/>
        <v>0</v>
      </c>
      <c r="O137" s="75">
        <f t="shared" si="22"/>
        <v>0</v>
      </c>
      <c r="P137" s="77">
        <f t="shared" si="23"/>
        <v>0</v>
      </c>
    </row>
    <row r="138" spans="1:16" s="61" customFormat="1" x14ac:dyDescent="0.2">
      <c r="A138" s="218">
        <v>0</v>
      </c>
      <c r="B138" s="219"/>
      <c r="C138" s="125" t="s">
        <v>245</v>
      </c>
      <c r="D138" s="211" t="s">
        <v>207</v>
      </c>
      <c r="E138" s="205">
        <f>E133</f>
        <v>70</v>
      </c>
      <c r="F138" s="213"/>
      <c r="G138" s="213"/>
      <c r="H138" s="221"/>
      <c r="I138" s="221"/>
      <c r="J138" s="222"/>
      <c r="K138" s="75">
        <f t="shared" si="18"/>
        <v>0</v>
      </c>
      <c r="L138" s="76">
        <f t="shared" si="19"/>
        <v>0</v>
      </c>
      <c r="M138" s="75">
        <f t="shared" si="20"/>
        <v>0</v>
      </c>
      <c r="N138" s="75">
        <f t="shared" si="21"/>
        <v>0</v>
      </c>
      <c r="O138" s="75">
        <f t="shared" si="22"/>
        <v>0</v>
      </c>
      <c r="P138" s="77">
        <f t="shared" si="23"/>
        <v>0</v>
      </c>
    </row>
    <row r="139" spans="1:16" s="61" customFormat="1" ht="25.5" x14ac:dyDescent="0.2">
      <c r="A139" s="218">
        <v>34</v>
      </c>
      <c r="B139" s="219" t="s">
        <v>246</v>
      </c>
      <c r="C139" s="220" t="s">
        <v>247</v>
      </c>
      <c r="D139" s="67" t="s">
        <v>207</v>
      </c>
      <c r="E139" s="205">
        <f>35*2</f>
        <v>70</v>
      </c>
      <c r="F139" s="213"/>
      <c r="G139" s="148"/>
      <c r="H139" s="221"/>
      <c r="I139" s="221"/>
      <c r="J139" s="222"/>
      <c r="K139" s="75">
        <f t="shared" si="18"/>
        <v>0</v>
      </c>
      <c r="L139" s="76">
        <f t="shared" si="19"/>
        <v>0</v>
      </c>
      <c r="M139" s="75">
        <f t="shared" si="20"/>
        <v>0</v>
      </c>
      <c r="N139" s="75">
        <f t="shared" si="21"/>
        <v>0</v>
      </c>
      <c r="O139" s="75">
        <f t="shared" si="22"/>
        <v>0</v>
      </c>
      <c r="P139" s="77">
        <f t="shared" si="23"/>
        <v>0</v>
      </c>
    </row>
    <row r="140" spans="1:16" s="61" customFormat="1" x14ac:dyDescent="0.2">
      <c r="A140" s="218">
        <v>0</v>
      </c>
      <c r="B140" s="219">
        <v>0</v>
      </c>
      <c r="C140" s="125" t="s">
        <v>248</v>
      </c>
      <c r="D140" s="67" t="s">
        <v>207</v>
      </c>
      <c r="E140" s="205">
        <f>1.05*E139</f>
        <v>73.5</v>
      </c>
      <c r="F140" s="213"/>
      <c r="G140" s="213"/>
      <c r="H140" s="221"/>
      <c r="I140" s="221"/>
      <c r="J140" s="222"/>
      <c r="K140" s="75">
        <f t="shared" ref="K140:K203" si="24">SUM(H140:J140)</f>
        <v>0</v>
      </c>
      <c r="L140" s="76">
        <f t="shared" ref="L140:L203" si="25">ROUND(F140*E140,2)</f>
        <v>0</v>
      </c>
      <c r="M140" s="75">
        <f t="shared" ref="M140:M203" si="26">ROUND(H140*E140,2)</f>
        <v>0</v>
      </c>
      <c r="N140" s="75">
        <f t="shared" ref="N140:N203" si="27">ROUND(I140*E140,2)</f>
        <v>0</v>
      </c>
      <c r="O140" s="75">
        <f t="shared" ref="O140:O203" si="28">ROUND(J140*E140,2)</f>
        <v>0</v>
      </c>
      <c r="P140" s="77">
        <f t="shared" ref="P140:P203" si="29">SUM(M140:O140)</f>
        <v>0</v>
      </c>
    </row>
    <row r="141" spans="1:16" s="61" customFormat="1" x14ac:dyDescent="0.2">
      <c r="A141" s="218">
        <v>35</v>
      </c>
      <c r="B141" s="219" t="s">
        <v>205</v>
      </c>
      <c r="C141" s="220" t="s">
        <v>270</v>
      </c>
      <c r="D141" s="67" t="s">
        <v>207</v>
      </c>
      <c r="E141" s="205">
        <f>35*2</f>
        <v>70</v>
      </c>
      <c r="F141" s="213"/>
      <c r="G141" s="148"/>
      <c r="H141" s="221"/>
      <c r="I141" s="221"/>
      <c r="J141" s="222"/>
      <c r="K141" s="75">
        <f t="shared" si="24"/>
        <v>0</v>
      </c>
      <c r="L141" s="76">
        <f t="shared" si="25"/>
        <v>0</v>
      </c>
      <c r="M141" s="75">
        <f t="shared" si="26"/>
        <v>0</v>
      </c>
      <c r="N141" s="75">
        <f t="shared" si="27"/>
        <v>0</v>
      </c>
      <c r="O141" s="75">
        <f t="shared" si="28"/>
        <v>0</v>
      </c>
      <c r="P141" s="77">
        <f t="shared" si="29"/>
        <v>0</v>
      </c>
    </row>
    <row r="142" spans="1:16" s="61" customFormat="1" x14ac:dyDescent="0.2">
      <c r="A142" s="202">
        <v>0</v>
      </c>
      <c r="B142" s="144"/>
      <c r="C142" s="207" t="s">
        <v>271</v>
      </c>
      <c r="D142" s="204"/>
      <c r="E142" s="205"/>
      <c r="F142" s="148"/>
      <c r="G142" s="148"/>
      <c r="H142" s="217"/>
      <c r="I142" s="217"/>
      <c r="J142" s="217"/>
      <c r="K142" s="75">
        <f t="shared" si="24"/>
        <v>0</v>
      </c>
      <c r="L142" s="76">
        <f t="shared" si="25"/>
        <v>0</v>
      </c>
      <c r="M142" s="75">
        <f t="shared" si="26"/>
        <v>0</v>
      </c>
      <c r="N142" s="75">
        <f t="shared" si="27"/>
        <v>0</v>
      </c>
      <c r="O142" s="75">
        <f t="shared" si="28"/>
        <v>0</v>
      </c>
      <c r="P142" s="77">
        <f t="shared" si="29"/>
        <v>0</v>
      </c>
    </row>
    <row r="143" spans="1:16" s="61" customFormat="1" ht="25.5" x14ac:dyDescent="0.2">
      <c r="A143" s="218">
        <v>36</v>
      </c>
      <c r="B143" s="219" t="s">
        <v>205</v>
      </c>
      <c r="C143" s="220" t="s">
        <v>240</v>
      </c>
      <c r="D143" s="67" t="s">
        <v>207</v>
      </c>
      <c r="E143" s="205">
        <v>75.5</v>
      </c>
      <c r="F143" s="213"/>
      <c r="G143" s="148"/>
      <c r="H143" s="221"/>
      <c r="I143" s="221"/>
      <c r="J143" s="222"/>
      <c r="K143" s="75">
        <f t="shared" si="24"/>
        <v>0</v>
      </c>
      <c r="L143" s="76">
        <f t="shared" si="25"/>
        <v>0</v>
      </c>
      <c r="M143" s="75">
        <f t="shared" si="26"/>
        <v>0</v>
      </c>
      <c r="N143" s="75">
        <f t="shared" si="27"/>
        <v>0</v>
      </c>
      <c r="O143" s="75">
        <f t="shared" si="28"/>
        <v>0</v>
      </c>
      <c r="P143" s="77">
        <f t="shared" si="29"/>
        <v>0</v>
      </c>
    </row>
    <row r="144" spans="1:16" s="61" customFormat="1" x14ac:dyDescent="0.2">
      <c r="A144" s="218">
        <v>0</v>
      </c>
      <c r="B144" s="219">
        <v>0</v>
      </c>
      <c r="C144" s="125" t="s">
        <v>241</v>
      </c>
      <c r="D144" s="211" t="s">
        <v>199</v>
      </c>
      <c r="E144" s="205">
        <f>0.77*E143</f>
        <v>58.134999999999998</v>
      </c>
      <c r="F144" s="213"/>
      <c r="G144" s="213"/>
      <c r="H144" s="221"/>
      <c r="I144" s="221"/>
      <c r="J144" s="222"/>
      <c r="K144" s="75">
        <f t="shared" si="24"/>
        <v>0</v>
      </c>
      <c r="L144" s="76">
        <f t="shared" si="25"/>
        <v>0</v>
      </c>
      <c r="M144" s="75">
        <f t="shared" si="26"/>
        <v>0</v>
      </c>
      <c r="N144" s="75">
        <f t="shared" si="27"/>
        <v>0</v>
      </c>
      <c r="O144" s="75">
        <f t="shared" si="28"/>
        <v>0</v>
      </c>
      <c r="P144" s="77">
        <f t="shared" si="29"/>
        <v>0</v>
      </c>
    </row>
    <row r="145" spans="1:16" s="61" customFormat="1" x14ac:dyDescent="0.2">
      <c r="A145" s="218">
        <v>0</v>
      </c>
      <c r="B145" s="219">
        <v>0</v>
      </c>
      <c r="C145" s="125" t="s">
        <v>242</v>
      </c>
      <c r="D145" s="211" t="s">
        <v>199</v>
      </c>
      <c r="E145" s="205">
        <f>1.32*E143</f>
        <v>99.660000000000011</v>
      </c>
      <c r="F145" s="213"/>
      <c r="G145" s="213"/>
      <c r="H145" s="221"/>
      <c r="I145" s="221"/>
      <c r="J145" s="222"/>
      <c r="K145" s="75">
        <f t="shared" si="24"/>
        <v>0</v>
      </c>
      <c r="L145" s="76">
        <f t="shared" si="25"/>
        <v>0</v>
      </c>
      <c r="M145" s="75">
        <f t="shared" si="26"/>
        <v>0</v>
      </c>
      <c r="N145" s="75">
        <f t="shared" si="27"/>
        <v>0</v>
      </c>
      <c r="O145" s="75">
        <f t="shared" si="28"/>
        <v>0</v>
      </c>
      <c r="P145" s="77">
        <f t="shared" si="29"/>
        <v>0</v>
      </c>
    </row>
    <row r="146" spans="1:16" s="61" customFormat="1" x14ac:dyDescent="0.2">
      <c r="A146" s="218">
        <v>0</v>
      </c>
      <c r="B146" s="219">
        <v>0</v>
      </c>
      <c r="C146" s="125" t="s">
        <v>243</v>
      </c>
      <c r="D146" s="67" t="s">
        <v>210</v>
      </c>
      <c r="E146" s="205">
        <f>0.02*E143</f>
        <v>1.51</v>
      </c>
      <c r="F146" s="213"/>
      <c r="G146" s="213"/>
      <c r="H146" s="221"/>
      <c r="I146" s="221"/>
      <c r="J146" s="222"/>
      <c r="K146" s="75">
        <f t="shared" si="24"/>
        <v>0</v>
      </c>
      <c r="L146" s="76">
        <f t="shared" si="25"/>
        <v>0</v>
      </c>
      <c r="M146" s="75">
        <f t="shared" si="26"/>
        <v>0</v>
      </c>
      <c r="N146" s="75">
        <f t="shared" si="27"/>
        <v>0</v>
      </c>
      <c r="O146" s="75">
        <f t="shared" si="28"/>
        <v>0</v>
      </c>
      <c r="P146" s="77">
        <f t="shared" si="29"/>
        <v>0</v>
      </c>
    </row>
    <row r="147" spans="1:16" s="61" customFormat="1" x14ac:dyDescent="0.2">
      <c r="A147" s="218">
        <v>0</v>
      </c>
      <c r="B147" s="219">
        <v>0</v>
      </c>
      <c r="C147" s="125" t="s">
        <v>244</v>
      </c>
      <c r="D147" s="211" t="s">
        <v>199</v>
      </c>
      <c r="E147" s="205">
        <f>2.2*E143</f>
        <v>166.10000000000002</v>
      </c>
      <c r="F147" s="213"/>
      <c r="G147" s="213"/>
      <c r="H147" s="221"/>
      <c r="I147" s="221"/>
      <c r="J147" s="222"/>
      <c r="K147" s="75">
        <f t="shared" si="24"/>
        <v>0</v>
      </c>
      <c r="L147" s="76">
        <f t="shared" si="25"/>
        <v>0</v>
      </c>
      <c r="M147" s="75">
        <f t="shared" si="26"/>
        <v>0</v>
      </c>
      <c r="N147" s="75">
        <f t="shared" si="27"/>
        <v>0</v>
      </c>
      <c r="O147" s="75">
        <f t="shared" si="28"/>
        <v>0</v>
      </c>
      <c r="P147" s="77">
        <f t="shared" si="29"/>
        <v>0</v>
      </c>
    </row>
    <row r="148" spans="1:16" s="61" customFormat="1" x14ac:dyDescent="0.2">
      <c r="A148" s="218">
        <v>0</v>
      </c>
      <c r="B148" s="219"/>
      <c r="C148" s="125" t="s">
        <v>245</v>
      </c>
      <c r="D148" s="211" t="s">
        <v>207</v>
      </c>
      <c r="E148" s="205">
        <f>E143</f>
        <v>75.5</v>
      </c>
      <c r="F148" s="213"/>
      <c r="G148" s="213"/>
      <c r="H148" s="221"/>
      <c r="I148" s="221"/>
      <c r="J148" s="222"/>
      <c r="K148" s="75">
        <f t="shared" si="24"/>
        <v>0</v>
      </c>
      <c r="L148" s="76">
        <f t="shared" si="25"/>
        <v>0</v>
      </c>
      <c r="M148" s="75">
        <f t="shared" si="26"/>
        <v>0</v>
      </c>
      <c r="N148" s="75">
        <f t="shared" si="27"/>
        <v>0</v>
      </c>
      <c r="O148" s="75">
        <f t="shared" si="28"/>
        <v>0</v>
      </c>
      <c r="P148" s="77">
        <f t="shared" si="29"/>
        <v>0</v>
      </c>
    </row>
    <row r="149" spans="1:16" s="61" customFormat="1" ht="25.5" x14ac:dyDescent="0.2">
      <c r="A149" s="218">
        <v>37</v>
      </c>
      <c r="B149" s="219" t="s">
        <v>246</v>
      </c>
      <c r="C149" s="220" t="s">
        <v>247</v>
      </c>
      <c r="D149" s="67" t="s">
        <v>207</v>
      </c>
      <c r="E149" s="205">
        <v>75.5</v>
      </c>
      <c r="F149" s="213"/>
      <c r="G149" s="148"/>
      <c r="H149" s="221"/>
      <c r="I149" s="221"/>
      <c r="J149" s="222"/>
      <c r="K149" s="75">
        <f t="shared" si="24"/>
        <v>0</v>
      </c>
      <c r="L149" s="76">
        <f t="shared" si="25"/>
        <v>0</v>
      </c>
      <c r="M149" s="75">
        <f t="shared" si="26"/>
        <v>0</v>
      </c>
      <c r="N149" s="75">
        <f t="shared" si="27"/>
        <v>0</v>
      </c>
      <c r="O149" s="75">
        <f t="shared" si="28"/>
        <v>0</v>
      </c>
      <c r="P149" s="77">
        <f t="shared" si="29"/>
        <v>0</v>
      </c>
    </row>
    <row r="150" spans="1:16" s="61" customFormat="1" x14ac:dyDescent="0.2">
      <c r="A150" s="218">
        <v>0</v>
      </c>
      <c r="B150" s="219">
        <v>0</v>
      </c>
      <c r="C150" s="125" t="s">
        <v>248</v>
      </c>
      <c r="D150" s="67" t="s">
        <v>207</v>
      </c>
      <c r="E150" s="205">
        <f>1.05*E149</f>
        <v>79.275000000000006</v>
      </c>
      <c r="F150" s="213"/>
      <c r="G150" s="213"/>
      <c r="H150" s="221"/>
      <c r="I150" s="221"/>
      <c r="J150" s="222"/>
      <c r="K150" s="75">
        <f t="shared" si="24"/>
        <v>0</v>
      </c>
      <c r="L150" s="76">
        <f t="shared" si="25"/>
        <v>0</v>
      </c>
      <c r="M150" s="75">
        <f t="shared" si="26"/>
        <v>0</v>
      </c>
      <c r="N150" s="75">
        <f t="shared" si="27"/>
        <v>0</v>
      </c>
      <c r="O150" s="75">
        <f t="shared" si="28"/>
        <v>0</v>
      </c>
      <c r="P150" s="77">
        <f t="shared" si="29"/>
        <v>0</v>
      </c>
    </row>
    <row r="151" spans="1:16" s="61" customFormat="1" x14ac:dyDescent="0.2">
      <c r="A151" s="218">
        <v>38</v>
      </c>
      <c r="B151" s="219" t="s">
        <v>205</v>
      </c>
      <c r="C151" s="220" t="s">
        <v>270</v>
      </c>
      <c r="D151" s="67" t="s">
        <v>207</v>
      </c>
      <c r="E151" s="205">
        <v>75.5</v>
      </c>
      <c r="F151" s="213"/>
      <c r="G151" s="148"/>
      <c r="H151" s="221"/>
      <c r="I151" s="221"/>
      <c r="J151" s="222"/>
      <c r="K151" s="75">
        <f t="shared" si="24"/>
        <v>0</v>
      </c>
      <c r="L151" s="76">
        <f t="shared" si="25"/>
        <v>0</v>
      </c>
      <c r="M151" s="75">
        <f t="shared" si="26"/>
        <v>0</v>
      </c>
      <c r="N151" s="75">
        <f t="shared" si="27"/>
        <v>0</v>
      </c>
      <c r="O151" s="75">
        <f t="shared" si="28"/>
        <v>0</v>
      </c>
      <c r="P151" s="77">
        <f t="shared" si="29"/>
        <v>0</v>
      </c>
    </row>
    <row r="152" spans="1:16" s="61" customFormat="1" x14ac:dyDescent="0.2">
      <c r="A152" s="202">
        <v>0</v>
      </c>
      <c r="B152" s="144"/>
      <c r="C152" s="207" t="s">
        <v>272</v>
      </c>
      <c r="D152" s="204"/>
      <c r="E152" s="205"/>
      <c r="F152" s="148"/>
      <c r="G152" s="148"/>
      <c r="H152" s="217"/>
      <c r="I152" s="217"/>
      <c r="J152" s="217"/>
      <c r="K152" s="75">
        <f t="shared" si="24"/>
        <v>0</v>
      </c>
      <c r="L152" s="76">
        <f t="shared" si="25"/>
        <v>0</v>
      </c>
      <c r="M152" s="75">
        <f t="shared" si="26"/>
        <v>0</v>
      </c>
      <c r="N152" s="75">
        <f t="shared" si="27"/>
        <v>0</v>
      </c>
      <c r="O152" s="75">
        <f t="shared" si="28"/>
        <v>0</v>
      </c>
      <c r="P152" s="77">
        <f t="shared" si="29"/>
        <v>0</v>
      </c>
    </row>
    <row r="153" spans="1:16" s="61" customFormat="1" x14ac:dyDescent="0.2">
      <c r="A153" s="208">
        <v>39</v>
      </c>
      <c r="B153" s="209" t="s">
        <v>194</v>
      </c>
      <c r="C153" s="210" t="s">
        <v>195</v>
      </c>
      <c r="D153" s="211" t="s">
        <v>115</v>
      </c>
      <c r="E153" s="205">
        <v>4.4000000000000004</v>
      </c>
      <c r="F153" s="212"/>
      <c r="G153" s="213"/>
      <c r="H153" s="214"/>
      <c r="I153" s="214"/>
      <c r="J153" s="214"/>
      <c r="K153" s="75">
        <f t="shared" si="24"/>
        <v>0</v>
      </c>
      <c r="L153" s="76">
        <f t="shared" si="25"/>
        <v>0</v>
      </c>
      <c r="M153" s="75">
        <f t="shared" si="26"/>
        <v>0</v>
      </c>
      <c r="N153" s="75">
        <f t="shared" si="27"/>
        <v>0</v>
      </c>
      <c r="O153" s="75">
        <f t="shared" si="28"/>
        <v>0</v>
      </c>
      <c r="P153" s="77">
        <f t="shared" si="29"/>
        <v>0</v>
      </c>
    </row>
    <row r="154" spans="1:16" s="61" customFormat="1" ht="15" x14ac:dyDescent="0.2">
      <c r="A154" s="208">
        <v>0</v>
      </c>
      <c r="B154" s="209">
        <v>0</v>
      </c>
      <c r="C154" s="215" t="s">
        <v>196</v>
      </c>
      <c r="D154" s="211" t="s">
        <v>115</v>
      </c>
      <c r="E154" s="205">
        <f>0.93*E153</f>
        <v>4.0920000000000005</v>
      </c>
      <c r="F154" s="212"/>
      <c r="G154" s="212"/>
      <c r="H154" s="214"/>
      <c r="I154" s="214"/>
      <c r="J154" s="214"/>
      <c r="K154" s="75">
        <f t="shared" si="24"/>
        <v>0</v>
      </c>
      <c r="L154" s="76">
        <f t="shared" si="25"/>
        <v>0</v>
      </c>
      <c r="M154" s="75">
        <f t="shared" si="26"/>
        <v>0</v>
      </c>
      <c r="N154" s="75">
        <f t="shared" si="27"/>
        <v>0</v>
      </c>
      <c r="O154" s="75">
        <f t="shared" si="28"/>
        <v>0</v>
      </c>
      <c r="P154" s="77">
        <f t="shared" si="29"/>
        <v>0</v>
      </c>
    </row>
    <row r="155" spans="1:16" s="61" customFormat="1" x14ac:dyDescent="0.2">
      <c r="A155" s="208">
        <v>0</v>
      </c>
      <c r="B155" s="209">
        <v>0</v>
      </c>
      <c r="C155" s="216" t="s">
        <v>197</v>
      </c>
      <c r="D155" s="211" t="s">
        <v>115</v>
      </c>
      <c r="E155" s="205">
        <f>0.15*E153</f>
        <v>0.66</v>
      </c>
      <c r="F155" s="212"/>
      <c r="G155" s="212"/>
      <c r="H155" s="214"/>
      <c r="I155" s="214"/>
      <c r="J155" s="214"/>
      <c r="K155" s="75">
        <f t="shared" si="24"/>
        <v>0</v>
      </c>
      <c r="L155" s="76">
        <f t="shared" si="25"/>
        <v>0</v>
      </c>
      <c r="M155" s="75">
        <f t="shared" si="26"/>
        <v>0</v>
      </c>
      <c r="N155" s="75">
        <f t="shared" si="27"/>
        <v>0</v>
      </c>
      <c r="O155" s="75">
        <f t="shared" si="28"/>
        <v>0</v>
      </c>
      <c r="P155" s="77">
        <f t="shared" si="29"/>
        <v>0</v>
      </c>
    </row>
    <row r="156" spans="1:16" s="61" customFormat="1" x14ac:dyDescent="0.2">
      <c r="A156" s="208">
        <v>0</v>
      </c>
      <c r="B156" s="209">
        <v>0</v>
      </c>
      <c r="C156" s="216" t="s">
        <v>198</v>
      </c>
      <c r="D156" s="211" t="s">
        <v>199</v>
      </c>
      <c r="E156" s="205">
        <f>E153/0.2*2.2</f>
        <v>48.400000000000006</v>
      </c>
      <c r="F156" s="212"/>
      <c r="G156" s="212"/>
      <c r="H156" s="214"/>
      <c r="I156" s="214"/>
      <c r="J156" s="214"/>
      <c r="K156" s="75">
        <f t="shared" si="24"/>
        <v>0</v>
      </c>
      <c r="L156" s="76">
        <f t="shared" si="25"/>
        <v>0</v>
      </c>
      <c r="M156" s="75">
        <f t="shared" si="26"/>
        <v>0</v>
      </c>
      <c r="N156" s="75">
        <f t="shared" si="27"/>
        <v>0</v>
      </c>
      <c r="O156" s="75">
        <f t="shared" si="28"/>
        <v>0</v>
      </c>
      <c r="P156" s="77">
        <f t="shared" si="29"/>
        <v>0</v>
      </c>
    </row>
    <row r="157" spans="1:16" s="61" customFormat="1" ht="25.5" x14ac:dyDescent="0.2">
      <c r="A157" s="218">
        <v>40</v>
      </c>
      <c r="B157" s="219" t="s">
        <v>205</v>
      </c>
      <c r="C157" s="220" t="s">
        <v>240</v>
      </c>
      <c r="D157" s="67" t="s">
        <v>207</v>
      </c>
      <c r="E157" s="205">
        <v>17.5</v>
      </c>
      <c r="F157" s="213"/>
      <c r="G157" s="148"/>
      <c r="H157" s="221"/>
      <c r="I157" s="221"/>
      <c r="J157" s="222"/>
      <c r="K157" s="75">
        <f t="shared" si="24"/>
        <v>0</v>
      </c>
      <c r="L157" s="76">
        <f t="shared" si="25"/>
        <v>0</v>
      </c>
      <c r="M157" s="75">
        <f t="shared" si="26"/>
        <v>0</v>
      </c>
      <c r="N157" s="75">
        <f t="shared" si="27"/>
        <v>0</v>
      </c>
      <c r="O157" s="75">
        <f t="shared" si="28"/>
        <v>0</v>
      </c>
      <c r="P157" s="77">
        <f t="shared" si="29"/>
        <v>0</v>
      </c>
    </row>
    <row r="158" spans="1:16" s="61" customFormat="1" x14ac:dyDescent="0.2">
      <c r="A158" s="218">
        <v>0</v>
      </c>
      <c r="B158" s="219">
        <v>0</v>
      </c>
      <c r="C158" s="125" t="s">
        <v>241</v>
      </c>
      <c r="D158" s="211" t="s">
        <v>199</v>
      </c>
      <c r="E158" s="205">
        <f>0.77*E157</f>
        <v>13.475</v>
      </c>
      <c r="F158" s="213"/>
      <c r="G158" s="213"/>
      <c r="H158" s="221"/>
      <c r="I158" s="221"/>
      <c r="J158" s="222"/>
      <c r="K158" s="75">
        <f t="shared" si="24"/>
        <v>0</v>
      </c>
      <c r="L158" s="76">
        <f t="shared" si="25"/>
        <v>0</v>
      </c>
      <c r="M158" s="75">
        <f t="shared" si="26"/>
        <v>0</v>
      </c>
      <c r="N158" s="75">
        <f t="shared" si="27"/>
        <v>0</v>
      </c>
      <c r="O158" s="75">
        <f t="shared" si="28"/>
        <v>0</v>
      </c>
      <c r="P158" s="77">
        <f t="shared" si="29"/>
        <v>0</v>
      </c>
    </row>
    <row r="159" spans="1:16" s="61" customFormat="1" x14ac:dyDescent="0.2">
      <c r="A159" s="218">
        <v>0</v>
      </c>
      <c r="B159" s="219">
        <v>0</v>
      </c>
      <c r="C159" s="125" t="s">
        <v>242</v>
      </c>
      <c r="D159" s="211" t="s">
        <v>199</v>
      </c>
      <c r="E159" s="205">
        <f>1.32*E157</f>
        <v>23.1</v>
      </c>
      <c r="F159" s="213"/>
      <c r="G159" s="213"/>
      <c r="H159" s="221"/>
      <c r="I159" s="221"/>
      <c r="J159" s="222"/>
      <c r="K159" s="75">
        <f t="shared" si="24"/>
        <v>0</v>
      </c>
      <c r="L159" s="76">
        <f t="shared" si="25"/>
        <v>0</v>
      </c>
      <c r="M159" s="75">
        <f t="shared" si="26"/>
        <v>0</v>
      </c>
      <c r="N159" s="75">
        <f t="shared" si="27"/>
        <v>0</v>
      </c>
      <c r="O159" s="75">
        <f t="shared" si="28"/>
        <v>0</v>
      </c>
      <c r="P159" s="77">
        <f t="shared" si="29"/>
        <v>0</v>
      </c>
    </row>
    <row r="160" spans="1:16" s="61" customFormat="1" x14ac:dyDescent="0.2">
      <c r="A160" s="218">
        <v>0</v>
      </c>
      <c r="B160" s="219">
        <v>0</v>
      </c>
      <c r="C160" s="125" t="s">
        <v>243</v>
      </c>
      <c r="D160" s="67" t="s">
        <v>210</v>
      </c>
      <c r="E160" s="205">
        <f>0.02*E157</f>
        <v>0.35000000000000003</v>
      </c>
      <c r="F160" s="213"/>
      <c r="G160" s="213"/>
      <c r="H160" s="221"/>
      <c r="I160" s="221"/>
      <c r="J160" s="222"/>
      <c r="K160" s="75">
        <f t="shared" si="24"/>
        <v>0</v>
      </c>
      <c r="L160" s="76">
        <f t="shared" si="25"/>
        <v>0</v>
      </c>
      <c r="M160" s="75">
        <f t="shared" si="26"/>
        <v>0</v>
      </c>
      <c r="N160" s="75">
        <f t="shared" si="27"/>
        <v>0</v>
      </c>
      <c r="O160" s="75">
        <f t="shared" si="28"/>
        <v>0</v>
      </c>
      <c r="P160" s="77">
        <f t="shared" si="29"/>
        <v>0</v>
      </c>
    </row>
    <row r="161" spans="1:16" s="61" customFormat="1" x14ac:dyDescent="0.2">
      <c r="A161" s="218">
        <v>0</v>
      </c>
      <c r="B161" s="219">
        <v>0</v>
      </c>
      <c r="C161" s="125" t="s">
        <v>244</v>
      </c>
      <c r="D161" s="211" t="s">
        <v>199</v>
      </c>
      <c r="E161" s="205">
        <f>2.2*E157</f>
        <v>38.5</v>
      </c>
      <c r="F161" s="213"/>
      <c r="G161" s="213"/>
      <c r="H161" s="221"/>
      <c r="I161" s="221"/>
      <c r="J161" s="222"/>
      <c r="K161" s="75">
        <f t="shared" si="24"/>
        <v>0</v>
      </c>
      <c r="L161" s="76">
        <f t="shared" si="25"/>
        <v>0</v>
      </c>
      <c r="M161" s="75">
        <f t="shared" si="26"/>
        <v>0</v>
      </c>
      <c r="N161" s="75">
        <f t="shared" si="27"/>
        <v>0</v>
      </c>
      <c r="O161" s="75">
        <f t="shared" si="28"/>
        <v>0</v>
      </c>
      <c r="P161" s="77">
        <f t="shared" si="29"/>
        <v>0</v>
      </c>
    </row>
    <row r="162" spans="1:16" s="61" customFormat="1" x14ac:dyDescent="0.2">
      <c r="A162" s="218">
        <v>0</v>
      </c>
      <c r="B162" s="219"/>
      <c r="C162" s="125" t="s">
        <v>245</v>
      </c>
      <c r="D162" s="211" t="s">
        <v>207</v>
      </c>
      <c r="E162" s="205">
        <f>E157</f>
        <v>17.5</v>
      </c>
      <c r="F162" s="213"/>
      <c r="G162" s="213"/>
      <c r="H162" s="221"/>
      <c r="I162" s="221"/>
      <c r="J162" s="222"/>
      <c r="K162" s="75">
        <f t="shared" si="24"/>
        <v>0</v>
      </c>
      <c r="L162" s="76">
        <f t="shared" si="25"/>
        <v>0</v>
      </c>
      <c r="M162" s="75">
        <f t="shared" si="26"/>
        <v>0</v>
      </c>
      <c r="N162" s="75">
        <f t="shared" si="27"/>
        <v>0</v>
      </c>
      <c r="O162" s="75">
        <f t="shared" si="28"/>
        <v>0</v>
      </c>
      <c r="P162" s="77">
        <f t="shared" si="29"/>
        <v>0</v>
      </c>
    </row>
    <row r="163" spans="1:16" s="61" customFormat="1" ht="25.5" x14ac:dyDescent="0.2">
      <c r="A163" s="218">
        <v>41</v>
      </c>
      <c r="B163" s="219" t="s">
        <v>246</v>
      </c>
      <c r="C163" s="220" t="s">
        <v>247</v>
      </c>
      <c r="D163" s="67" t="s">
        <v>207</v>
      </c>
      <c r="E163" s="205">
        <v>17.5</v>
      </c>
      <c r="F163" s="213"/>
      <c r="G163" s="148"/>
      <c r="H163" s="221"/>
      <c r="I163" s="221"/>
      <c r="J163" s="222"/>
      <c r="K163" s="75">
        <f t="shared" si="24"/>
        <v>0</v>
      </c>
      <c r="L163" s="76">
        <f t="shared" si="25"/>
        <v>0</v>
      </c>
      <c r="M163" s="75">
        <f t="shared" si="26"/>
        <v>0</v>
      </c>
      <c r="N163" s="75">
        <f t="shared" si="27"/>
        <v>0</v>
      </c>
      <c r="O163" s="75">
        <f t="shared" si="28"/>
        <v>0</v>
      </c>
      <c r="P163" s="77">
        <f t="shared" si="29"/>
        <v>0</v>
      </c>
    </row>
    <row r="164" spans="1:16" s="61" customFormat="1" x14ac:dyDescent="0.2">
      <c r="A164" s="218">
        <v>0</v>
      </c>
      <c r="B164" s="219">
        <v>0</v>
      </c>
      <c r="C164" s="125" t="s">
        <v>248</v>
      </c>
      <c r="D164" s="67" t="s">
        <v>207</v>
      </c>
      <c r="E164" s="205">
        <f>1.05*E163</f>
        <v>18.375</v>
      </c>
      <c r="F164" s="213"/>
      <c r="G164" s="213"/>
      <c r="H164" s="221"/>
      <c r="I164" s="221"/>
      <c r="J164" s="222"/>
      <c r="K164" s="75">
        <f t="shared" si="24"/>
        <v>0</v>
      </c>
      <c r="L164" s="76">
        <f t="shared" si="25"/>
        <v>0</v>
      </c>
      <c r="M164" s="75">
        <f t="shared" si="26"/>
        <v>0</v>
      </c>
      <c r="N164" s="75">
        <f t="shared" si="27"/>
        <v>0</v>
      </c>
      <c r="O164" s="75">
        <f t="shared" si="28"/>
        <v>0</v>
      </c>
      <c r="P164" s="77">
        <f t="shared" si="29"/>
        <v>0</v>
      </c>
    </row>
    <row r="165" spans="1:16" s="61" customFormat="1" x14ac:dyDescent="0.2">
      <c r="A165" s="218">
        <v>42</v>
      </c>
      <c r="B165" s="219" t="s">
        <v>205</v>
      </c>
      <c r="C165" s="220" t="s">
        <v>270</v>
      </c>
      <c r="D165" s="67" t="s">
        <v>207</v>
      </c>
      <c r="E165" s="205">
        <v>17.5</v>
      </c>
      <c r="F165" s="213"/>
      <c r="G165" s="148"/>
      <c r="H165" s="221"/>
      <c r="I165" s="221"/>
      <c r="J165" s="222"/>
      <c r="K165" s="75">
        <f t="shared" si="24"/>
        <v>0</v>
      </c>
      <c r="L165" s="76">
        <f t="shared" si="25"/>
        <v>0</v>
      </c>
      <c r="M165" s="75">
        <f t="shared" si="26"/>
        <v>0</v>
      </c>
      <c r="N165" s="75">
        <f t="shared" si="27"/>
        <v>0</v>
      </c>
      <c r="O165" s="75">
        <f t="shared" si="28"/>
        <v>0</v>
      </c>
      <c r="P165" s="77">
        <f t="shared" si="29"/>
        <v>0</v>
      </c>
    </row>
    <row r="166" spans="1:16" s="61" customFormat="1" x14ac:dyDescent="0.2">
      <c r="A166" s="202">
        <v>0</v>
      </c>
      <c r="B166" s="144"/>
      <c r="C166" s="207" t="s">
        <v>273</v>
      </c>
      <c r="D166" s="204"/>
      <c r="E166" s="205"/>
      <c r="F166" s="148"/>
      <c r="G166" s="148"/>
      <c r="H166" s="217"/>
      <c r="I166" s="217"/>
      <c r="J166" s="217"/>
      <c r="K166" s="75">
        <f t="shared" si="24"/>
        <v>0</v>
      </c>
      <c r="L166" s="76">
        <f t="shared" si="25"/>
        <v>0</v>
      </c>
      <c r="M166" s="75">
        <f t="shared" si="26"/>
        <v>0</v>
      </c>
      <c r="N166" s="75">
        <f t="shared" si="27"/>
        <v>0</v>
      </c>
      <c r="O166" s="75">
        <f t="shared" si="28"/>
        <v>0</v>
      </c>
      <c r="P166" s="77">
        <f t="shared" si="29"/>
        <v>0</v>
      </c>
    </row>
    <row r="167" spans="1:16" s="61" customFormat="1" x14ac:dyDescent="0.2">
      <c r="A167" s="208">
        <v>43</v>
      </c>
      <c r="B167" s="209" t="s">
        <v>194</v>
      </c>
      <c r="C167" s="210" t="s">
        <v>195</v>
      </c>
      <c r="D167" s="211" t="s">
        <v>115</v>
      </c>
      <c r="E167" s="205">
        <v>6.9</v>
      </c>
      <c r="F167" s="212"/>
      <c r="G167" s="213"/>
      <c r="H167" s="214"/>
      <c r="I167" s="214"/>
      <c r="J167" s="214"/>
      <c r="K167" s="75">
        <f t="shared" si="24"/>
        <v>0</v>
      </c>
      <c r="L167" s="76">
        <f t="shared" si="25"/>
        <v>0</v>
      </c>
      <c r="M167" s="75">
        <f t="shared" si="26"/>
        <v>0</v>
      </c>
      <c r="N167" s="75">
        <f t="shared" si="27"/>
        <v>0</v>
      </c>
      <c r="O167" s="75">
        <f t="shared" si="28"/>
        <v>0</v>
      </c>
      <c r="P167" s="77">
        <f t="shared" si="29"/>
        <v>0</v>
      </c>
    </row>
    <row r="168" spans="1:16" s="61" customFormat="1" ht="15" x14ac:dyDescent="0.2">
      <c r="A168" s="208">
        <v>0</v>
      </c>
      <c r="B168" s="209">
        <v>0</v>
      </c>
      <c r="C168" s="215" t="s">
        <v>196</v>
      </c>
      <c r="D168" s="211" t="s">
        <v>115</v>
      </c>
      <c r="E168" s="205">
        <f>0.93*E167</f>
        <v>6.4170000000000007</v>
      </c>
      <c r="F168" s="212"/>
      <c r="G168" s="212"/>
      <c r="H168" s="214"/>
      <c r="I168" s="214"/>
      <c r="J168" s="214"/>
      <c r="K168" s="75">
        <f t="shared" si="24"/>
        <v>0</v>
      </c>
      <c r="L168" s="76">
        <f t="shared" si="25"/>
        <v>0</v>
      </c>
      <c r="M168" s="75">
        <f t="shared" si="26"/>
        <v>0</v>
      </c>
      <c r="N168" s="75">
        <f t="shared" si="27"/>
        <v>0</v>
      </c>
      <c r="O168" s="75">
        <f t="shared" si="28"/>
        <v>0</v>
      </c>
      <c r="P168" s="77">
        <f t="shared" si="29"/>
        <v>0</v>
      </c>
    </row>
    <row r="169" spans="1:16" s="61" customFormat="1" x14ac:dyDescent="0.2">
      <c r="A169" s="208">
        <v>0</v>
      </c>
      <c r="B169" s="209">
        <v>0</v>
      </c>
      <c r="C169" s="216" t="s">
        <v>197</v>
      </c>
      <c r="D169" s="211" t="s">
        <v>115</v>
      </c>
      <c r="E169" s="205">
        <f>0.15*E167</f>
        <v>1.0349999999999999</v>
      </c>
      <c r="F169" s="212"/>
      <c r="G169" s="212"/>
      <c r="H169" s="214"/>
      <c r="I169" s="214"/>
      <c r="J169" s="214"/>
      <c r="K169" s="75">
        <f t="shared" si="24"/>
        <v>0</v>
      </c>
      <c r="L169" s="76">
        <f t="shared" si="25"/>
        <v>0</v>
      </c>
      <c r="M169" s="75">
        <f t="shared" si="26"/>
        <v>0</v>
      </c>
      <c r="N169" s="75">
        <f t="shared" si="27"/>
        <v>0</v>
      </c>
      <c r="O169" s="75">
        <f t="shared" si="28"/>
        <v>0</v>
      </c>
      <c r="P169" s="77">
        <f t="shared" si="29"/>
        <v>0</v>
      </c>
    </row>
    <row r="170" spans="1:16" s="61" customFormat="1" x14ac:dyDescent="0.2">
      <c r="A170" s="208">
        <v>0</v>
      </c>
      <c r="B170" s="209">
        <v>0</v>
      </c>
      <c r="C170" s="216" t="s">
        <v>198</v>
      </c>
      <c r="D170" s="211" t="s">
        <v>199</v>
      </c>
      <c r="E170" s="205">
        <f>E167/0.2*2.2</f>
        <v>75.900000000000006</v>
      </c>
      <c r="F170" s="212"/>
      <c r="G170" s="212"/>
      <c r="H170" s="214"/>
      <c r="I170" s="214"/>
      <c r="J170" s="214"/>
      <c r="K170" s="75">
        <f t="shared" si="24"/>
        <v>0</v>
      </c>
      <c r="L170" s="76">
        <f t="shared" si="25"/>
        <v>0</v>
      </c>
      <c r="M170" s="75">
        <f t="shared" si="26"/>
        <v>0</v>
      </c>
      <c r="N170" s="75">
        <f t="shared" si="27"/>
        <v>0</v>
      </c>
      <c r="O170" s="75">
        <f t="shared" si="28"/>
        <v>0</v>
      </c>
      <c r="P170" s="77">
        <f t="shared" si="29"/>
        <v>0</v>
      </c>
    </row>
    <row r="171" spans="1:16" s="61" customFormat="1" ht="25.5" x14ac:dyDescent="0.2">
      <c r="A171" s="218">
        <v>44</v>
      </c>
      <c r="B171" s="219" t="s">
        <v>205</v>
      </c>
      <c r="C171" s="220" t="s">
        <v>268</v>
      </c>
      <c r="D171" s="67" t="s">
        <v>207</v>
      </c>
      <c r="E171" s="205">
        <v>45</v>
      </c>
      <c r="F171" s="213"/>
      <c r="G171" s="148"/>
      <c r="H171" s="221"/>
      <c r="I171" s="221"/>
      <c r="J171" s="222"/>
      <c r="K171" s="75">
        <f t="shared" si="24"/>
        <v>0</v>
      </c>
      <c r="L171" s="76">
        <f t="shared" si="25"/>
        <v>0</v>
      </c>
      <c r="M171" s="75">
        <f t="shared" si="26"/>
        <v>0</v>
      </c>
      <c r="N171" s="75">
        <f t="shared" si="27"/>
        <v>0</v>
      </c>
      <c r="O171" s="75">
        <f t="shared" si="28"/>
        <v>0</v>
      </c>
      <c r="P171" s="77">
        <f t="shared" si="29"/>
        <v>0</v>
      </c>
    </row>
    <row r="172" spans="1:16" s="61" customFormat="1" ht="25.5" x14ac:dyDescent="0.2">
      <c r="A172" s="218">
        <v>45</v>
      </c>
      <c r="B172" s="219" t="s">
        <v>246</v>
      </c>
      <c r="C172" s="220" t="s">
        <v>247</v>
      </c>
      <c r="D172" s="67" t="s">
        <v>207</v>
      </c>
      <c r="E172" s="205">
        <v>45</v>
      </c>
      <c r="F172" s="213"/>
      <c r="G172" s="148"/>
      <c r="H172" s="221"/>
      <c r="I172" s="221"/>
      <c r="J172" s="222"/>
      <c r="K172" s="75">
        <f t="shared" si="24"/>
        <v>0</v>
      </c>
      <c r="L172" s="76">
        <f t="shared" si="25"/>
        <v>0</v>
      </c>
      <c r="M172" s="75">
        <f t="shared" si="26"/>
        <v>0</v>
      </c>
      <c r="N172" s="75">
        <f t="shared" si="27"/>
        <v>0</v>
      </c>
      <c r="O172" s="75">
        <f t="shared" si="28"/>
        <v>0</v>
      </c>
      <c r="P172" s="77">
        <f t="shared" si="29"/>
        <v>0</v>
      </c>
    </row>
    <row r="173" spans="1:16" s="61" customFormat="1" x14ac:dyDescent="0.2">
      <c r="A173" s="218">
        <v>0</v>
      </c>
      <c r="B173" s="219">
        <v>0</v>
      </c>
      <c r="C173" s="125" t="s">
        <v>265</v>
      </c>
      <c r="D173" s="67" t="s">
        <v>207</v>
      </c>
      <c r="E173" s="205">
        <f>1.05*E172</f>
        <v>47.25</v>
      </c>
      <c r="F173" s="213"/>
      <c r="G173" s="213"/>
      <c r="H173" s="221"/>
      <c r="I173" s="221"/>
      <c r="J173" s="222"/>
      <c r="K173" s="75">
        <f t="shared" si="24"/>
        <v>0</v>
      </c>
      <c r="L173" s="76">
        <f t="shared" si="25"/>
        <v>0</v>
      </c>
      <c r="M173" s="75">
        <f t="shared" si="26"/>
        <v>0</v>
      </c>
      <c r="N173" s="75">
        <f t="shared" si="27"/>
        <v>0</v>
      </c>
      <c r="O173" s="75">
        <f t="shared" si="28"/>
        <v>0</v>
      </c>
      <c r="P173" s="77">
        <f t="shared" si="29"/>
        <v>0</v>
      </c>
    </row>
    <row r="174" spans="1:16" s="61" customFormat="1" x14ac:dyDescent="0.2">
      <c r="A174" s="218">
        <v>46</v>
      </c>
      <c r="B174" s="219" t="s">
        <v>205</v>
      </c>
      <c r="C174" s="220" t="s">
        <v>266</v>
      </c>
      <c r="D174" s="67" t="s">
        <v>207</v>
      </c>
      <c r="E174" s="205">
        <v>45</v>
      </c>
      <c r="F174" s="213"/>
      <c r="G174" s="148"/>
      <c r="H174" s="221"/>
      <c r="I174" s="221"/>
      <c r="J174" s="222"/>
      <c r="K174" s="75">
        <f t="shared" si="24"/>
        <v>0</v>
      </c>
      <c r="L174" s="76">
        <f t="shared" si="25"/>
        <v>0</v>
      </c>
      <c r="M174" s="75">
        <f t="shared" si="26"/>
        <v>0</v>
      </c>
      <c r="N174" s="75">
        <f t="shared" si="27"/>
        <v>0</v>
      </c>
      <c r="O174" s="75">
        <f t="shared" si="28"/>
        <v>0</v>
      </c>
      <c r="P174" s="77">
        <f t="shared" si="29"/>
        <v>0</v>
      </c>
    </row>
    <row r="175" spans="1:16" s="61" customFormat="1" x14ac:dyDescent="0.2">
      <c r="A175" s="218">
        <v>0</v>
      </c>
      <c r="B175" s="219">
        <v>0</v>
      </c>
      <c r="C175" s="125" t="s">
        <v>252</v>
      </c>
      <c r="D175" s="67" t="s">
        <v>207</v>
      </c>
      <c r="E175" s="205">
        <f>1.05*E174</f>
        <v>47.25</v>
      </c>
      <c r="F175" s="213"/>
      <c r="G175" s="213"/>
      <c r="H175" s="221"/>
      <c r="I175" s="221"/>
      <c r="J175" s="222"/>
      <c r="K175" s="75">
        <f t="shared" si="24"/>
        <v>0</v>
      </c>
      <c r="L175" s="76">
        <f t="shared" si="25"/>
        <v>0</v>
      </c>
      <c r="M175" s="75">
        <f t="shared" si="26"/>
        <v>0</v>
      </c>
      <c r="N175" s="75">
        <f t="shared" si="27"/>
        <v>0</v>
      </c>
      <c r="O175" s="75">
        <f t="shared" si="28"/>
        <v>0</v>
      </c>
      <c r="P175" s="77">
        <f t="shared" si="29"/>
        <v>0</v>
      </c>
    </row>
    <row r="176" spans="1:16" s="61" customFormat="1" x14ac:dyDescent="0.2">
      <c r="A176" s="218">
        <v>0</v>
      </c>
      <c r="B176" s="219">
        <v>0</v>
      </c>
      <c r="C176" s="125" t="s">
        <v>250</v>
      </c>
      <c r="D176" s="67" t="s">
        <v>210</v>
      </c>
      <c r="E176" s="205">
        <f>0.16*E174</f>
        <v>7.2</v>
      </c>
      <c r="F176" s="213"/>
      <c r="G176" s="213"/>
      <c r="H176" s="221"/>
      <c r="I176" s="221"/>
      <c r="J176" s="222"/>
      <c r="K176" s="75">
        <f t="shared" si="24"/>
        <v>0</v>
      </c>
      <c r="L176" s="76">
        <f t="shared" si="25"/>
        <v>0</v>
      </c>
      <c r="M176" s="75">
        <f t="shared" si="26"/>
        <v>0</v>
      </c>
      <c r="N176" s="75">
        <f t="shared" si="27"/>
        <v>0</v>
      </c>
      <c r="O176" s="75">
        <f t="shared" si="28"/>
        <v>0</v>
      </c>
      <c r="P176" s="77">
        <f t="shared" si="29"/>
        <v>0</v>
      </c>
    </row>
    <row r="177" spans="1:16" s="61" customFormat="1" x14ac:dyDescent="0.2">
      <c r="A177" s="202">
        <v>0</v>
      </c>
      <c r="B177" s="144"/>
      <c r="C177" s="207" t="s">
        <v>274</v>
      </c>
      <c r="D177" s="204"/>
      <c r="E177" s="205"/>
      <c r="F177" s="148"/>
      <c r="G177" s="148"/>
      <c r="H177" s="217"/>
      <c r="I177" s="217"/>
      <c r="J177" s="217"/>
      <c r="K177" s="75">
        <f t="shared" si="24"/>
        <v>0</v>
      </c>
      <c r="L177" s="76">
        <f t="shared" si="25"/>
        <v>0</v>
      </c>
      <c r="M177" s="75">
        <f t="shared" si="26"/>
        <v>0</v>
      </c>
      <c r="N177" s="75">
        <f t="shared" si="27"/>
        <v>0</v>
      </c>
      <c r="O177" s="75">
        <f t="shared" si="28"/>
        <v>0</v>
      </c>
      <c r="P177" s="77">
        <f t="shared" si="29"/>
        <v>0</v>
      </c>
    </row>
    <row r="178" spans="1:16" s="61" customFormat="1" ht="25.5" x14ac:dyDescent="0.2">
      <c r="A178" s="218">
        <v>47</v>
      </c>
      <c r="B178" s="219" t="s">
        <v>205</v>
      </c>
      <c r="C178" s="220" t="s">
        <v>240</v>
      </c>
      <c r="D178" s="67" t="s">
        <v>207</v>
      </c>
      <c r="E178" s="205">
        <v>50</v>
      </c>
      <c r="F178" s="213"/>
      <c r="G178" s="148"/>
      <c r="H178" s="221"/>
      <c r="I178" s="221"/>
      <c r="J178" s="222"/>
      <c r="K178" s="75">
        <f t="shared" si="24"/>
        <v>0</v>
      </c>
      <c r="L178" s="76">
        <f t="shared" si="25"/>
        <v>0</v>
      </c>
      <c r="M178" s="75">
        <f t="shared" si="26"/>
        <v>0</v>
      </c>
      <c r="N178" s="75">
        <f t="shared" si="27"/>
        <v>0</v>
      </c>
      <c r="O178" s="75">
        <f t="shared" si="28"/>
        <v>0</v>
      </c>
      <c r="P178" s="77">
        <f t="shared" si="29"/>
        <v>0</v>
      </c>
    </row>
    <row r="179" spans="1:16" s="61" customFormat="1" ht="25.5" x14ac:dyDescent="0.2">
      <c r="A179" s="218">
        <v>48</v>
      </c>
      <c r="B179" s="219" t="s">
        <v>246</v>
      </c>
      <c r="C179" s="220" t="s">
        <v>247</v>
      </c>
      <c r="D179" s="67" t="s">
        <v>207</v>
      </c>
      <c r="E179" s="205">
        <v>50</v>
      </c>
      <c r="F179" s="213"/>
      <c r="G179" s="148"/>
      <c r="H179" s="221"/>
      <c r="I179" s="221"/>
      <c r="J179" s="222"/>
      <c r="K179" s="75">
        <f t="shared" si="24"/>
        <v>0</v>
      </c>
      <c r="L179" s="76">
        <f t="shared" si="25"/>
        <v>0</v>
      </c>
      <c r="M179" s="75">
        <f t="shared" si="26"/>
        <v>0</v>
      </c>
      <c r="N179" s="75">
        <f t="shared" si="27"/>
        <v>0</v>
      </c>
      <c r="O179" s="75">
        <f t="shared" si="28"/>
        <v>0</v>
      </c>
      <c r="P179" s="77">
        <f t="shared" si="29"/>
        <v>0</v>
      </c>
    </row>
    <row r="180" spans="1:16" s="61" customFormat="1" x14ac:dyDescent="0.2">
      <c r="A180" s="218">
        <v>0</v>
      </c>
      <c r="B180" s="219">
        <v>0</v>
      </c>
      <c r="C180" s="125" t="s">
        <v>248</v>
      </c>
      <c r="D180" s="67" t="s">
        <v>207</v>
      </c>
      <c r="E180" s="205">
        <f>1.05*E179</f>
        <v>52.5</v>
      </c>
      <c r="F180" s="213"/>
      <c r="G180" s="213"/>
      <c r="H180" s="221"/>
      <c r="I180" s="221"/>
      <c r="J180" s="222"/>
      <c r="K180" s="75">
        <f t="shared" si="24"/>
        <v>0</v>
      </c>
      <c r="L180" s="76">
        <f t="shared" si="25"/>
        <v>0</v>
      </c>
      <c r="M180" s="75">
        <f t="shared" si="26"/>
        <v>0</v>
      </c>
      <c r="N180" s="75">
        <f t="shared" si="27"/>
        <v>0</v>
      </c>
      <c r="O180" s="75">
        <f t="shared" si="28"/>
        <v>0</v>
      </c>
      <c r="P180" s="77">
        <f t="shared" si="29"/>
        <v>0</v>
      </c>
    </row>
    <row r="181" spans="1:16" s="61" customFormat="1" ht="25.5" x14ac:dyDescent="0.2">
      <c r="A181" s="218">
        <v>49</v>
      </c>
      <c r="B181" s="219" t="s">
        <v>205</v>
      </c>
      <c r="C181" s="220" t="s">
        <v>275</v>
      </c>
      <c r="D181" s="67" t="s">
        <v>207</v>
      </c>
      <c r="E181" s="205">
        <v>50</v>
      </c>
      <c r="F181" s="213"/>
      <c r="G181" s="148"/>
      <c r="H181" s="221"/>
      <c r="I181" s="221"/>
      <c r="J181" s="222"/>
      <c r="K181" s="75">
        <f t="shared" si="24"/>
        <v>0</v>
      </c>
      <c r="L181" s="76">
        <f t="shared" si="25"/>
        <v>0</v>
      </c>
      <c r="M181" s="75">
        <f t="shared" si="26"/>
        <v>0</v>
      </c>
      <c r="N181" s="75">
        <f t="shared" si="27"/>
        <v>0</v>
      </c>
      <c r="O181" s="75">
        <f t="shared" si="28"/>
        <v>0</v>
      </c>
      <c r="P181" s="77">
        <f t="shared" si="29"/>
        <v>0</v>
      </c>
    </row>
    <row r="182" spans="1:16" s="61" customFormat="1" x14ac:dyDescent="0.2">
      <c r="A182" s="202">
        <v>0</v>
      </c>
      <c r="B182" s="144"/>
      <c r="C182" s="207" t="s">
        <v>276</v>
      </c>
      <c r="D182" s="204"/>
      <c r="E182" s="205"/>
      <c r="F182" s="148"/>
      <c r="G182" s="148"/>
      <c r="H182" s="217"/>
      <c r="I182" s="217"/>
      <c r="J182" s="217"/>
      <c r="K182" s="75">
        <f t="shared" si="24"/>
        <v>0</v>
      </c>
      <c r="L182" s="76">
        <f t="shared" si="25"/>
        <v>0</v>
      </c>
      <c r="M182" s="75">
        <f t="shared" si="26"/>
        <v>0</v>
      </c>
      <c r="N182" s="75">
        <f t="shared" si="27"/>
        <v>0</v>
      </c>
      <c r="O182" s="75">
        <f t="shared" si="28"/>
        <v>0</v>
      </c>
      <c r="P182" s="77">
        <f t="shared" si="29"/>
        <v>0</v>
      </c>
    </row>
    <row r="183" spans="1:16" s="61" customFormat="1" x14ac:dyDescent="0.2">
      <c r="A183" s="218">
        <v>50</v>
      </c>
      <c r="B183" s="219" t="s">
        <v>194</v>
      </c>
      <c r="C183" s="242" t="s">
        <v>277</v>
      </c>
      <c r="D183" s="67" t="s">
        <v>207</v>
      </c>
      <c r="E183" s="205">
        <v>25</v>
      </c>
      <c r="F183" s="213"/>
      <c r="G183" s="148"/>
      <c r="H183" s="221"/>
      <c r="I183" s="221"/>
      <c r="J183" s="243"/>
      <c r="K183" s="75">
        <f t="shared" si="24"/>
        <v>0</v>
      </c>
      <c r="L183" s="76">
        <f t="shared" si="25"/>
        <v>0</v>
      </c>
      <c r="M183" s="75">
        <f t="shared" si="26"/>
        <v>0</v>
      </c>
      <c r="N183" s="75">
        <f t="shared" si="27"/>
        <v>0</v>
      </c>
      <c r="O183" s="75">
        <f t="shared" si="28"/>
        <v>0</v>
      </c>
      <c r="P183" s="77">
        <f t="shared" si="29"/>
        <v>0</v>
      </c>
    </row>
    <row r="184" spans="1:16" s="61" customFormat="1" ht="30" x14ac:dyDescent="0.25">
      <c r="A184" s="218">
        <v>0</v>
      </c>
      <c r="B184" s="219">
        <v>0</v>
      </c>
      <c r="C184" s="244" t="s">
        <v>278</v>
      </c>
      <c r="D184" s="67" t="s">
        <v>207</v>
      </c>
      <c r="E184" s="205">
        <f>E183</f>
        <v>25</v>
      </c>
      <c r="F184" s="213"/>
      <c r="G184" s="213"/>
      <c r="H184" s="221"/>
      <c r="I184" s="221"/>
      <c r="J184" s="243"/>
      <c r="K184" s="75">
        <f t="shared" si="24"/>
        <v>0</v>
      </c>
      <c r="L184" s="76">
        <f t="shared" si="25"/>
        <v>0</v>
      </c>
      <c r="M184" s="75">
        <f t="shared" si="26"/>
        <v>0</v>
      </c>
      <c r="N184" s="75">
        <f t="shared" si="27"/>
        <v>0</v>
      </c>
      <c r="O184" s="75">
        <f t="shared" si="28"/>
        <v>0</v>
      </c>
      <c r="P184" s="77">
        <f t="shared" si="29"/>
        <v>0</v>
      </c>
    </row>
    <row r="185" spans="1:16" s="61" customFormat="1" x14ac:dyDescent="0.2">
      <c r="A185" s="202">
        <v>0</v>
      </c>
      <c r="B185" s="144"/>
      <c r="C185" s="207" t="s">
        <v>111</v>
      </c>
      <c r="D185" s="204"/>
      <c r="E185" s="205"/>
      <c r="F185" s="148"/>
      <c r="G185" s="148"/>
      <c r="H185" s="217"/>
      <c r="I185" s="217"/>
      <c r="J185" s="217"/>
      <c r="K185" s="75">
        <f t="shared" si="24"/>
        <v>0</v>
      </c>
      <c r="L185" s="76">
        <f t="shared" si="25"/>
        <v>0</v>
      </c>
      <c r="M185" s="75">
        <f t="shared" si="26"/>
        <v>0</v>
      </c>
      <c r="N185" s="75">
        <f t="shared" si="27"/>
        <v>0</v>
      </c>
      <c r="O185" s="75">
        <f t="shared" si="28"/>
        <v>0</v>
      </c>
      <c r="P185" s="77">
        <f t="shared" si="29"/>
        <v>0</v>
      </c>
    </row>
    <row r="186" spans="1:16" s="61" customFormat="1" x14ac:dyDescent="0.2">
      <c r="A186" s="208">
        <v>51</v>
      </c>
      <c r="B186" s="209" t="s">
        <v>194</v>
      </c>
      <c r="C186" s="210" t="s">
        <v>279</v>
      </c>
      <c r="D186" s="211" t="s">
        <v>115</v>
      </c>
      <c r="E186" s="205">
        <v>23</v>
      </c>
      <c r="F186" s="212"/>
      <c r="G186" s="213"/>
      <c r="H186" s="214"/>
      <c r="I186" s="214"/>
      <c r="J186" s="214"/>
      <c r="K186" s="75">
        <f t="shared" si="24"/>
        <v>0</v>
      </c>
      <c r="L186" s="76">
        <f t="shared" si="25"/>
        <v>0</v>
      </c>
      <c r="M186" s="75">
        <f t="shared" si="26"/>
        <v>0</v>
      </c>
      <c r="N186" s="75">
        <f t="shared" si="27"/>
        <v>0</v>
      </c>
      <c r="O186" s="75">
        <f t="shared" si="28"/>
        <v>0</v>
      </c>
      <c r="P186" s="77">
        <f t="shared" si="29"/>
        <v>0</v>
      </c>
    </row>
    <row r="187" spans="1:16" s="61" customFormat="1" ht="15" x14ac:dyDescent="0.2">
      <c r="A187" s="208">
        <v>0</v>
      </c>
      <c r="B187" s="209">
        <v>0</v>
      </c>
      <c r="C187" s="215" t="s">
        <v>196</v>
      </c>
      <c r="D187" s="211" t="s">
        <v>115</v>
      </c>
      <c r="E187" s="205">
        <f>0.93*E186</f>
        <v>21.39</v>
      </c>
      <c r="F187" s="212"/>
      <c r="G187" s="212"/>
      <c r="H187" s="214"/>
      <c r="I187" s="214"/>
      <c r="J187" s="214"/>
      <c r="K187" s="75">
        <f t="shared" si="24"/>
        <v>0</v>
      </c>
      <c r="L187" s="76">
        <f t="shared" si="25"/>
        <v>0</v>
      </c>
      <c r="M187" s="75">
        <f t="shared" si="26"/>
        <v>0</v>
      </c>
      <c r="N187" s="75">
        <f t="shared" si="27"/>
        <v>0</v>
      </c>
      <c r="O187" s="75">
        <f t="shared" si="28"/>
        <v>0</v>
      </c>
      <c r="P187" s="77">
        <f t="shared" si="29"/>
        <v>0</v>
      </c>
    </row>
    <row r="188" spans="1:16" s="61" customFormat="1" x14ac:dyDescent="0.2">
      <c r="A188" s="208">
        <v>0</v>
      </c>
      <c r="B188" s="209">
        <v>0</v>
      </c>
      <c r="C188" s="216" t="s">
        <v>197</v>
      </c>
      <c r="D188" s="211" t="s">
        <v>115</v>
      </c>
      <c r="E188" s="205">
        <f>0.15*E186</f>
        <v>3.4499999999999997</v>
      </c>
      <c r="F188" s="212"/>
      <c r="G188" s="212"/>
      <c r="H188" s="214"/>
      <c r="I188" s="214"/>
      <c r="J188" s="214"/>
      <c r="K188" s="75">
        <f t="shared" si="24"/>
        <v>0</v>
      </c>
      <c r="L188" s="76">
        <f t="shared" si="25"/>
        <v>0</v>
      </c>
      <c r="M188" s="75">
        <f t="shared" si="26"/>
        <v>0</v>
      </c>
      <c r="N188" s="75">
        <f t="shared" si="27"/>
        <v>0</v>
      </c>
      <c r="O188" s="75">
        <f t="shared" si="28"/>
        <v>0</v>
      </c>
      <c r="P188" s="77">
        <f t="shared" si="29"/>
        <v>0</v>
      </c>
    </row>
    <row r="189" spans="1:16" s="61" customFormat="1" x14ac:dyDescent="0.2">
      <c r="A189" s="208">
        <v>0</v>
      </c>
      <c r="B189" s="209">
        <v>0</v>
      </c>
      <c r="C189" s="216" t="s">
        <v>198</v>
      </c>
      <c r="D189" s="211" t="s">
        <v>199</v>
      </c>
      <c r="E189" s="205">
        <f>E186/0.2*2.2</f>
        <v>253.00000000000003</v>
      </c>
      <c r="F189" s="212"/>
      <c r="G189" s="212"/>
      <c r="H189" s="214"/>
      <c r="I189" s="214"/>
      <c r="J189" s="214"/>
      <c r="K189" s="75">
        <f t="shared" si="24"/>
        <v>0</v>
      </c>
      <c r="L189" s="76">
        <f t="shared" si="25"/>
        <v>0</v>
      </c>
      <c r="M189" s="75">
        <f t="shared" si="26"/>
        <v>0</v>
      </c>
      <c r="N189" s="75">
        <f t="shared" si="27"/>
        <v>0</v>
      </c>
      <c r="O189" s="75">
        <f t="shared" si="28"/>
        <v>0</v>
      </c>
      <c r="P189" s="77">
        <f t="shared" si="29"/>
        <v>0</v>
      </c>
    </row>
    <row r="190" spans="1:16" s="61" customFormat="1" x14ac:dyDescent="0.2">
      <c r="A190" s="208">
        <v>52</v>
      </c>
      <c r="B190" s="209" t="s">
        <v>194</v>
      </c>
      <c r="C190" s="210" t="s">
        <v>280</v>
      </c>
      <c r="D190" s="211" t="s">
        <v>115</v>
      </c>
      <c r="E190" s="205">
        <v>13.3</v>
      </c>
      <c r="F190" s="212"/>
      <c r="G190" s="213"/>
      <c r="H190" s="214"/>
      <c r="I190" s="214"/>
      <c r="J190" s="214"/>
      <c r="K190" s="75">
        <f t="shared" si="24"/>
        <v>0</v>
      </c>
      <c r="L190" s="76">
        <f t="shared" si="25"/>
        <v>0</v>
      </c>
      <c r="M190" s="75">
        <f t="shared" si="26"/>
        <v>0</v>
      </c>
      <c r="N190" s="75">
        <f t="shared" si="27"/>
        <v>0</v>
      </c>
      <c r="O190" s="75">
        <f t="shared" si="28"/>
        <v>0</v>
      </c>
      <c r="P190" s="77">
        <f t="shared" si="29"/>
        <v>0</v>
      </c>
    </row>
    <row r="191" spans="1:16" s="61" customFormat="1" ht="15" x14ac:dyDescent="0.2">
      <c r="A191" s="208">
        <v>0</v>
      </c>
      <c r="B191" s="209">
        <v>0</v>
      </c>
      <c r="C191" s="215" t="s">
        <v>196</v>
      </c>
      <c r="D191" s="211" t="s">
        <v>115</v>
      </c>
      <c r="E191" s="205">
        <f>0.93*E190</f>
        <v>12.369000000000002</v>
      </c>
      <c r="F191" s="212"/>
      <c r="G191" s="212"/>
      <c r="H191" s="214"/>
      <c r="I191" s="214"/>
      <c r="J191" s="214"/>
      <c r="K191" s="75">
        <f t="shared" si="24"/>
        <v>0</v>
      </c>
      <c r="L191" s="76">
        <f t="shared" si="25"/>
        <v>0</v>
      </c>
      <c r="M191" s="75">
        <f t="shared" si="26"/>
        <v>0</v>
      </c>
      <c r="N191" s="75">
        <f t="shared" si="27"/>
        <v>0</v>
      </c>
      <c r="O191" s="75">
        <f t="shared" si="28"/>
        <v>0</v>
      </c>
      <c r="P191" s="77">
        <f t="shared" si="29"/>
        <v>0</v>
      </c>
    </row>
    <row r="192" spans="1:16" s="61" customFormat="1" x14ac:dyDescent="0.2">
      <c r="A192" s="208">
        <v>0</v>
      </c>
      <c r="B192" s="209">
        <v>0</v>
      </c>
      <c r="C192" s="216" t="s">
        <v>197</v>
      </c>
      <c r="D192" s="211" t="s">
        <v>115</v>
      </c>
      <c r="E192" s="205">
        <f>0.15*E190</f>
        <v>1.9950000000000001</v>
      </c>
      <c r="F192" s="212"/>
      <c r="G192" s="212"/>
      <c r="H192" s="214"/>
      <c r="I192" s="214"/>
      <c r="J192" s="214"/>
      <c r="K192" s="75">
        <f t="shared" si="24"/>
        <v>0</v>
      </c>
      <c r="L192" s="76">
        <f t="shared" si="25"/>
        <v>0</v>
      </c>
      <c r="M192" s="75">
        <f t="shared" si="26"/>
        <v>0</v>
      </c>
      <c r="N192" s="75">
        <f t="shared" si="27"/>
        <v>0</v>
      </c>
      <c r="O192" s="75">
        <f t="shared" si="28"/>
        <v>0</v>
      </c>
      <c r="P192" s="77">
        <f t="shared" si="29"/>
        <v>0</v>
      </c>
    </row>
    <row r="193" spans="1:16" s="61" customFormat="1" x14ac:dyDescent="0.2">
      <c r="A193" s="208">
        <v>0</v>
      </c>
      <c r="B193" s="209">
        <v>0</v>
      </c>
      <c r="C193" s="216" t="s">
        <v>198</v>
      </c>
      <c r="D193" s="211" t="s">
        <v>199</v>
      </c>
      <c r="E193" s="205">
        <f>E190/0.2*2.2</f>
        <v>146.30000000000001</v>
      </c>
      <c r="F193" s="212"/>
      <c r="G193" s="212"/>
      <c r="H193" s="214"/>
      <c r="I193" s="214"/>
      <c r="J193" s="214"/>
      <c r="K193" s="75">
        <f t="shared" si="24"/>
        <v>0</v>
      </c>
      <c r="L193" s="76">
        <f t="shared" si="25"/>
        <v>0</v>
      </c>
      <c r="M193" s="75">
        <f t="shared" si="26"/>
        <v>0</v>
      </c>
      <c r="N193" s="75">
        <f t="shared" si="27"/>
        <v>0</v>
      </c>
      <c r="O193" s="75">
        <f t="shared" si="28"/>
        <v>0</v>
      </c>
      <c r="P193" s="77">
        <f t="shared" si="29"/>
        <v>0</v>
      </c>
    </row>
    <row r="194" spans="1:16" s="61" customFormat="1" x14ac:dyDescent="0.2">
      <c r="A194" s="202">
        <v>0</v>
      </c>
      <c r="B194" s="144"/>
      <c r="C194" s="203" t="s">
        <v>281</v>
      </c>
      <c r="D194" s="204"/>
      <c r="E194" s="205"/>
      <c r="F194" s="148"/>
      <c r="G194" s="148"/>
      <c r="H194" s="206"/>
      <c r="I194" s="206"/>
      <c r="J194" s="206"/>
      <c r="K194" s="75">
        <f t="shared" si="24"/>
        <v>0</v>
      </c>
      <c r="L194" s="76">
        <f t="shared" si="25"/>
        <v>0</v>
      </c>
      <c r="M194" s="75">
        <f t="shared" si="26"/>
        <v>0</v>
      </c>
      <c r="N194" s="75">
        <f t="shared" si="27"/>
        <v>0</v>
      </c>
      <c r="O194" s="75">
        <f t="shared" si="28"/>
        <v>0</v>
      </c>
      <c r="P194" s="77">
        <f t="shared" si="29"/>
        <v>0</v>
      </c>
    </row>
    <row r="195" spans="1:16" s="61" customFormat="1" ht="31.5" x14ac:dyDescent="0.2">
      <c r="A195" s="362">
        <v>0</v>
      </c>
      <c r="B195" s="144"/>
      <c r="C195" s="145" t="s">
        <v>282</v>
      </c>
      <c r="D195" s="146"/>
      <c r="E195" s="147"/>
      <c r="F195" s="148"/>
      <c r="G195" s="148"/>
      <c r="H195" s="149"/>
      <c r="I195" s="149"/>
      <c r="J195" s="149"/>
      <c r="K195" s="75">
        <f t="shared" si="24"/>
        <v>0</v>
      </c>
      <c r="L195" s="76">
        <f t="shared" si="25"/>
        <v>0</v>
      </c>
      <c r="M195" s="75">
        <f t="shared" si="26"/>
        <v>0</v>
      </c>
      <c r="N195" s="75">
        <f t="shared" si="27"/>
        <v>0</v>
      </c>
      <c r="O195" s="75">
        <f t="shared" si="28"/>
        <v>0</v>
      </c>
      <c r="P195" s="77">
        <f t="shared" si="29"/>
        <v>0</v>
      </c>
    </row>
    <row r="196" spans="1:16" s="61" customFormat="1" x14ac:dyDescent="0.2">
      <c r="A196" s="155">
        <v>0</v>
      </c>
      <c r="B196" s="156"/>
      <c r="C196" s="197" t="s">
        <v>283</v>
      </c>
      <c r="D196" s="158"/>
      <c r="E196" s="158"/>
      <c r="F196" s="159"/>
      <c r="G196" s="159"/>
      <c r="H196" s="161"/>
      <c r="I196" s="161"/>
      <c r="J196" s="161"/>
      <c r="K196" s="75">
        <f t="shared" si="24"/>
        <v>0</v>
      </c>
      <c r="L196" s="76">
        <f t="shared" si="25"/>
        <v>0</v>
      </c>
      <c r="M196" s="75">
        <f t="shared" si="26"/>
        <v>0</v>
      </c>
      <c r="N196" s="75">
        <f t="shared" si="27"/>
        <v>0</v>
      </c>
      <c r="O196" s="75">
        <f t="shared" si="28"/>
        <v>0</v>
      </c>
      <c r="P196" s="77">
        <f t="shared" si="29"/>
        <v>0</v>
      </c>
    </row>
    <row r="197" spans="1:16" s="61" customFormat="1" ht="63.75" x14ac:dyDescent="0.2">
      <c r="A197" s="155">
        <v>53</v>
      </c>
      <c r="B197" s="156"/>
      <c r="C197" s="166" t="s">
        <v>284</v>
      </c>
      <c r="D197" s="158" t="s">
        <v>131</v>
      </c>
      <c r="E197" s="182">
        <f>651.2+331.3+676.8+19.3+236.2+157.1+49.2+18.31+230.1</f>
        <v>2369.5099999999998</v>
      </c>
      <c r="F197" s="158"/>
      <c r="G197" s="159"/>
      <c r="H197" s="161"/>
      <c r="I197" s="161"/>
      <c r="J197" s="161"/>
      <c r="K197" s="75">
        <f t="shared" si="24"/>
        <v>0</v>
      </c>
      <c r="L197" s="76">
        <f t="shared" si="25"/>
        <v>0</v>
      </c>
      <c r="M197" s="75">
        <f t="shared" si="26"/>
        <v>0</v>
      </c>
      <c r="N197" s="75">
        <f t="shared" si="27"/>
        <v>0</v>
      </c>
      <c r="O197" s="75">
        <f t="shared" si="28"/>
        <v>0</v>
      </c>
      <c r="P197" s="77">
        <f t="shared" si="29"/>
        <v>0</v>
      </c>
    </row>
    <row r="198" spans="1:16" s="61" customFormat="1" x14ac:dyDescent="0.2">
      <c r="A198" s="155">
        <v>0</v>
      </c>
      <c r="B198" s="156"/>
      <c r="C198" s="189" t="s">
        <v>146</v>
      </c>
      <c r="D198" s="190" t="s">
        <v>131</v>
      </c>
      <c r="E198" s="191">
        <f>E197*1.1</f>
        <v>2606.4609999999998</v>
      </c>
      <c r="F198" s="159"/>
      <c r="G198" s="159"/>
      <c r="H198" s="161"/>
      <c r="I198" s="161"/>
      <c r="J198" s="161"/>
      <c r="K198" s="75">
        <f t="shared" si="24"/>
        <v>0</v>
      </c>
      <c r="L198" s="76">
        <f t="shared" si="25"/>
        <v>0</v>
      </c>
      <c r="M198" s="75">
        <f t="shared" si="26"/>
        <v>0</v>
      </c>
      <c r="N198" s="75">
        <f t="shared" si="27"/>
        <v>0</v>
      </c>
      <c r="O198" s="75">
        <f t="shared" si="28"/>
        <v>0</v>
      </c>
      <c r="P198" s="77">
        <f t="shared" si="29"/>
        <v>0</v>
      </c>
    </row>
    <row r="199" spans="1:16" s="61" customFormat="1" ht="25.5" x14ac:dyDescent="0.2">
      <c r="A199" s="155">
        <v>0</v>
      </c>
      <c r="B199" s="156"/>
      <c r="C199" s="192" t="s">
        <v>147</v>
      </c>
      <c r="D199" s="158" t="s">
        <v>66</v>
      </c>
      <c r="E199" s="180">
        <v>1</v>
      </c>
      <c r="F199" s="190"/>
      <c r="G199" s="159"/>
      <c r="H199" s="161"/>
      <c r="I199" s="161"/>
      <c r="J199" s="161"/>
      <c r="K199" s="75">
        <f t="shared" si="24"/>
        <v>0</v>
      </c>
      <c r="L199" s="76">
        <f t="shared" si="25"/>
        <v>0</v>
      </c>
      <c r="M199" s="75">
        <f t="shared" si="26"/>
        <v>0</v>
      </c>
      <c r="N199" s="75">
        <f t="shared" si="27"/>
        <v>0</v>
      </c>
      <c r="O199" s="75">
        <f t="shared" si="28"/>
        <v>0</v>
      </c>
      <c r="P199" s="77">
        <f t="shared" si="29"/>
        <v>0</v>
      </c>
    </row>
    <row r="200" spans="1:16" s="61" customFormat="1" ht="38.25" x14ac:dyDescent="0.2">
      <c r="A200" s="155">
        <v>54</v>
      </c>
      <c r="B200" s="156"/>
      <c r="C200" s="245" t="s">
        <v>285</v>
      </c>
      <c r="D200" s="179" t="s">
        <v>83</v>
      </c>
      <c r="E200" s="184">
        <v>15</v>
      </c>
      <c r="F200" s="179"/>
      <c r="G200" s="184"/>
      <c r="H200" s="184"/>
      <c r="I200" s="184"/>
      <c r="J200" s="184"/>
      <c r="K200" s="75">
        <f t="shared" si="24"/>
        <v>0</v>
      </c>
      <c r="L200" s="76">
        <f t="shared" si="25"/>
        <v>0</v>
      </c>
      <c r="M200" s="75">
        <f t="shared" si="26"/>
        <v>0</v>
      </c>
      <c r="N200" s="75">
        <f t="shared" si="27"/>
        <v>0</v>
      </c>
      <c r="O200" s="75">
        <f t="shared" si="28"/>
        <v>0</v>
      </c>
      <c r="P200" s="77">
        <f t="shared" si="29"/>
        <v>0</v>
      </c>
    </row>
    <row r="201" spans="1:16" s="61" customFormat="1" x14ac:dyDescent="0.2">
      <c r="A201" s="155">
        <v>0</v>
      </c>
      <c r="B201" s="156"/>
      <c r="C201" s="246" t="s">
        <v>286</v>
      </c>
      <c r="D201" s="179" t="s">
        <v>83</v>
      </c>
      <c r="E201" s="184">
        <f>E200*1.05</f>
        <v>15.75</v>
      </c>
      <c r="F201" s="179"/>
      <c r="G201" s="184"/>
      <c r="H201" s="184"/>
      <c r="I201" s="184"/>
      <c r="J201" s="184"/>
      <c r="K201" s="75">
        <f t="shared" si="24"/>
        <v>0</v>
      </c>
      <c r="L201" s="76">
        <f t="shared" si="25"/>
        <v>0</v>
      </c>
      <c r="M201" s="75">
        <f t="shared" si="26"/>
        <v>0</v>
      </c>
      <c r="N201" s="75">
        <f t="shared" si="27"/>
        <v>0</v>
      </c>
      <c r="O201" s="75">
        <f t="shared" si="28"/>
        <v>0</v>
      </c>
      <c r="P201" s="77">
        <f t="shared" si="29"/>
        <v>0</v>
      </c>
    </row>
    <row r="202" spans="1:16" s="61" customFormat="1" x14ac:dyDescent="0.2">
      <c r="A202" s="155">
        <v>0</v>
      </c>
      <c r="B202" s="156"/>
      <c r="C202" s="246" t="s">
        <v>287</v>
      </c>
      <c r="D202" s="179" t="s">
        <v>131</v>
      </c>
      <c r="E202" s="184">
        <f>E200*6</f>
        <v>90</v>
      </c>
      <c r="F202" s="179"/>
      <c r="G202" s="184"/>
      <c r="H202" s="184"/>
      <c r="I202" s="184"/>
      <c r="J202" s="184"/>
      <c r="K202" s="75">
        <f t="shared" si="24"/>
        <v>0</v>
      </c>
      <c r="L202" s="76">
        <f t="shared" si="25"/>
        <v>0</v>
      </c>
      <c r="M202" s="75">
        <f t="shared" si="26"/>
        <v>0</v>
      </c>
      <c r="N202" s="75">
        <f t="shared" si="27"/>
        <v>0</v>
      </c>
      <c r="O202" s="75">
        <f t="shared" si="28"/>
        <v>0</v>
      </c>
      <c r="P202" s="77">
        <f t="shared" si="29"/>
        <v>0</v>
      </c>
    </row>
    <row r="203" spans="1:16" s="61" customFormat="1" x14ac:dyDescent="0.2">
      <c r="A203" s="155">
        <v>0</v>
      </c>
      <c r="B203" s="156"/>
      <c r="C203" s="246" t="s">
        <v>288</v>
      </c>
      <c r="D203" s="179" t="s">
        <v>78</v>
      </c>
      <c r="E203" s="184">
        <v>0.3</v>
      </c>
      <c r="F203" s="179"/>
      <c r="G203" s="184"/>
      <c r="H203" s="184"/>
      <c r="I203" s="184"/>
      <c r="J203" s="184"/>
      <c r="K203" s="75">
        <f t="shared" si="24"/>
        <v>0</v>
      </c>
      <c r="L203" s="76">
        <f t="shared" si="25"/>
        <v>0</v>
      </c>
      <c r="M203" s="75">
        <f t="shared" si="26"/>
        <v>0</v>
      </c>
      <c r="N203" s="75">
        <f t="shared" si="27"/>
        <v>0</v>
      </c>
      <c r="O203" s="75">
        <f t="shared" si="28"/>
        <v>0</v>
      </c>
      <c r="P203" s="77">
        <f t="shared" si="29"/>
        <v>0</v>
      </c>
    </row>
    <row r="204" spans="1:16" s="61" customFormat="1" ht="38.25" x14ac:dyDescent="0.2">
      <c r="A204" s="155">
        <v>55</v>
      </c>
      <c r="B204" s="156"/>
      <c r="C204" s="247" t="s">
        <v>289</v>
      </c>
      <c r="D204" s="158" t="s">
        <v>66</v>
      </c>
      <c r="E204" s="179">
        <v>1</v>
      </c>
      <c r="F204" s="190"/>
      <c r="G204" s="159"/>
      <c r="H204" s="184"/>
      <c r="I204" s="161"/>
      <c r="J204" s="161"/>
      <c r="K204" s="75">
        <f t="shared" ref="K204:K267" si="30">SUM(H204:J204)</f>
        <v>0</v>
      </c>
      <c r="L204" s="76">
        <f t="shared" ref="L204:L267" si="31">ROUND(F204*E204,2)</f>
        <v>0</v>
      </c>
      <c r="M204" s="75">
        <f t="shared" ref="M204:M267" si="32">ROUND(H204*E204,2)</f>
        <v>0</v>
      </c>
      <c r="N204" s="75">
        <f t="shared" ref="N204:N267" si="33">ROUND(I204*E204,2)</f>
        <v>0</v>
      </c>
      <c r="O204" s="75">
        <f t="shared" ref="O204:O267" si="34">ROUND(J204*E204,2)</f>
        <v>0</v>
      </c>
      <c r="P204" s="77">
        <f t="shared" ref="P204:P267" si="35">SUM(M204:O204)</f>
        <v>0</v>
      </c>
    </row>
    <row r="205" spans="1:16" s="61" customFormat="1" x14ac:dyDescent="0.2">
      <c r="A205" s="155">
        <v>56</v>
      </c>
      <c r="B205" s="156"/>
      <c r="C205" s="186" t="s">
        <v>290</v>
      </c>
      <c r="D205" s="158" t="s">
        <v>59</v>
      </c>
      <c r="E205" s="182">
        <v>1</v>
      </c>
      <c r="F205" s="179"/>
      <c r="G205" s="184"/>
      <c r="H205" s="184"/>
      <c r="I205" s="184"/>
      <c r="J205" s="184"/>
      <c r="K205" s="75">
        <f t="shared" si="30"/>
        <v>0</v>
      </c>
      <c r="L205" s="76">
        <f t="shared" si="31"/>
        <v>0</v>
      </c>
      <c r="M205" s="75">
        <f t="shared" si="32"/>
        <v>0</v>
      </c>
      <c r="N205" s="75">
        <f t="shared" si="33"/>
        <v>0</v>
      </c>
      <c r="O205" s="75">
        <f t="shared" si="34"/>
        <v>0</v>
      </c>
      <c r="P205" s="77">
        <f t="shared" si="35"/>
        <v>0</v>
      </c>
    </row>
    <row r="206" spans="1:16" s="61" customFormat="1" ht="89.25" x14ac:dyDescent="0.2">
      <c r="A206" s="155">
        <v>57</v>
      </c>
      <c r="B206" s="156"/>
      <c r="C206" s="176" t="s">
        <v>185</v>
      </c>
      <c r="D206" s="158" t="s">
        <v>131</v>
      </c>
      <c r="E206" s="164">
        <v>8.5</v>
      </c>
      <c r="F206" s="177"/>
      <c r="G206" s="159"/>
      <c r="H206" s="161"/>
      <c r="I206" s="161"/>
      <c r="J206" s="161"/>
      <c r="K206" s="75">
        <f t="shared" si="30"/>
        <v>0</v>
      </c>
      <c r="L206" s="76">
        <f t="shared" si="31"/>
        <v>0</v>
      </c>
      <c r="M206" s="75">
        <f t="shared" si="32"/>
        <v>0</v>
      </c>
      <c r="N206" s="75">
        <f t="shared" si="33"/>
        <v>0</v>
      </c>
      <c r="O206" s="75">
        <f t="shared" si="34"/>
        <v>0</v>
      </c>
      <c r="P206" s="77">
        <f t="shared" si="35"/>
        <v>0</v>
      </c>
    </row>
    <row r="207" spans="1:16" s="61" customFormat="1" x14ac:dyDescent="0.2">
      <c r="A207" s="155">
        <v>0</v>
      </c>
      <c r="B207" s="156"/>
      <c r="C207" s="178" t="s">
        <v>132</v>
      </c>
      <c r="D207" s="179" t="s">
        <v>131</v>
      </c>
      <c r="E207" s="180">
        <f>E206*1.15</f>
        <v>9.7749999999999986</v>
      </c>
      <c r="F207" s="159"/>
      <c r="G207" s="159"/>
      <c r="H207" s="161"/>
      <c r="I207" s="161"/>
      <c r="J207" s="161"/>
      <c r="K207" s="75">
        <f t="shared" si="30"/>
        <v>0</v>
      </c>
      <c r="L207" s="76">
        <f t="shared" si="31"/>
        <v>0</v>
      </c>
      <c r="M207" s="75">
        <f t="shared" si="32"/>
        <v>0</v>
      </c>
      <c r="N207" s="75">
        <f t="shared" si="33"/>
        <v>0</v>
      </c>
      <c r="O207" s="75">
        <f t="shared" si="34"/>
        <v>0</v>
      </c>
      <c r="P207" s="77">
        <f t="shared" si="35"/>
        <v>0</v>
      </c>
    </row>
    <row r="208" spans="1:16" s="61" customFormat="1" ht="25.5" x14ac:dyDescent="0.2">
      <c r="A208" s="155">
        <v>0</v>
      </c>
      <c r="B208" s="156"/>
      <c r="C208" s="181" t="s">
        <v>133</v>
      </c>
      <c r="D208" s="158" t="s">
        <v>66</v>
      </c>
      <c r="E208" s="182">
        <v>1</v>
      </c>
      <c r="F208" s="159"/>
      <c r="G208" s="159"/>
      <c r="H208" s="161"/>
      <c r="I208" s="161"/>
      <c r="J208" s="161"/>
      <c r="K208" s="75">
        <f t="shared" si="30"/>
        <v>0</v>
      </c>
      <c r="L208" s="76">
        <f t="shared" si="31"/>
        <v>0</v>
      </c>
      <c r="M208" s="75">
        <f t="shared" si="32"/>
        <v>0</v>
      </c>
      <c r="N208" s="75">
        <f t="shared" si="33"/>
        <v>0</v>
      </c>
      <c r="O208" s="75">
        <f t="shared" si="34"/>
        <v>0</v>
      </c>
      <c r="P208" s="77">
        <f t="shared" si="35"/>
        <v>0</v>
      </c>
    </row>
    <row r="209" spans="1:16" s="61" customFormat="1" ht="38.25" x14ac:dyDescent="0.2">
      <c r="A209" s="155">
        <v>58</v>
      </c>
      <c r="B209" s="156"/>
      <c r="C209" s="176" t="s">
        <v>291</v>
      </c>
      <c r="D209" s="179" t="s">
        <v>78</v>
      </c>
      <c r="E209" s="164">
        <v>0.13</v>
      </c>
      <c r="F209" s="159"/>
      <c r="G209" s="159"/>
      <c r="H209" s="161"/>
      <c r="I209" s="161"/>
      <c r="J209" s="161"/>
      <c r="K209" s="75">
        <f t="shared" si="30"/>
        <v>0</v>
      </c>
      <c r="L209" s="76">
        <f t="shared" si="31"/>
        <v>0</v>
      </c>
      <c r="M209" s="75">
        <f t="shared" si="32"/>
        <v>0</v>
      </c>
      <c r="N209" s="75">
        <f t="shared" si="33"/>
        <v>0</v>
      </c>
      <c r="O209" s="75">
        <f t="shared" si="34"/>
        <v>0</v>
      </c>
      <c r="P209" s="77">
        <f t="shared" si="35"/>
        <v>0</v>
      </c>
    </row>
    <row r="210" spans="1:16" s="61" customFormat="1" x14ac:dyDescent="0.2">
      <c r="A210" s="155">
        <v>0</v>
      </c>
      <c r="B210" s="156"/>
      <c r="C210" s="183" t="s">
        <v>158</v>
      </c>
      <c r="D210" s="179" t="s">
        <v>78</v>
      </c>
      <c r="E210" s="184">
        <f>E209*1.05</f>
        <v>0.13650000000000001</v>
      </c>
      <c r="F210" s="185"/>
      <c r="G210" s="159"/>
      <c r="H210" s="161"/>
      <c r="I210" s="161"/>
      <c r="J210" s="161"/>
      <c r="K210" s="75">
        <f t="shared" si="30"/>
        <v>0</v>
      </c>
      <c r="L210" s="76">
        <f t="shared" si="31"/>
        <v>0</v>
      </c>
      <c r="M210" s="75">
        <f t="shared" si="32"/>
        <v>0</v>
      </c>
      <c r="N210" s="75">
        <f t="shared" si="33"/>
        <v>0</v>
      </c>
      <c r="O210" s="75">
        <f t="shared" si="34"/>
        <v>0</v>
      </c>
      <c r="P210" s="77">
        <f t="shared" si="35"/>
        <v>0</v>
      </c>
    </row>
    <row r="211" spans="1:16" s="61" customFormat="1" x14ac:dyDescent="0.2">
      <c r="A211" s="155">
        <v>0</v>
      </c>
      <c r="B211" s="156"/>
      <c r="C211" s="192"/>
      <c r="D211" s="158"/>
      <c r="E211" s="179"/>
      <c r="F211" s="190"/>
      <c r="G211" s="159"/>
      <c r="H211" s="161"/>
      <c r="I211" s="161"/>
      <c r="J211" s="161"/>
      <c r="K211" s="75">
        <f t="shared" si="30"/>
        <v>0</v>
      </c>
      <c r="L211" s="76">
        <f t="shared" si="31"/>
        <v>0</v>
      </c>
      <c r="M211" s="75">
        <f t="shared" si="32"/>
        <v>0</v>
      </c>
      <c r="N211" s="75">
        <f t="shared" si="33"/>
        <v>0</v>
      </c>
      <c r="O211" s="75">
        <f t="shared" si="34"/>
        <v>0</v>
      </c>
      <c r="P211" s="77">
        <f t="shared" si="35"/>
        <v>0</v>
      </c>
    </row>
    <row r="212" spans="1:16" s="61" customFormat="1" ht="31.5" x14ac:dyDescent="0.2">
      <c r="A212" s="362">
        <v>0</v>
      </c>
      <c r="B212" s="144"/>
      <c r="C212" s="145" t="s">
        <v>292</v>
      </c>
      <c r="D212" s="146"/>
      <c r="E212" s="147"/>
      <c r="F212" s="148"/>
      <c r="G212" s="148"/>
      <c r="H212" s="149"/>
      <c r="I212" s="149"/>
      <c r="J212" s="149"/>
      <c r="K212" s="75">
        <f t="shared" si="30"/>
        <v>0</v>
      </c>
      <c r="L212" s="76">
        <f t="shared" si="31"/>
        <v>0</v>
      </c>
      <c r="M212" s="75">
        <f t="shared" si="32"/>
        <v>0</v>
      </c>
      <c r="N212" s="75">
        <f t="shared" si="33"/>
        <v>0</v>
      </c>
      <c r="O212" s="75">
        <f t="shared" si="34"/>
        <v>0</v>
      </c>
      <c r="P212" s="77">
        <f t="shared" si="35"/>
        <v>0</v>
      </c>
    </row>
    <row r="213" spans="1:16" s="61" customFormat="1" x14ac:dyDescent="0.2">
      <c r="A213" s="155">
        <v>0</v>
      </c>
      <c r="B213" s="156"/>
      <c r="C213" s="376" t="s">
        <v>760</v>
      </c>
      <c r="D213" s="158"/>
      <c r="E213" s="158"/>
      <c r="F213" s="159"/>
      <c r="G213" s="159"/>
      <c r="H213" s="161"/>
      <c r="I213" s="161"/>
      <c r="J213" s="161"/>
      <c r="K213" s="75">
        <f t="shared" si="30"/>
        <v>0</v>
      </c>
      <c r="L213" s="76">
        <f t="shared" si="31"/>
        <v>0</v>
      </c>
      <c r="M213" s="75">
        <f t="shared" si="32"/>
        <v>0</v>
      </c>
      <c r="N213" s="75">
        <f t="shared" si="33"/>
        <v>0</v>
      </c>
      <c r="O213" s="75">
        <f t="shared" si="34"/>
        <v>0</v>
      </c>
      <c r="P213" s="77">
        <f t="shared" si="35"/>
        <v>0</v>
      </c>
    </row>
    <row r="214" spans="1:16" s="61" customFormat="1" ht="102" x14ac:dyDescent="0.2">
      <c r="A214" s="155">
        <v>59</v>
      </c>
      <c r="B214" s="156"/>
      <c r="C214" s="186" t="s">
        <v>293</v>
      </c>
      <c r="D214" s="158" t="s">
        <v>131</v>
      </c>
      <c r="E214" s="418">
        <v>1641.8</v>
      </c>
      <c r="F214" s="158"/>
      <c r="G214" s="159"/>
      <c r="H214" s="161"/>
      <c r="I214" s="161"/>
      <c r="J214" s="161"/>
      <c r="K214" s="75">
        <f t="shared" si="30"/>
        <v>0</v>
      </c>
      <c r="L214" s="76">
        <f t="shared" si="31"/>
        <v>0</v>
      </c>
      <c r="M214" s="75">
        <f t="shared" si="32"/>
        <v>0</v>
      </c>
      <c r="N214" s="75">
        <f t="shared" si="33"/>
        <v>0</v>
      </c>
      <c r="O214" s="75">
        <f t="shared" si="34"/>
        <v>0</v>
      </c>
      <c r="P214" s="77">
        <f t="shared" si="35"/>
        <v>0</v>
      </c>
    </row>
    <row r="215" spans="1:16" s="61" customFormat="1" x14ac:dyDescent="0.2">
      <c r="A215" s="155">
        <v>0</v>
      </c>
      <c r="B215" s="156"/>
      <c r="C215" s="189" t="s">
        <v>188</v>
      </c>
      <c r="D215" s="158" t="s">
        <v>131</v>
      </c>
      <c r="E215" s="184">
        <f>E214*1.1</f>
        <v>1805.98</v>
      </c>
      <c r="F215" s="190"/>
      <c r="G215" s="159"/>
      <c r="H215" s="161"/>
      <c r="I215" s="161"/>
      <c r="J215" s="161"/>
      <c r="K215" s="75">
        <f t="shared" si="30"/>
        <v>0</v>
      </c>
      <c r="L215" s="76">
        <f t="shared" si="31"/>
        <v>0</v>
      </c>
      <c r="M215" s="75">
        <f t="shared" si="32"/>
        <v>0</v>
      </c>
      <c r="N215" s="75">
        <f t="shared" si="33"/>
        <v>0</v>
      </c>
      <c r="O215" s="75">
        <f t="shared" si="34"/>
        <v>0</v>
      </c>
      <c r="P215" s="77">
        <f t="shared" si="35"/>
        <v>0</v>
      </c>
    </row>
    <row r="216" spans="1:16" s="61" customFormat="1" x14ac:dyDescent="0.2">
      <c r="A216" s="155">
        <v>0</v>
      </c>
      <c r="B216" s="156"/>
      <c r="C216" s="192" t="s">
        <v>189</v>
      </c>
      <c r="D216" s="158" t="s">
        <v>66</v>
      </c>
      <c r="E216" s="179">
        <v>1</v>
      </c>
      <c r="F216" s="190"/>
      <c r="G216" s="159"/>
      <c r="H216" s="161"/>
      <c r="I216" s="161"/>
      <c r="J216" s="161"/>
      <c r="K216" s="75">
        <f t="shared" si="30"/>
        <v>0</v>
      </c>
      <c r="L216" s="76">
        <f t="shared" si="31"/>
        <v>0</v>
      </c>
      <c r="M216" s="75">
        <f t="shared" si="32"/>
        <v>0</v>
      </c>
      <c r="N216" s="75">
        <f t="shared" si="33"/>
        <v>0</v>
      </c>
      <c r="O216" s="75">
        <f t="shared" si="34"/>
        <v>0</v>
      </c>
      <c r="P216" s="77">
        <f t="shared" si="35"/>
        <v>0</v>
      </c>
    </row>
    <row r="217" spans="1:16" s="61" customFormat="1" ht="38.25" x14ac:dyDescent="0.2">
      <c r="A217" s="155">
        <v>60</v>
      </c>
      <c r="B217" s="248"/>
      <c r="C217" s="245" t="s">
        <v>285</v>
      </c>
      <c r="D217" s="179" t="s">
        <v>83</v>
      </c>
      <c r="E217" s="184">
        <v>11</v>
      </c>
      <c r="F217" s="179"/>
      <c r="G217" s="184"/>
      <c r="H217" s="184"/>
      <c r="I217" s="184"/>
      <c r="J217" s="184"/>
      <c r="K217" s="75">
        <f t="shared" si="30"/>
        <v>0</v>
      </c>
      <c r="L217" s="76">
        <f t="shared" si="31"/>
        <v>0</v>
      </c>
      <c r="M217" s="75">
        <f t="shared" si="32"/>
        <v>0</v>
      </c>
      <c r="N217" s="75">
        <f t="shared" si="33"/>
        <v>0</v>
      </c>
      <c r="O217" s="75">
        <f t="shared" si="34"/>
        <v>0</v>
      </c>
      <c r="P217" s="77">
        <f t="shared" si="35"/>
        <v>0</v>
      </c>
    </row>
    <row r="218" spans="1:16" s="61" customFormat="1" x14ac:dyDescent="0.2">
      <c r="A218" s="155">
        <v>0</v>
      </c>
      <c r="B218" s="248"/>
      <c r="C218" s="246" t="s">
        <v>286</v>
      </c>
      <c r="D218" s="179" t="s">
        <v>83</v>
      </c>
      <c r="E218" s="184">
        <f>E217*1.05</f>
        <v>11.55</v>
      </c>
      <c r="F218" s="179"/>
      <c r="G218" s="184"/>
      <c r="H218" s="184"/>
      <c r="I218" s="184"/>
      <c r="J218" s="184"/>
      <c r="K218" s="75">
        <f t="shared" si="30"/>
        <v>0</v>
      </c>
      <c r="L218" s="76">
        <f t="shared" si="31"/>
        <v>0</v>
      </c>
      <c r="M218" s="75">
        <f t="shared" si="32"/>
        <v>0</v>
      </c>
      <c r="N218" s="75">
        <f t="shared" si="33"/>
        <v>0</v>
      </c>
      <c r="O218" s="75">
        <f t="shared" si="34"/>
        <v>0</v>
      </c>
      <c r="P218" s="77">
        <f t="shared" si="35"/>
        <v>0</v>
      </c>
    </row>
    <row r="219" spans="1:16" s="61" customFormat="1" x14ac:dyDescent="0.2">
      <c r="A219" s="155">
        <v>0</v>
      </c>
      <c r="B219" s="248"/>
      <c r="C219" s="246" t="s">
        <v>287</v>
      </c>
      <c r="D219" s="179" t="s">
        <v>131</v>
      </c>
      <c r="E219" s="184">
        <f>E217*6</f>
        <v>66</v>
      </c>
      <c r="F219" s="179"/>
      <c r="G219" s="184"/>
      <c r="H219" s="184"/>
      <c r="I219" s="184"/>
      <c r="J219" s="184"/>
      <c r="K219" s="75">
        <f t="shared" si="30"/>
        <v>0</v>
      </c>
      <c r="L219" s="76">
        <f t="shared" si="31"/>
        <v>0</v>
      </c>
      <c r="M219" s="75">
        <f t="shared" si="32"/>
        <v>0</v>
      </c>
      <c r="N219" s="75">
        <f t="shared" si="33"/>
        <v>0</v>
      </c>
      <c r="O219" s="75">
        <f t="shared" si="34"/>
        <v>0</v>
      </c>
      <c r="P219" s="77">
        <f t="shared" si="35"/>
        <v>0</v>
      </c>
    </row>
    <row r="220" spans="1:16" s="61" customFormat="1" x14ac:dyDescent="0.2">
      <c r="A220" s="155">
        <v>0</v>
      </c>
      <c r="B220" s="248"/>
      <c r="C220" s="246" t="s">
        <v>288</v>
      </c>
      <c r="D220" s="179" t="s">
        <v>78</v>
      </c>
      <c r="E220" s="184">
        <v>0.25</v>
      </c>
      <c r="F220" s="179"/>
      <c r="G220" s="184"/>
      <c r="H220" s="184"/>
      <c r="I220" s="184"/>
      <c r="J220" s="184"/>
      <c r="K220" s="75">
        <f t="shared" si="30"/>
        <v>0</v>
      </c>
      <c r="L220" s="76">
        <f t="shared" si="31"/>
        <v>0</v>
      </c>
      <c r="M220" s="75">
        <f t="shared" si="32"/>
        <v>0</v>
      </c>
      <c r="N220" s="75">
        <f t="shared" si="33"/>
        <v>0</v>
      </c>
      <c r="O220" s="75">
        <f t="shared" si="34"/>
        <v>0</v>
      </c>
      <c r="P220" s="77">
        <f t="shared" si="35"/>
        <v>0</v>
      </c>
    </row>
    <row r="221" spans="1:16" s="61" customFormat="1" ht="38.25" x14ac:dyDescent="0.2">
      <c r="A221" s="155">
        <v>61</v>
      </c>
      <c r="B221" s="248"/>
      <c r="C221" s="247" t="s">
        <v>289</v>
      </c>
      <c r="D221" s="158" t="s">
        <v>66</v>
      </c>
      <c r="E221" s="179">
        <v>1</v>
      </c>
      <c r="F221" s="190"/>
      <c r="G221" s="159"/>
      <c r="H221" s="184"/>
      <c r="I221" s="161"/>
      <c r="J221" s="161"/>
      <c r="K221" s="75">
        <f t="shared" si="30"/>
        <v>0</v>
      </c>
      <c r="L221" s="76">
        <f t="shared" si="31"/>
        <v>0</v>
      </c>
      <c r="M221" s="75">
        <f t="shared" si="32"/>
        <v>0</v>
      </c>
      <c r="N221" s="75">
        <f t="shared" si="33"/>
        <v>0</v>
      </c>
      <c r="O221" s="75">
        <f t="shared" si="34"/>
        <v>0</v>
      </c>
      <c r="P221" s="77">
        <f t="shared" si="35"/>
        <v>0</v>
      </c>
    </row>
    <row r="222" spans="1:16" s="61" customFormat="1" x14ac:dyDescent="0.2">
      <c r="A222" s="155">
        <v>0</v>
      </c>
      <c r="B222" s="248"/>
      <c r="C222" s="192"/>
      <c r="D222" s="158"/>
      <c r="E222" s="179"/>
      <c r="F222" s="190"/>
      <c r="G222" s="159"/>
      <c r="H222" s="161"/>
      <c r="I222" s="161"/>
      <c r="J222" s="161"/>
      <c r="K222" s="75">
        <f t="shared" si="30"/>
        <v>0</v>
      </c>
      <c r="L222" s="76">
        <f t="shared" si="31"/>
        <v>0</v>
      </c>
      <c r="M222" s="75">
        <f t="shared" si="32"/>
        <v>0</v>
      </c>
      <c r="N222" s="75">
        <f t="shared" si="33"/>
        <v>0</v>
      </c>
      <c r="O222" s="75">
        <f t="shared" si="34"/>
        <v>0</v>
      </c>
      <c r="P222" s="77">
        <f t="shared" si="35"/>
        <v>0</v>
      </c>
    </row>
    <row r="223" spans="1:16" s="61" customFormat="1" ht="31.5" x14ac:dyDescent="0.2">
      <c r="A223" s="362">
        <v>0</v>
      </c>
      <c r="B223" s="144"/>
      <c r="C223" s="145" t="s">
        <v>292</v>
      </c>
      <c r="D223" s="146"/>
      <c r="E223" s="147"/>
      <c r="F223" s="148"/>
      <c r="G223" s="148"/>
      <c r="H223" s="149"/>
      <c r="I223" s="149"/>
      <c r="J223" s="149"/>
      <c r="K223" s="75">
        <f t="shared" si="30"/>
        <v>0</v>
      </c>
      <c r="L223" s="76">
        <f t="shared" si="31"/>
        <v>0</v>
      </c>
      <c r="M223" s="75">
        <f t="shared" si="32"/>
        <v>0</v>
      </c>
      <c r="N223" s="75">
        <f t="shared" si="33"/>
        <v>0</v>
      </c>
      <c r="O223" s="75">
        <f t="shared" si="34"/>
        <v>0</v>
      </c>
      <c r="P223" s="77">
        <f t="shared" si="35"/>
        <v>0</v>
      </c>
    </row>
    <row r="224" spans="1:16" s="61" customFormat="1" x14ac:dyDescent="0.2">
      <c r="A224" s="155">
        <v>0</v>
      </c>
      <c r="B224" s="188"/>
      <c r="C224" s="197" t="s">
        <v>294</v>
      </c>
      <c r="D224" s="158"/>
      <c r="E224" s="158"/>
      <c r="F224" s="159"/>
      <c r="G224" s="159"/>
      <c r="H224" s="161"/>
      <c r="I224" s="161"/>
      <c r="J224" s="161"/>
      <c r="K224" s="75">
        <f t="shared" si="30"/>
        <v>0</v>
      </c>
      <c r="L224" s="76">
        <f t="shared" si="31"/>
        <v>0</v>
      </c>
      <c r="M224" s="75">
        <f t="shared" si="32"/>
        <v>0</v>
      </c>
      <c r="N224" s="75">
        <f t="shared" si="33"/>
        <v>0</v>
      </c>
      <c r="O224" s="75">
        <f t="shared" si="34"/>
        <v>0</v>
      </c>
      <c r="P224" s="77">
        <f t="shared" si="35"/>
        <v>0</v>
      </c>
    </row>
    <row r="225" spans="1:16" s="61" customFormat="1" ht="102" x14ac:dyDescent="0.2">
      <c r="A225" s="155">
        <v>62</v>
      </c>
      <c r="B225" s="188"/>
      <c r="C225" s="186" t="s">
        <v>295</v>
      </c>
      <c r="D225" s="158" t="s">
        <v>131</v>
      </c>
      <c r="E225" s="182">
        <f>1475+138.2+243.5</f>
        <v>1856.7</v>
      </c>
      <c r="F225" s="158"/>
      <c r="G225" s="159"/>
      <c r="H225" s="161"/>
      <c r="I225" s="161"/>
      <c r="J225" s="161"/>
      <c r="K225" s="75">
        <f t="shared" si="30"/>
        <v>0</v>
      </c>
      <c r="L225" s="76">
        <f t="shared" si="31"/>
        <v>0</v>
      </c>
      <c r="M225" s="75">
        <f t="shared" si="32"/>
        <v>0</v>
      </c>
      <c r="N225" s="75">
        <f t="shared" si="33"/>
        <v>0</v>
      </c>
      <c r="O225" s="75">
        <f t="shared" si="34"/>
        <v>0</v>
      </c>
      <c r="P225" s="77">
        <f t="shared" si="35"/>
        <v>0</v>
      </c>
    </row>
    <row r="226" spans="1:16" s="61" customFormat="1" x14ac:dyDescent="0.2">
      <c r="A226" s="155">
        <v>0</v>
      </c>
      <c r="B226" s="188"/>
      <c r="C226" s="189" t="s">
        <v>188</v>
      </c>
      <c r="D226" s="158" t="s">
        <v>131</v>
      </c>
      <c r="E226" s="179">
        <f>E225*1.1</f>
        <v>2042.3700000000001</v>
      </c>
      <c r="F226" s="190"/>
      <c r="G226" s="159"/>
      <c r="H226" s="161"/>
      <c r="I226" s="161"/>
      <c r="J226" s="161"/>
      <c r="K226" s="75">
        <f t="shared" si="30"/>
        <v>0</v>
      </c>
      <c r="L226" s="76">
        <f t="shared" si="31"/>
        <v>0</v>
      </c>
      <c r="M226" s="75">
        <f t="shared" si="32"/>
        <v>0</v>
      </c>
      <c r="N226" s="75">
        <f t="shared" si="33"/>
        <v>0</v>
      </c>
      <c r="O226" s="75">
        <f t="shared" si="34"/>
        <v>0</v>
      </c>
      <c r="P226" s="77">
        <f t="shared" si="35"/>
        <v>0</v>
      </c>
    </row>
    <row r="227" spans="1:16" s="61" customFormat="1" x14ac:dyDescent="0.2">
      <c r="A227" s="155">
        <v>0</v>
      </c>
      <c r="B227" s="188"/>
      <c r="C227" s="192" t="s">
        <v>189</v>
      </c>
      <c r="D227" s="158" t="s">
        <v>66</v>
      </c>
      <c r="E227" s="179">
        <v>1</v>
      </c>
      <c r="F227" s="190"/>
      <c r="G227" s="159"/>
      <c r="H227" s="161"/>
      <c r="I227" s="161"/>
      <c r="J227" s="161"/>
      <c r="K227" s="75">
        <f t="shared" si="30"/>
        <v>0</v>
      </c>
      <c r="L227" s="76">
        <f t="shared" si="31"/>
        <v>0</v>
      </c>
      <c r="M227" s="75">
        <f t="shared" si="32"/>
        <v>0</v>
      </c>
      <c r="N227" s="75">
        <f t="shared" si="33"/>
        <v>0</v>
      </c>
      <c r="O227" s="75">
        <f t="shared" si="34"/>
        <v>0</v>
      </c>
      <c r="P227" s="77">
        <f t="shared" si="35"/>
        <v>0</v>
      </c>
    </row>
    <row r="228" spans="1:16" s="61" customFormat="1" x14ac:dyDescent="0.2">
      <c r="A228" s="155">
        <v>0</v>
      </c>
      <c r="B228" s="188"/>
      <c r="C228" s="197" t="s">
        <v>296</v>
      </c>
      <c r="D228" s="158"/>
      <c r="E228" s="158"/>
      <c r="F228" s="159"/>
      <c r="G228" s="159"/>
      <c r="H228" s="161"/>
      <c r="I228" s="161"/>
      <c r="J228" s="161"/>
      <c r="K228" s="75">
        <f t="shared" si="30"/>
        <v>0</v>
      </c>
      <c r="L228" s="76">
        <f t="shared" si="31"/>
        <v>0</v>
      </c>
      <c r="M228" s="75">
        <f t="shared" si="32"/>
        <v>0</v>
      </c>
      <c r="N228" s="75">
        <f t="shared" si="33"/>
        <v>0</v>
      </c>
      <c r="O228" s="75">
        <f t="shared" si="34"/>
        <v>0</v>
      </c>
      <c r="P228" s="77">
        <f t="shared" si="35"/>
        <v>0</v>
      </c>
    </row>
    <row r="229" spans="1:16" s="61" customFormat="1" ht="25.5" x14ac:dyDescent="0.2">
      <c r="A229" s="155">
        <v>63</v>
      </c>
      <c r="B229" s="188"/>
      <c r="C229" s="173" t="s">
        <v>297</v>
      </c>
      <c r="D229" s="158" t="s">
        <v>83</v>
      </c>
      <c r="E229" s="164">
        <v>63</v>
      </c>
      <c r="F229" s="161"/>
      <c r="G229" s="159"/>
      <c r="H229" s="161"/>
      <c r="I229" s="161"/>
      <c r="J229" s="161"/>
      <c r="K229" s="75">
        <f t="shared" si="30"/>
        <v>0</v>
      </c>
      <c r="L229" s="76">
        <f t="shared" si="31"/>
        <v>0</v>
      </c>
      <c r="M229" s="75">
        <f t="shared" si="32"/>
        <v>0</v>
      </c>
      <c r="N229" s="75">
        <f t="shared" si="33"/>
        <v>0</v>
      </c>
      <c r="O229" s="75">
        <f t="shared" si="34"/>
        <v>0</v>
      </c>
      <c r="P229" s="77">
        <f t="shared" si="35"/>
        <v>0</v>
      </c>
    </row>
    <row r="230" spans="1:16" s="61" customFormat="1" ht="89.25" x14ac:dyDescent="0.2">
      <c r="A230" s="155">
        <v>64</v>
      </c>
      <c r="B230" s="188"/>
      <c r="C230" s="176" t="s">
        <v>298</v>
      </c>
      <c r="D230" s="158" t="s">
        <v>131</v>
      </c>
      <c r="E230" s="164">
        <f>(56.6+42.7)*7</f>
        <v>695.10000000000014</v>
      </c>
      <c r="F230" s="177"/>
      <c r="G230" s="159"/>
      <c r="H230" s="161"/>
      <c r="I230" s="161"/>
      <c r="J230" s="161"/>
      <c r="K230" s="75">
        <f t="shared" si="30"/>
        <v>0</v>
      </c>
      <c r="L230" s="76">
        <f t="shared" si="31"/>
        <v>0</v>
      </c>
      <c r="M230" s="75">
        <f t="shared" si="32"/>
        <v>0</v>
      </c>
      <c r="N230" s="75">
        <f t="shared" si="33"/>
        <v>0</v>
      </c>
      <c r="O230" s="75">
        <f t="shared" si="34"/>
        <v>0</v>
      </c>
      <c r="P230" s="77">
        <f t="shared" si="35"/>
        <v>0</v>
      </c>
    </row>
    <row r="231" spans="1:16" s="61" customFormat="1" x14ac:dyDescent="0.2">
      <c r="A231" s="155">
        <v>0</v>
      </c>
      <c r="B231" s="188"/>
      <c r="C231" s="178" t="s">
        <v>132</v>
      </c>
      <c r="D231" s="179" t="s">
        <v>131</v>
      </c>
      <c r="E231" s="180">
        <f>E230*1.15</f>
        <v>799.36500000000012</v>
      </c>
      <c r="F231" s="159"/>
      <c r="G231" s="159"/>
      <c r="H231" s="161"/>
      <c r="I231" s="161"/>
      <c r="J231" s="161"/>
      <c r="K231" s="75">
        <f t="shared" si="30"/>
        <v>0</v>
      </c>
      <c r="L231" s="76">
        <f t="shared" si="31"/>
        <v>0</v>
      </c>
      <c r="M231" s="75">
        <f t="shared" si="32"/>
        <v>0</v>
      </c>
      <c r="N231" s="75">
        <f t="shared" si="33"/>
        <v>0</v>
      </c>
      <c r="O231" s="75">
        <f t="shared" si="34"/>
        <v>0</v>
      </c>
      <c r="P231" s="77">
        <f t="shared" si="35"/>
        <v>0</v>
      </c>
    </row>
    <row r="232" spans="1:16" s="61" customFormat="1" ht="25.5" x14ac:dyDescent="0.2">
      <c r="A232" s="155">
        <v>0</v>
      </c>
      <c r="B232" s="188"/>
      <c r="C232" s="181" t="s">
        <v>133</v>
      </c>
      <c r="D232" s="158" t="s">
        <v>66</v>
      </c>
      <c r="E232" s="182">
        <v>1</v>
      </c>
      <c r="F232" s="159"/>
      <c r="G232" s="159"/>
      <c r="H232" s="161"/>
      <c r="I232" s="161"/>
      <c r="J232" s="161"/>
      <c r="K232" s="75">
        <f t="shared" si="30"/>
        <v>0</v>
      </c>
      <c r="L232" s="76">
        <f t="shared" si="31"/>
        <v>0</v>
      </c>
      <c r="M232" s="75">
        <f t="shared" si="32"/>
        <v>0</v>
      </c>
      <c r="N232" s="75">
        <f t="shared" si="33"/>
        <v>0</v>
      </c>
      <c r="O232" s="75">
        <f t="shared" si="34"/>
        <v>0</v>
      </c>
      <c r="P232" s="77">
        <f t="shared" si="35"/>
        <v>0</v>
      </c>
    </row>
    <row r="233" spans="1:16" s="61" customFormat="1" ht="25.5" x14ac:dyDescent="0.2">
      <c r="A233" s="155">
        <v>65</v>
      </c>
      <c r="B233" s="188"/>
      <c r="C233" s="176" t="s">
        <v>186</v>
      </c>
      <c r="D233" s="179" t="s">
        <v>78</v>
      </c>
      <c r="E233" s="164">
        <f>1.14*7</f>
        <v>7.9799999999999995</v>
      </c>
      <c r="F233" s="159"/>
      <c r="G233" s="159"/>
      <c r="H233" s="161"/>
      <c r="I233" s="161"/>
      <c r="J233" s="161"/>
      <c r="K233" s="75">
        <f t="shared" si="30"/>
        <v>0</v>
      </c>
      <c r="L233" s="76">
        <f t="shared" si="31"/>
        <v>0</v>
      </c>
      <c r="M233" s="75">
        <f t="shared" si="32"/>
        <v>0</v>
      </c>
      <c r="N233" s="75">
        <f t="shared" si="33"/>
        <v>0</v>
      </c>
      <c r="O233" s="75">
        <f t="shared" si="34"/>
        <v>0</v>
      </c>
      <c r="P233" s="77">
        <f t="shared" si="35"/>
        <v>0</v>
      </c>
    </row>
    <row r="234" spans="1:16" s="61" customFormat="1" x14ac:dyDescent="0.2">
      <c r="A234" s="155">
        <v>0</v>
      </c>
      <c r="B234" s="188"/>
      <c r="C234" s="183" t="s">
        <v>135</v>
      </c>
      <c r="D234" s="179" t="s">
        <v>78</v>
      </c>
      <c r="E234" s="184">
        <f>E233*1.05</f>
        <v>8.3789999999999996</v>
      </c>
      <c r="F234" s="185"/>
      <c r="G234" s="159"/>
      <c r="H234" s="161"/>
      <c r="I234" s="161"/>
      <c r="J234" s="161"/>
      <c r="K234" s="75">
        <f t="shared" si="30"/>
        <v>0</v>
      </c>
      <c r="L234" s="76">
        <f t="shared" si="31"/>
        <v>0</v>
      </c>
      <c r="M234" s="75">
        <f t="shared" si="32"/>
        <v>0</v>
      </c>
      <c r="N234" s="75">
        <f t="shared" si="33"/>
        <v>0</v>
      </c>
      <c r="O234" s="75">
        <f t="shared" si="34"/>
        <v>0</v>
      </c>
      <c r="P234" s="77">
        <f t="shared" si="35"/>
        <v>0</v>
      </c>
    </row>
    <row r="235" spans="1:16" s="61" customFormat="1" x14ac:dyDescent="0.2">
      <c r="A235" s="155">
        <v>0</v>
      </c>
      <c r="B235" s="188"/>
      <c r="C235" s="183" t="s">
        <v>136</v>
      </c>
      <c r="D235" s="179" t="s">
        <v>137</v>
      </c>
      <c r="E235" s="184">
        <f>E233*0.25</f>
        <v>1.9949999999999999</v>
      </c>
      <c r="F235" s="185"/>
      <c r="G235" s="159"/>
      <c r="H235" s="161"/>
      <c r="I235" s="154"/>
      <c r="J235" s="161"/>
      <c r="K235" s="75">
        <f t="shared" si="30"/>
        <v>0</v>
      </c>
      <c r="L235" s="76">
        <f t="shared" si="31"/>
        <v>0</v>
      </c>
      <c r="M235" s="75">
        <f t="shared" si="32"/>
        <v>0</v>
      </c>
      <c r="N235" s="75">
        <f t="shared" si="33"/>
        <v>0</v>
      </c>
      <c r="O235" s="75">
        <f t="shared" si="34"/>
        <v>0</v>
      </c>
      <c r="P235" s="77">
        <f t="shared" si="35"/>
        <v>0</v>
      </c>
    </row>
    <row r="236" spans="1:16" s="61" customFormat="1" x14ac:dyDescent="0.2">
      <c r="A236" s="155">
        <v>0</v>
      </c>
      <c r="B236" s="188"/>
      <c r="C236" s="186"/>
      <c r="D236" s="158"/>
      <c r="E236" s="158"/>
      <c r="F236" s="159"/>
      <c r="G236" s="159"/>
      <c r="H236" s="161"/>
      <c r="I236" s="161"/>
      <c r="J236" s="161"/>
      <c r="K236" s="75">
        <f t="shared" si="30"/>
        <v>0</v>
      </c>
      <c r="L236" s="76">
        <f t="shared" si="31"/>
        <v>0</v>
      </c>
      <c r="M236" s="75">
        <f t="shared" si="32"/>
        <v>0</v>
      </c>
      <c r="N236" s="75">
        <f t="shared" si="33"/>
        <v>0</v>
      </c>
      <c r="O236" s="75">
        <f t="shared" si="34"/>
        <v>0</v>
      </c>
      <c r="P236" s="77">
        <f t="shared" si="35"/>
        <v>0</v>
      </c>
    </row>
    <row r="237" spans="1:16" s="61" customFormat="1" x14ac:dyDescent="0.2">
      <c r="A237" s="155">
        <v>0</v>
      </c>
      <c r="B237" s="188"/>
      <c r="C237" s="376" t="s">
        <v>757</v>
      </c>
      <c r="D237" s="158"/>
      <c r="E237" s="158"/>
      <c r="F237" s="159"/>
      <c r="G237" s="159"/>
      <c r="H237" s="161"/>
      <c r="I237" s="161"/>
      <c r="J237" s="161"/>
      <c r="K237" s="75">
        <f t="shared" si="30"/>
        <v>0</v>
      </c>
      <c r="L237" s="76">
        <f t="shared" si="31"/>
        <v>0</v>
      </c>
      <c r="M237" s="75">
        <f t="shared" si="32"/>
        <v>0</v>
      </c>
      <c r="N237" s="75">
        <f t="shared" si="33"/>
        <v>0</v>
      </c>
      <c r="O237" s="75">
        <f t="shared" si="34"/>
        <v>0</v>
      </c>
      <c r="P237" s="77">
        <f t="shared" si="35"/>
        <v>0</v>
      </c>
    </row>
    <row r="238" spans="1:16" s="61" customFormat="1" ht="25.5" x14ac:dyDescent="0.2">
      <c r="A238" s="155">
        <v>66</v>
      </c>
      <c r="B238" s="188"/>
      <c r="C238" s="173" t="s">
        <v>297</v>
      </c>
      <c r="D238" s="158" t="s">
        <v>83</v>
      </c>
      <c r="E238" s="164">
        <v>15</v>
      </c>
      <c r="F238" s="161"/>
      <c r="G238" s="159"/>
      <c r="H238" s="161"/>
      <c r="I238" s="161"/>
      <c r="J238" s="161"/>
      <c r="K238" s="75">
        <f t="shared" si="30"/>
        <v>0</v>
      </c>
      <c r="L238" s="76">
        <f t="shared" si="31"/>
        <v>0</v>
      </c>
      <c r="M238" s="75">
        <f t="shared" si="32"/>
        <v>0</v>
      </c>
      <c r="N238" s="75">
        <f t="shared" si="33"/>
        <v>0</v>
      </c>
      <c r="O238" s="75">
        <f t="shared" si="34"/>
        <v>0</v>
      </c>
      <c r="P238" s="77">
        <f t="shared" si="35"/>
        <v>0</v>
      </c>
    </row>
    <row r="239" spans="1:16" s="61" customFormat="1" ht="89.25" x14ac:dyDescent="0.2">
      <c r="A239" s="155">
        <v>67</v>
      </c>
      <c r="B239" s="188"/>
      <c r="C239" s="176" t="s">
        <v>298</v>
      </c>
      <c r="D239" s="158" t="s">
        <v>131</v>
      </c>
      <c r="E239" s="164">
        <f>(28.3+21.6)*3</f>
        <v>149.70000000000002</v>
      </c>
      <c r="F239" s="177"/>
      <c r="G239" s="159"/>
      <c r="H239" s="161"/>
      <c r="I239" s="161"/>
      <c r="J239" s="161"/>
      <c r="K239" s="75">
        <f t="shared" si="30"/>
        <v>0</v>
      </c>
      <c r="L239" s="76">
        <f t="shared" si="31"/>
        <v>0</v>
      </c>
      <c r="M239" s="75">
        <f t="shared" si="32"/>
        <v>0</v>
      </c>
      <c r="N239" s="75">
        <f t="shared" si="33"/>
        <v>0</v>
      </c>
      <c r="O239" s="75">
        <f t="shared" si="34"/>
        <v>0</v>
      </c>
      <c r="P239" s="77">
        <f t="shared" si="35"/>
        <v>0</v>
      </c>
    </row>
    <row r="240" spans="1:16" s="61" customFormat="1" x14ac:dyDescent="0.2">
      <c r="A240" s="155">
        <v>0</v>
      </c>
      <c r="B240" s="188"/>
      <c r="C240" s="178" t="s">
        <v>132</v>
      </c>
      <c r="D240" s="179" t="s">
        <v>131</v>
      </c>
      <c r="E240" s="180">
        <f>E239*1.15</f>
        <v>172.155</v>
      </c>
      <c r="F240" s="159"/>
      <c r="G240" s="159"/>
      <c r="H240" s="161"/>
      <c r="I240" s="161"/>
      <c r="J240" s="161"/>
      <c r="K240" s="75">
        <f t="shared" si="30"/>
        <v>0</v>
      </c>
      <c r="L240" s="76">
        <f t="shared" si="31"/>
        <v>0</v>
      </c>
      <c r="M240" s="75">
        <f t="shared" si="32"/>
        <v>0</v>
      </c>
      <c r="N240" s="75">
        <f t="shared" si="33"/>
        <v>0</v>
      </c>
      <c r="O240" s="75">
        <f t="shared" si="34"/>
        <v>0</v>
      </c>
      <c r="P240" s="77">
        <f t="shared" si="35"/>
        <v>0</v>
      </c>
    </row>
    <row r="241" spans="1:16" s="61" customFormat="1" ht="25.5" x14ac:dyDescent="0.2">
      <c r="A241" s="155">
        <v>0</v>
      </c>
      <c r="B241" s="188"/>
      <c r="C241" s="181" t="s">
        <v>133</v>
      </c>
      <c r="D241" s="158" t="s">
        <v>66</v>
      </c>
      <c r="E241" s="182">
        <v>1</v>
      </c>
      <c r="F241" s="159"/>
      <c r="G241" s="159"/>
      <c r="H241" s="161"/>
      <c r="I241" s="161"/>
      <c r="J241" s="161"/>
      <c r="K241" s="75">
        <f t="shared" si="30"/>
        <v>0</v>
      </c>
      <c r="L241" s="76">
        <f t="shared" si="31"/>
        <v>0</v>
      </c>
      <c r="M241" s="75">
        <f t="shared" si="32"/>
        <v>0</v>
      </c>
      <c r="N241" s="75">
        <f t="shared" si="33"/>
        <v>0</v>
      </c>
      <c r="O241" s="75">
        <f t="shared" si="34"/>
        <v>0</v>
      </c>
      <c r="P241" s="77">
        <f t="shared" si="35"/>
        <v>0</v>
      </c>
    </row>
    <row r="242" spans="1:16" s="61" customFormat="1" ht="25.5" x14ac:dyDescent="0.2">
      <c r="A242" s="155">
        <v>68</v>
      </c>
      <c r="B242" s="188"/>
      <c r="C242" s="176" t="s">
        <v>186</v>
      </c>
      <c r="D242" s="179" t="s">
        <v>78</v>
      </c>
      <c r="E242" s="164">
        <f>0.28*3</f>
        <v>0.84000000000000008</v>
      </c>
      <c r="F242" s="159"/>
      <c r="G242" s="159"/>
      <c r="H242" s="161"/>
      <c r="I242" s="161"/>
      <c r="J242" s="161"/>
      <c r="K242" s="75">
        <f t="shared" si="30"/>
        <v>0</v>
      </c>
      <c r="L242" s="76">
        <f t="shared" si="31"/>
        <v>0</v>
      </c>
      <c r="M242" s="75">
        <f t="shared" si="32"/>
        <v>0</v>
      </c>
      <c r="N242" s="75">
        <f t="shared" si="33"/>
        <v>0</v>
      </c>
      <c r="O242" s="75">
        <f t="shared" si="34"/>
        <v>0</v>
      </c>
      <c r="P242" s="77">
        <f t="shared" si="35"/>
        <v>0</v>
      </c>
    </row>
    <row r="243" spans="1:16" s="61" customFormat="1" x14ac:dyDescent="0.2">
      <c r="A243" s="155">
        <v>0</v>
      </c>
      <c r="B243" s="188"/>
      <c r="C243" s="183" t="s">
        <v>135</v>
      </c>
      <c r="D243" s="179" t="s">
        <v>78</v>
      </c>
      <c r="E243" s="184">
        <f>E242*1.05</f>
        <v>0.88200000000000012</v>
      </c>
      <c r="F243" s="185"/>
      <c r="G243" s="159"/>
      <c r="H243" s="161"/>
      <c r="I243" s="161"/>
      <c r="J243" s="161"/>
      <c r="K243" s="75">
        <f t="shared" si="30"/>
        <v>0</v>
      </c>
      <c r="L243" s="76">
        <f t="shared" si="31"/>
        <v>0</v>
      </c>
      <c r="M243" s="75">
        <f t="shared" si="32"/>
        <v>0</v>
      </c>
      <c r="N243" s="75">
        <f t="shared" si="33"/>
        <v>0</v>
      </c>
      <c r="O243" s="75">
        <f t="shared" si="34"/>
        <v>0</v>
      </c>
      <c r="P243" s="77">
        <f t="shared" si="35"/>
        <v>0</v>
      </c>
    </row>
    <row r="244" spans="1:16" s="61" customFormat="1" x14ac:dyDescent="0.2">
      <c r="A244" s="155">
        <v>0</v>
      </c>
      <c r="B244" s="188"/>
      <c r="C244" s="183" t="s">
        <v>136</v>
      </c>
      <c r="D244" s="179" t="s">
        <v>137</v>
      </c>
      <c r="E244" s="184">
        <f>E242*0.25</f>
        <v>0.21000000000000002</v>
      </c>
      <c r="F244" s="185"/>
      <c r="G244" s="159"/>
      <c r="H244" s="161"/>
      <c r="I244" s="154"/>
      <c r="J244" s="161"/>
      <c r="K244" s="75">
        <f t="shared" si="30"/>
        <v>0</v>
      </c>
      <c r="L244" s="76">
        <f t="shared" si="31"/>
        <v>0</v>
      </c>
      <c r="M244" s="75">
        <f t="shared" si="32"/>
        <v>0</v>
      </c>
      <c r="N244" s="75">
        <f t="shared" si="33"/>
        <v>0</v>
      </c>
      <c r="O244" s="75">
        <f t="shared" si="34"/>
        <v>0</v>
      </c>
      <c r="P244" s="77">
        <f t="shared" si="35"/>
        <v>0</v>
      </c>
    </row>
    <row r="245" spans="1:16" s="61" customFormat="1" x14ac:dyDescent="0.2">
      <c r="A245" s="155">
        <v>0</v>
      </c>
      <c r="B245" s="188"/>
      <c r="C245" s="186"/>
      <c r="D245" s="158"/>
      <c r="E245" s="158"/>
      <c r="F245" s="159"/>
      <c r="G245" s="159"/>
      <c r="H245" s="161"/>
      <c r="I245" s="161"/>
      <c r="J245" s="161"/>
      <c r="K245" s="75">
        <f t="shared" si="30"/>
        <v>0</v>
      </c>
      <c r="L245" s="76">
        <f t="shared" si="31"/>
        <v>0</v>
      </c>
      <c r="M245" s="75">
        <f t="shared" si="32"/>
        <v>0</v>
      </c>
      <c r="N245" s="75">
        <f t="shared" si="33"/>
        <v>0</v>
      </c>
      <c r="O245" s="75">
        <f t="shared" si="34"/>
        <v>0</v>
      </c>
      <c r="P245" s="77">
        <f t="shared" si="35"/>
        <v>0</v>
      </c>
    </row>
    <row r="246" spans="1:16" s="61" customFormat="1" x14ac:dyDescent="0.2">
      <c r="A246" s="155">
        <v>0</v>
      </c>
      <c r="B246" s="188"/>
      <c r="C246" s="376" t="s">
        <v>758</v>
      </c>
      <c r="D246" s="158"/>
      <c r="E246" s="158"/>
      <c r="F246" s="159"/>
      <c r="G246" s="159"/>
      <c r="H246" s="161"/>
      <c r="I246" s="161"/>
      <c r="J246" s="161"/>
      <c r="K246" s="75">
        <f t="shared" si="30"/>
        <v>0</v>
      </c>
      <c r="L246" s="76">
        <f t="shared" si="31"/>
        <v>0</v>
      </c>
      <c r="M246" s="75">
        <f t="shared" si="32"/>
        <v>0</v>
      </c>
      <c r="N246" s="75">
        <f t="shared" si="33"/>
        <v>0</v>
      </c>
      <c r="O246" s="75">
        <f t="shared" si="34"/>
        <v>0</v>
      </c>
      <c r="P246" s="77">
        <f t="shared" si="35"/>
        <v>0</v>
      </c>
    </row>
    <row r="247" spans="1:16" s="61" customFormat="1" ht="25.5" x14ac:dyDescent="0.2">
      <c r="A247" s="155">
        <v>69</v>
      </c>
      <c r="B247" s="188"/>
      <c r="C247" s="173" t="s">
        <v>297</v>
      </c>
      <c r="D247" s="158" t="s">
        <v>83</v>
      </c>
      <c r="E247" s="164">
        <v>4.3</v>
      </c>
      <c r="F247" s="161"/>
      <c r="G247" s="159"/>
      <c r="H247" s="161"/>
      <c r="I247" s="161"/>
      <c r="J247" s="161"/>
      <c r="K247" s="75">
        <f t="shared" si="30"/>
        <v>0</v>
      </c>
      <c r="L247" s="76">
        <f t="shared" si="31"/>
        <v>0</v>
      </c>
      <c r="M247" s="75">
        <f t="shared" si="32"/>
        <v>0</v>
      </c>
      <c r="N247" s="75">
        <f t="shared" si="33"/>
        <v>0</v>
      </c>
      <c r="O247" s="75">
        <f t="shared" si="34"/>
        <v>0</v>
      </c>
      <c r="P247" s="77">
        <f t="shared" si="35"/>
        <v>0</v>
      </c>
    </row>
    <row r="248" spans="1:16" s="61" customFormat="1" ht="89.25" x14ac:dyDescent="0.2">
      <c r="A248" s="155">
        <v>70</v>
      </c>
      <c r="B248" s="188"/>
      <c r="C248" s="176" t="s">
        <v>298</v>
      </c>
      <c r="D248" s="158" t="s">
        <v>131</v>
      </c>
      <c r="E248" s="164">
        <f>25.5+20.8</f>
        <v>46.3</v>
      </c>
      <c r="F248" s="177"/>
      <c r="G248" s="159"/>
      <c r="H248" s="161"/>
      <c r="I248" s="161"/>
      <c r="J248" s="161"/>
      <c r="K248" s="75">
        <f t="shared" si="30"/>
        <v>0</v>
      </c>
      <c r="L248" s="76">
        <f t="shared" si="31"/>
        <v>0</v>
      </c>
      <c r="M248" s="75">
        <f t="shared" si="32"/>
        <v>0</v>
      </c>
      <c r="N248" s="75">
        <f t="shared" si="33"/>
        <v>0</v>
      </c>
      <c r="O248" s="75">
        <f t="shared" si="34"/>
        <v>0</v>
      </c>
      <c r="P248" s="77">
        <f t="shared" si="35"/>
        <v>0</v>
      </c>
    </row>
    <row r="249" spans="1:16" s="61" customFormat="1" x14ac:dyDescent="0.2">
      <c r="A249" s="155">
        <v>0</v>
      </c>
      <c r="B249" s="188"/>
      <c r="C249" s="178" t="s">
        <v>132</v>
      </c>
      <c r="D249" s="179" t="s">
        <v>131</v>
      </c>
      <c r="E249" s="180">
        <f>E248*1.15</f>
        <v>53.24499999999999</v>
      </c>
      <c r="F249" s="159"/>
      <c r="G249" s="159"/>
      <c r="H249" s="161"/>
      <c r="I249" s="161"/>
      <c r="J249" s="161"/>
      <c r="K249" s="75">
        <f t="shared" si="30"/>
        <v>0</v>
      </c>
      <c r="L249" s="76">
        <f t="shared" si="31"/>
        <v>0</v>
      </c>
      <c r="M249" s="75">
        <f t="shared" si="32"/>
        <v>0</v>
      </c>
      <c r="N249" s="75">
        <f t="shared" si="33"/>
        <v>0</v>
      </c>
      <c r="O249" s="75">
        <f t="shared" si="34"/>
        <v>0</v>
      </c>
      <c r="P249" s="77">
        <f t="shared" si="35"/>
        <v>0</v>
      </c>
    </row>
    <row r="250" spans="1:16" s="61" customFormat="1" ht="25.5" x14ac:dyDescent="0.2">
      <c r="A250" s="155">
        <v>0</v>
      </c>
      <c r="B250" s="188"/>
      <c r="C250" s="181" t="s">
        <v>133</v>
      </c>
      <c r="D250" s="158" t="s">
        <v>66</v>
      </c>
      <c r="E250" s="182">
        <v>1</v>
      </c>
      <c r="F250" s="159"/>
      <c r="G250" s="159"/>
      <c r="H250" s="161"/>
      <c r="I250" s="161"/>
      <c r="J250" s="161"/>
      <c r="K250" s="75">
        <f t="shared" si="30"/>
        <v>0</v>
      </c>
      <c r="L250" s="76">
        <f t="shared" si="31"/>
        <v>0</v>
      </c>
      <c r="M250" s="75">
        <f t="shared" si="32"/>
        <v>0</v>
      </c>
      <c r="N250" s="75">
        <f t="shared" si="33"/>
        <v>0</v>
      </c>
      <c r="O250" s="75">
        <f t="shared" si="34"/>
        <v>0</v>
      </c>
      <c r="P250" s="77">
        <f t="shared" si="35"/>
        <v>0</v>
      </c>
    </row>
    <row r="251" spans="1:16" s="61" customFormat="1" ht="25.5" x14ac:dyDescent="0.2">
      <c r="A251" s="155">
        <v>71</v>
      </c>
      <c r="B251" s="188"/>
      <c r="C251" s="176" t="s">
        <v>186</v>
      </c>
      <c r="D251" s="179" t="s">
        <v>78</v>
      </c>
      <c r="E251" s="164">
        <v>0.26</v>
      </c>
      <c r="F251" s="159"/>
      <c r="G251" s="159"/>
      <c r="H251" s="161"/>
      <c r="I251" s="161"/>
      <c r="J251" s="161"/>
      <c r="K251" s="75">
        <f t="shared" si="30"/>
        <v>0</v>
      </c>
      <c r="L251" s="76">
        <f t="shared" si="31"/>
        <v>0</v>
      </c>
      <c r="M251" s="75">
        <f t="shared" si="32"/>
        <v>0</v>
      </c>
      <c r="N251" s="75">
        <f t="shared" si="33"/>
        <v>0</v>
      </c>
      <c r="O251" s="75">
        <f t="shared" si="34"/>
        <v>0</v>
      </c>
      <c r="P251" s="77">
        <f t="shared" si="35"/>
        <v>0</v>
      </c>
    </row>
    <row r="252" spans="1:16" s="61" customFormat="1" x14ac:dyDescent="0.2">
      <c r="A252" s="155">
        <v>0</v>
      </c>
      <c r="B252" s="188"/>
      <c r="C252" s="183" t="s">
        <v>135</v>
      </c>
      <c r="D252" s="179" t="s">
        <v>78</v>
      </c>
      <c r="E252" s="184">
        <f>E251*1.05</f>
        <v>0.27300000000000002</v>
      </c>
      <c r="F252" s="185"/>
      <c r="G252" s="159"/>
      <c r="H252" s="161"/>
      <c r="I252" s="161"/>
      <c r="J252" s="161"/>
      <c r="K252" s="75">
        <f t="shared" si="30"/>
        <v>0</v>
      </c>
      <c r="L252" s="76">
        <f t="shared" si="31"/>
        <v>0</v>
      </c>
      <c r="M252" s="75">
        <f t="shared" si="32"/>
        <v>0</v>
      </c>
      <c r="N252" s="75">
        <f t="shared" si="33"/>
        <v>0</v>
      </c>
      <c r="O252" s="75">
        <f t="shared" si="34"/>
        <v>0</v>
      </c>
      <c r="P252" s="77">
        <f t="shared" si="35"/>
        <v>0</v>
      </c>
    </row>
    <row r="253" spans="1:16" s="61" customFormat="1" x14ac:dyDescent="0.2">
      <c r="A253" s="155">
        <v>0</v>
      </c>
      <c r="B253" s="188"/>
      <c r="C253" s="183" t="s">
        <v>136</v>
      </c>
      <c r="D253" s="179" t="s">
        <v>137</v>
      </c>
      <c r="E253" s="184">
        <f>E251*0.25</f>
        <v>6.5000000000000002E-2</v>
      </c>
      <c r="F253" s="185"/>
      <c r="G253" s="159"/>
      <c r="H253" s="161"/>
      <c r="I253" s="154"/>
      <c r="J253" s="161"/>
      <c r="K253" s="75">
        <f t="shared" si="30"/>
        <v>0</v>
      </c>
      <c r="L253" s="76">
        <f t="shared" si="31"/>
        <v>0</v>
      </c>
      <c r="M253" s="75">
        <f t="shared" si="32"/>
        <v>0</v>
      </c>
      <c r="N253" s="75">
        <f t="shared" si="33"/>
        <v>0</v>
      </c>
      <c r="O253" s="75">
        <f t="shared" si="34"/>
        <v>0</v>
      </c>
      <c r="P253" s="77">
        <f t="shared" si="35"/>
        <v>0</v>
      </c>
    </row>
    <row r="254" spans="1:16" s="61" customFormat="1" x14ac:dyDescent="0.2">
      <c r="A254" s="155">
        <v>0</v>
      </c>
      <c r="B254" s="188"/>
      <c r="C254" s="186"/>
      <c r="D254" s="158"/>
      <c r="E254" s="158"/>
      <c r="F254" s="159"/>
      <c r="G254" s="159"/>
      <c r="H254" s="161"/>
      <c r="I254" s="161"/>
      <c r="J254" s="161"/>
      <c r="K254" s="75">
        <f t="shared" si="30"/>
        <v>0</v>
      </c>
      <c r="L254" s="76">
        <f t="shared" si="31"/>
        <v>0</v>
      </c>
      <c r="M254" s="75">
        <f t="shared" si="32"/>
        <v>0</v>
      </c>
      <c r="N254" s="75">
        <f t="shared" si="33"/>
        <v>0</v>
      </c>
      <c r="O254" s="75">
        <f t="shared" si="34"/>
        <v>0</v>
      </c>
      <c r="P254" s="77">
        <f t="shared" si="35"/>
        <v>0</v>
      </c>
    </row>
    <row r="255" spans="1:16" s="61" customFormat="1" x14ac:dyDescent="0.2">
      <c r="A255" s="155">
        <v>0</v>
      </c>
      <c r="B255" s="188"/>
      <c r="C255" s="376" t="s">
        <v>759</v>
      </c>
      <c r="D255" s="158"/>
      <c r="E255" s="158"/>
      <c r="F255" s="159"/>
      <c r="G255" s="159"/>
      <c r="H255" s="161"/>
      <c r="I255" s="161"/>
      <c r="J255" s="161"/>
      <c r="K255" s="75">
        <f t="shared" si="30"/>
        <v>0</v>
      </c>
      <c r="L255" s="76">
        <f t="shared" si="31"/>
        <v>0</v>
      </c>
      <c r="M255" s="75">
        <f t="shared" si="32"/>
        <v>0</v>
      </c>
      <c r="N255" s="75">
        <f t="shared" si="33"/>
        <v>0</v>
      </c>
      <c r="O255" s="75">
        <f t="shared" si="34"/>
        <v>0</v>
      </c>
      <c r="P255" s="77">
        <f t="shared" si="35"/>
        <v>0</v>
      </c>
    </row>
    <row r="256" spans="1:16" s="61" customFormat="1" ht="25.5" x14ac:dyDescent="0.2">
      <c r="A256" s="155">
        <v>72</v>
      </c>
      <c r="B256" s="188"/>
      <c r="C256" s="173" t="s">
        <v>297</v>
      </c>
      <c r="D256" s="158" t="s">
        <v>83</v>
      </c>
      <c r="E256" s="164">
        <v>4.4000000000000004</v>
      </c>
      <c r="F256" s="161"/>
      <c r="G256" s="159"/>
      <c r="H256" s="161"/>
      <c r="I256" s="161"/>
      <c r="J256" s="161"/>
      <c r="K256" s="75">
        <f t="shared" si="30"/>
        <v>0</v>
      </c>
      <c r="L256" s="76">
        <f t="shared" si="31"/>
        <v>0</v>
      </c>
      <c r="M256" s="75">
        <f t="shared" si="32"/>
        <v>0</v>
      </c>
      <c r="N256" s="75">
        <f t="shared" si="33"/>
        <v>0</v>
      </c>
      <c r="O256" s="75">
        <f t="shared" si="34"/>
        <v>0</v>
      </c>
      <c r="P256" s="77">
        <f t="shared" si="35"/>
        <v>0</v>
      </c>
    </row>
    <row r="257" spans="1:16" s="61" customFormat="1" ht="89.25" x14ac:dyDescent="0.2">
      <c r="A257" s="155">
        <v>73</v>
      </c>
      <c r="B257" s="188"/>
      <c r="C257" s="176" t="s">
        <v>298</v>
      </c>
      <c r="D257" s="158" t="s">
        <v>131</v>
      </c>
      <c r="E257" s="164">
        <f>25.5+26.1</f>
        <v>51.6</v>
      </c>
      <c r="F257" s="177"/>
      <c r="G257" s="159"/>
      <c r="H257" s="161"/>
      <c r="I257" s="161"/>
      <c r="J257" s="161"/>
      <c r="K257" s="75">
        <f t="shared" si="30"/>
        <v>0</v>
      </c>
      <c r="L257" s="76">
        <f t="shared" si="31"/>
        <v>0</v>
      </c>
      <c r="M257" s="75">
        <f t="shared" si="32"/>
        <v>0</v>
      </c>
      <c r="N257" s="75">
        <f t="shared" si="33"/>
        <v>0</v>
      </c>
      <c r="O257" s="75">
        <f t="shared" si="34"/>
        <v>0</v>
      </c>
      <c r="P257" s="77">
        <f t="shared" si="35"/>
        <v>0</v>
      </c>
    </row>
    <row r="258" spans="1:16" s="61" customFormat="1" x14ac:dyDescent="0.2">
      <c r="A258" s="155">
        <v>0</v>
      </c>
      <c r="B258" s="188"/>
      <c r="C258" s="178" t="s">
        <v>132</v>
      </c>
      <c r="D258" s="179" t="s">
        <v>131</v>
      </c>
      <c r="E258" s="180">
        <f>E257*1.15</f>
        <v>59.339999999999996</v>
      </c>
      <c r="F258" s="159"/>
      <c r="G258" s="159"/>
      <c r="H258" s="161"/>
      <c r="I258" s="161"/>
      <c r="J258" s="161"/>
      <c r="K258" s="75">
        <f t="shared" si="30"/>
        <v>0</v>
      </c>
      <c r="L258" s="76">
        <f t="shared" si="31"/>
        <v>0</v>
      </c>
      <c r="M258" s="75">
        <f t="shared" si="32"/>
        <v>0</v>
      </c>
      <c r="N258" s="75">
        <f t="shared" si="33"/>
        <v>0</v>
      </c>
      <c r="O258" s="75">
        <f t="shared" si="34"/>
        <v>0</v>
      </c>
      <c r="P258" s="77">
        <f t="shared" si="35"/>
        <v>0</v>
      </c>
    </row>
    <row r="259" spans="1:16" s="61" customFormat="1" ht="25.5" x14ac:dyDescent="0.2">
      <c r="A259" s="155">
        <v>0</v>
      </c>
      <c r="B259" s="188"/>
      <c r="C259" s="181" t="s">
        <v>133</v>
      </c>
      <c r="D259" s="158" t="s">
        <v>66</v>
      </c>
      <c r="E259" s="182">
        <v>1</v>
      </c>
      <c r="F259" s="159"/>
      <c r="G259" s="159"/>
      <c r="H259" s="161"/>
      <c r="I259" s="161"/>
      <c r="J259" s="161"/>
      <c r="K259" s="75">
        <f t="shared" si="30"/>
        <v>0</v>
      </c>
      <c r="L259" s="76">
        <f t="shared" si="31"/>
        <v>0</v>
      </c>
      <c r="M259" s="75">
        <f t="shared" si="32"/>
        <v>0</v>
      </c>
      <c r="N259" s="75">
        <f t="shared" si="33"/>
        <v>0</v>
      </c>
      <c r="O259" s="75">
        <f t="shared" si="34"/>
        <v>0</v>
      </c>
      <c r="P259" s="77">
        <f t="shared" si="35"/>
        <v>0</v>
      </c>
    </row>
    <row r="260" spans="1:16" s="61" customFormat="1" ht="25.5" x14ac:dyDescent="0.2">
      <c r="A260" s="155">
        <v>74</v>
      </c>
      <c r="B260" s="188"/>
      <c r="C260" s="176" t="s">
        <v>186</v>
      </c>
      <c r="D260" s="179" t="s">
        <v>78</v>
      </c>
      <c r="E260" s="164">
        <v>0.36</v>
      </c>
      <c r="F260" s="159"/>
      <c r="G260" s="159"/>
      <c r="H260" s="161"/>
      <c r="I260" s="161"/>
      <c r="J260" s="161"/>
      <c r="K260" s="75">
        <f t="shared" si="30"/>
        <v>0</v>
      </c>
      <c r="L260" s="76">
        <f t="shared" si="31"/>
        <v>0</v>
      </c>
      <c r="M260" s="75">
        <f t="shared" si="32"/>
        <v>0</v>
      </c>
      <c r="N260" s="75">
        <f t="shared" si="33"/>
        <v>0</v>
      </c>
      <c r="O260" s="75">
        <f t="shared" si="34"/>
        <v>0</v>
      </c>
      <c r="P260" s="77">
        <f t="shared" si="35"/>
        <v>0</v>
      </c>
    </row>
    <row r="261" spans="1:16" s="61" customFormat="1" x14ac:dyDescent="0.2">
      <c r="A261" s="155">
        <v>0</v>
      </c>
      <c r="B261" s="188"/>
      <c r="C261" s="183" t="s">
        <v>135</v>
      </c>
      <c r="D261" s="179" t="s">
        <v>78</v>
      </c>
      <c r="E261" s="184">
        <f>E260*1.05</f>
        <v>0.378</v>
      </c>
      <c r="F261" s="185"/>
      <c r="G261" s="159"/>
      <c r="H261" s="161"/>
      <c r="I261" s="161"/>
      <c r="J261" s="161"/>
      <c r="K261" s="75">
        <f t="shared" si="30"/>
        <v>0</v>
      </c>
      <c r="L261" s="76">
        <f t="shared" si="31"/>
        <v>0</v>
      </c>
      <c r="M261" s="75">
        <f t="shared" si="32"/>
        <v>0</v>
      </c>
      <c r="N261" s="75">
        <f t="shared" si="33"/>
        <v>0</v>
      </c>
      <c r="O261" s="75">
        <f t="shared" si="34"/>
        <v>0</v>
      </c>
      <c r="P261" s="77">
        <f t="shared" si="35"/>
        <v>0</v>
      </c>
    </row>
    <row r="262" spans="1:16" s="61" customFormat="1" x14ac:dyDescent="0.2">
      <c r="A262" s="155">
        <v>0</v>
      </c>
      <c r="B262" s="188"/>
      <c r="C262" s="183" t="s">
        <v>136</v>
      </c>
      <c r="D262" s="179" t="s">
        <v>137</v>
      </c>
      <c r="E262" s="184">
        <f>E260*0.25</f>
        <v>0.09</v>
      </c>
      <c r="F262" s="185"/>
      <c r="G262" s="159"/>
      <c r="H262" s="161"/>
      <c r="I262" s="154"/>
      <c r="J262" s="161"/>
      <c r="K262" s="75">
        <f t="shared" si="30"/>
        <v>0</v>
      </c>
      <c r="L262" s="76">
        <f t="shared" si="31"/>
        <v>0</v>
      </c>
      <c r="M262" s="75">
        <f t="shared" si="32"/>
        <v>0</v>
      </c>
      <c r="N262" s="75">
        <f t="shared" si="33"/>
        <v>0</v>
      </c>
      <c r="O262" s="75">
        <f t="shared" si="34"/>
        <v>0</v>
      </c>
      <c r="P262" s="77">
        <f t="shared" si="35"/>
        <v>0</v>
      </c>
    </row>
    <row r="263" spans="1:16" s="61" customFormat="1" x14ac:dyDescent="0.2">
      <c r="A263" s="155">
        <v>0</v>
      </c>
      <c r="B263" s="188"/>
      <c r="C263" s="188"/>
      <c r="D263" s="188"/>
      <c r="E263" s="188"/>
      <c r="F263" s="188"/>
      <c r="G263" s="188"/>
      <c r="H263" s="188"/>
      <c r="I263" s="188"/>
      <c r="J263" s="188"/>
      <c r="K263" s="75">
        <f t="shared" si="30"/>
        <v>0</v>
      </c>
      <c r="L263" s="76">
        <f t="shared" si="31"/>
        <v>0</v>
      </c>
      <c r="M263" s="75">
        <f t="shared" si="32"/>
        <v>0</v>
      </c>
      <c r="N263" s="75">
        <f t="shared" si="33"/>
        <v>0</v>
      </c>
      <c r="O263" s="75">
        <f t="shared" si="34"/>
        <v>0</v>
      </c>
      <c r="P263" s="77">
        <f t="shared" si="35"/>
        <v>0</v>
      </c>
    </row>
    <row r="264" spans="1:16" s="61" customFormat="1" ht="31.5" x14ac:dyDescent="0.2">
      <c r="A264" s="362">
        <v>0</v>
      </c>
      <c r="B264" s="144"/>
      <c r="C264" s="168" t="s">
        <v>299</v>
      </c>
      <c r="D264" s="146"/>
      <c r="E264" s="147"/>
      <c r="F264" s="148"/>
      <c r="G264" s="148"/>
      <c r="H264" s="149"/>
      <c r="I264" s="149"/>
      <c r="J264" s="149"/>
      <c r="K264" s="75">
        <f t="shared" si="30"/>
        <v>0</v>
      </c>
      <c r="L264" s="76">
        <f t="shared" si="31"/>
        <v>0</v>
      </c>
      <c r="M264" s="75">
        <f t="shared" si="32"/>
        <v>0</v>
      </c>
      <c r="N264" s="75">
        <f t="shared" si="33"/>
        <v>0</v>
      </c>
      <c r="O264" s="75">
        <f t="shared" si="34"/>
        <v>0</v>
      </c>
      <c r="P264" s="77">
        <f t="shared" si="35"/>
        <v>0</v>
      </c>
    </row>
    <row r="265" spans="1:16" s="61" customFormat="1" x14ac:dyDescent="0.2">
      <c r="A265" s="155">
        <v>0</v>
      </c>
      <c r="B265" s="156"/>
      <c r="C265" s="197" t="s">
        <v>300</v>
      </c>
      <c r="D265" s="179"/>
      <c r="E265" s="184"/>
      <c r="F265" s="185"/>
      <c r="G265" s="159"/>
      <c r="H265" s="161"/>
      <c r="I265" s="154"/>
      <c r="J265" s="161"/>
      <c r="K265" s="75">
        <f t="shared" si="30"/>
        <v>0</v>
      </c>
      <c r="L265" s="76">
        <f t="shared" si="31"/>
        <v>0</v>
      </c>
      <c r="M265" s="75">
        <f t="shared" si="32"/>
        <v>0</v>
      </c>
      <c r="N265" s="75">
        <f t="shared" si="33"/>
        <v>0</v>
      </c>
      <c r="O265" s="75">
        <f t="shared" si="34"/>
        <v>0</v>
      </c>
      <c r="P265" s="77">
        <f t="shared" si="35"/>
        <v>0</v>
      </c>
    </row>
    <row r="266" spans="1:16" s="61" customFormat="1" ht="38.25" x14ac:dyDescent="0.2">
      <c r="A266" s="155">
        <v>75</v>
      </c>
      <c r="B266" s="156"/>
      <c r="C266" s="157" t="s">
        <v>301</v>
      </c>
      <c r="D266" s="158" t="s">
        <v>115</v>
      </c>
      <c r="E266" s="159">
        <v>23</v>
      </c>
      <c r="F266" s="163"/>
      <c r="G266" s="159"/>
      <c r="H266" s="161"/>
      <c r="I266" s="161"/>
      <c r="J266" s="162"/>
      <c r="K266" s="75">
        <f t="shared" si="30"/>
        <v>0</v>
      </c>
      <c r="L266" s="76">
        <f t="shared" si="31"/>
        <v>0</v>
      </c>
      <c r="M266" s="75">
        <f t="shared" si="32"/>
        <v>0</v>
      </c>
      <c r="N266" s="75">
        <f t="shared" si="33"/>
        <v>0</v>
      </c>
      <c r="O266" s="75">
        <f t="shared" si="34"/>
        <v>0</v>
      </c>
      <c r="P266" s="77">
        <f t="shared" si="35"/>
        <v>0</v>
      </c>
    </row>
    <row r="267" spans="1:16" s="61" customFormat="1" x14ac:dyDescent="0.2">
      <c r="A267" s="155">
        <v>76</v>
      </c>
      <c r="B267" s="156"/>
      <c r="C267" s="249" t="s">
        <v>302</v>
      </c>
      <c r="D267" s="158" t="s">
        <v>115</v>
      </c>
      <c r="E267" s="159">
        <v>54</v>
      </c>
      <c r="F267" s="163"/>
      <c r="G267" s="159"/>
      <c r="H267" s="161"/>
      <c r="I267" s="161"/>
      <c r="J267" s="162"/>
      <c r="K267" s="75">
        <f t="shared" si="30"/>
        <v>0</v>
      </c>
      <c r="L267" s="76">
        <f t="shared" si="31"/>
        <v>0</v>
      </c>
      <c r="M267" s="75">
        <f t="shared" si="32"/>
        <v>0</v>
      </c>
      <c r="N267" s="75">
        <f t="shared" si="33"/>
        <v>0</v>
      </c>
      <c r="O267" s="75">
        <f t="shared" si="34"/>
        <v>0</v>
      </c>
      <c r="P267" s="77">
        <f t="shared" si="35"/>
        <v>0</v>
      </c>
    </row>
    <row r="268" spans="1:16" s="61" customFormat="1" ht="25.5" x14ac:dyDescent="0.2">
      <c r="A268" s="155">
        <v>77</v>
      </c>
      <c r="B268" s="156"/>
      <c r="C268" s="173" t="s">
        <v>127</v>
      </c>
      <c r="D268" s="174" t="s">
        <v>83</v>
      </c>
      <c r="E268" s="172">
        <v>32</v>
      </c>
      <c r="F268" s="161"/>
      <c r="G268" s="159"/>
      <c r="H268" s="161"/>
      <c r="I268" s="161"/>
      <c r="J268" s="161"/>
      <c r="K268" s="75">
        <f t="shared" ref="K268:K323" si="36">SUM(H268:J268)</f>
        <v>0</v>
      </c>
      <c r="L268" s="76">
        <f t="shared" ref="L268:L323" si="37">ROUND(F268*E268,2)</f>
        <v>0</v>
      </c>
      <c r="M268" s="75">
        <f t="shared" ref="M268:M323" si="38">ROUND(H268*E268,2)</f>
        <v>0</v>
      </c>
      <c r="N268" s="75">
        <f t="shared" ref="N268:N323" si="39">ROUND(I268*E268,2)</f>
        <v>0</v>
      </c>
      <c r="O268" s="75">
        <f t="shared" ref="O268:O323" si="40">ROUND(J268*E268,2)</f>
        <v>0</v>
      </c>
      <c r="P268" s="77">
        <f t="shared" ref="P268:P323" si="41">SUM(M268:O268)</f>
        <v>0</v>
      </c>
    </row>
    <row r="269" spans="1:16" s="61" customFormat="1" ht="89.25" x14ac:dyDescent="0.2">
      <c r="A269" s="155">
        <v>78</v>
      </c>
      <c r="B269" s="156"/>
      <c r="C269" s="312" t="s">
        <v>130</v>
      </c>
      <c r="D269" s="308" t="s">
        <v>131</v>
      </c>
      <c r="E269" s="335">
        <f>189.48+193.94</f>
        <v>383.41999999999996</v>
      </c>
      <c r="F269" s="313"/>
      <c r="G269" s="309"/>
      <c r="H269" s="310"/>
      <c r="I269" s="310"/>
      <c r="J269" s="310"/>
      <c r="K269" s="75">
        <f t="shared" si="36"/>
        <v>0</v>
      </c>
      <c r="L269" s="76">
        <f t="shared" si="37"/>
        <v>0</v>
      </c>
      <c r="M269" s="75">
        <f t="shared" si="38"/>
        <v>0</v>
      </c>
      <c r="N269" s="75">
        <f t="shared" si="39"/>
        <v>0</v>
      </c>
      <c r="O269" s="75">
        <f t="shared" si="40"/>
        <v>0</v>
      </c>
      <c r="P269" s="77">
        <f t="shared" si="41"/>
        <v>0</v>
      </c>
    </row>
    <row r="270" spans="1:16" s="61" customFormat="1" x14ac:dyDescent="0.2">
      <c r="A270" s="155">
        <v>0</v>
      </c>
      <c r="B270" s="156"/>
      <c r="C270" s="314" t="s">
        <v>132</v>
      </c>
      <c r="D270" s="315" t="s">
        <v>131</v>
      </c>
      <c r="E270" s="316">
        <f>E269*1.15</f>
        <v>440.93299999999994</v>
      </c>
      <c r="F270" s="309"/>
      <c r="G270" s="309"/>
      <c r="H270" s="310"/>
      <c r="I270" s="310"/>
      <c r="J270" s="310"/>
      <c r="K270" s="75">
        <f t="shared" si="36"/>
        <v>0</v>
      </c>
      <c r="L270" s="76">
        <f t="shared" si="37"/>
        <v>0</v>
      </c>
      <c r="M270" s="75">
        <f t="shared" si="38"/>
        <v>0</v>
      </c>
      <c r="N270" s="75">
        <f t="shared" si="39"/>
        <v>0</v>
      </c>
      <c r="O270" s="75">
        <f t="shared" si="40"/>
        <v>0</v>
      </c>
      <c r="P270" s="77">
        <f t="shared" si="41"/>
        <v>0</v>
      </c>
    </row>
    <row r="271" spans="1:16" s="61" customFormat="1" ht="25.5" x14ac:dyDescent="0.2">
      <c r="A271" s="155">
        <v>0</v>
      </c>
      <c r="B271" s="156"/>
      <c r="C271" s="317" t="s">
        <v>133</v>
      </c>
      <c r="D271" s="308" t="s">
        <v>66</v>
      </c>
      <c r="E271" s="308">
        <v>1</v>
      </c>
      <c r="F271" s="309"/>
      <c r="G271" s="309"/>
      <c r="H271" s="310"/>
      <c r="I271" s="310"/>
      <c r="J271" s="310"/>
      <c r="K271" s="75">
        <f t="shared" si="36"/>
        <v>0</v>
      </c>
      <c r="L271" s="76">
        <f t="shared" si="37"/>
        <v>0</v>
      </c>
      <c r="M271" s="75">
        <f t="shared" si="38"/>
        <v>0</v>
      </c>
      <c r="N271" s="75">
        <f t="shared" si="39"/>
        <v>0</v>
      </c>
      <c r="O271" s="75">
        <f t="shared" si="40"/>
        <v>0</v>
      </c>
      <c r="P271" s="77">
        <f t="shared" si="41"/>
        <v>0</v>
      </c>
    </row>
    <row r="272" spans="1:16" s="61" customFormat="1" ht="25.5" x14ac:dyDescent="0.2">
      <c r="A272" s="155">
        <v>79</v>
      </c>
      <c r="B272" s="156"/>
      <c r="C272" s="312" t="s">
        <v>138</v>
      </c>
      <c r="D272" s="308" t="s">
        <v>115</v>
      </c>
      <c r="E272" s="309">
        <v>7.34</v>
      </c>
      <c r="F272" s="309"/>
      <c r="G272" s="309"/>
      <c r="H272" s="310"/>
      <c r="I272" s="310"/>
      <c r="J272" s="310"/>
      <c r="K272" s="75">
        <f t="shared" si="36"/>
        <v>0</v>
      </c>
      <c r="L272" s="76">
        <f t="shared" si="37"/>
        <v>0</v>
      </c>
      <c r="M272" s="75">
        <f t="shared" si="38"/>
        <v>0</v>
      </c>
      <c r="N272" s="75">
        <f t="shared" si="39"/>
        <v>0</v>
      </c>
      <c r="O272" s="75">
        <f t="shared" si="40"/>
        <v>0</v>
      </c>
      <c r="P272" s="77">
        <f t="shared" si="41"/>
        <v>0</v>
      </c>
    </row>
    <row r="273" spans="1:16" s="61" customFormat="1" x14ac:dyDescent="0.2">
      <c r="A273" s="155">
        <v>0</v>
      </c>
      <c r="B273" s="156"/>
      <c r="C273" s="318" t="s">
        <v>139</v>
      </c>
      <c r="D273" s="308" t="s">
        <v>115</v>
      </c>
      <c r="E273" s="319">
        <f>E272*1.05</f>
        <v>7.7069999999999999</v>
      </c>
      <c r="F273" s="320"/>
      <c r="G273" s="309"/>
      <c r="H273" s="310"/>
      <c r="I273" s="310"/>
      <c r="J273" s="310"/>
      <c r="K273" s="75">
        <f t="shared" si="36"/>
        <v>0</v>
      </c>
      <c r="L273" s="76">
        <f t="shared" si="37"/>
        <v>0</v>
      </c>
      <c r="M273" s="75">
        <f t="shared" si="38"/>
        <v>0</v>
      </c>
      <c r="N273" s="75">
        <f t="shared" si="39"/>
        <v>0</v>
      </c>
      <c r="O273" s="75">
        <f t="shared" si="40"/>
        <v>0</v>
      </c>
      <c r="P273" s="77">
        <f t="shared" si="41"/>
        <v>0</v>
      </c>
    </row>
    <row r="274" spans="1:16" s="61" customFormat="1" x14ac:dyDescent="0.2">
      <c r="A274" s="155">
        <v>0</v>
      </c>
      <c r="B274" s="156"/>
      <c r="C274" s="318" t="s">
        <v>136</v>
      </c>
      <c r="D274" s="315" t="s">
        <v>137</v>
      </c>
      <c r="E274" s="319">
        <f>E272*0.25</f>
        <v>1.835</v>
      </c>
      <c r="F274" s="320"/>
      <c r="G274" s="309"/>
      <c r="H274" s="310"/>
      <c r="I274" s="321"/>
      <c r="J274" s="310"/>
      <c r="K274" s="75">
        <f t="shared" si="36"/>
        <v>0</v>
      </c>
      <c r="L274" s="76">
        <f t="shared" si="37"/>
        <v>0</v>
      </c>
      <c r="M274" s="75">
        <f t="shared" si="38"/>
        <v>0</v>
      </c>
      <c r="N274" s="75">
        <f t="shared" si="39"/>
        <v>0</v>
      </c>
      <c r="O274" s="75">
        <f t="shared" si="40"/>
        <v>0</v>
      </c>
      <c r="P274" s="77">
        <f t="shared" si="41"/>
        <v>0</v>
      </c>
    </row>
    <row r="275" spans="1:16" s="61" customFormat="1" ht="15" x14ac:dyDescent="0.2">
      <c r="A275" s="155">
        <v>80</v>
      </c>
      <c r="B275" s="156"/>
      <c r="C275" s="338" t="s">
        <v>303</v>
      </c>
      <c r="D275" s="308" t="s">
        <v>115</v>
      </c>
      <c r="E275" s="309">
        <v>10.5</v>
      </c>
      <c r="F275" s="309"/>
      <c r="G275" s="309"/>
      <c r="H275" s="310"/>
      <c r="I275" s="310"/>
      <c r="J275" s="310"/>
      <c r="K275" s="75">
        <f t="shared" si="36"/>
        <v>0</v>
      </c>
      <c r="L275" s="76">
        <f t="shared" si="37"/>
        <v>0</v>
      </c>
      <c r="M275" s="75">
        <f t="shared" si="38"/>
        <v>0</v>
      </c>
      <c r="N275" s="75">
        <f t="shared" si="39"/>
        <v>0</v>
      </c>
      <c r="O275" s="75">
        <f t="shared" si="40"/>
        <v>0</v>
      </c>
      <c r="P275" s="77">
        <f t="shared" si="41"/>
        <v>0</v>
      </c>
    </row>
    <row r="276" spans="1:16" s="61" customFormat="1" ht="31.5" x14ac:dyDescent="0.2">
      <c r="A276" s="362">
        <v>0</v>
      </c>
      <c r="B276" s="144"/>
      <c r="C276" s="168" t="s">
        <v>299</v>
      </c>
      <c r="D276" s="146"/>
      <c r="E276" s="147"/>
      <c r="F276" s="148"/>
      <c r="G276" s="148"/>
      <c r="H276" s="149"/>
      <c r="I276" s="149"/>
      <c r="J276" s="149"/>
      <c r="K276" s="75">
        <f t="shared" si="36"/>
        <v>0</v>
      </c>
      <c r="L276" s="76">
        <f t="shared" si="37"/>
        <v>0</v>
      </c>
      <c r="M276" s="75">
        <f t="shared" si="38"/>
        <v>0</v>
      </c>
      <c r="N276" s="75">
        <f t="shared" si="39"/>
        <v>0</v>
      </c>
      <c r="O276" s="75">
        <f t="shared" si="40"/>
        <v>0</v>
      </c>
      <c r="P276" s="77">
        <f t="shared" si="41"/>
        <v>0</v>
      </c>
    </row>
    <row r="277" spans="1:16" s="61" customFormat="1" x14ac:dyDescent="0.2">
      <c r="A277" s="155">
        <v>0</v>
      </c>
      <c r="B277" s="156"/>
      <c r="C277" s="197" t="s">
        <v>304</v>
      </c>
      <c r="D277" s="158"/>
      <c r="E277" s="158"/>
      <c r="F277" s="159"/>
      <c r="G277" s="159"/>
      <c r="H277" s="161"/>
      <c r="I277" s="161"/>
      <c r="J277" s="161"/>
      <c r="K277" s="75">
        <f t="shared" si="36"/>
        <v>0</v>
      </c>
      <c r="L277" s="76">
        <f t="shared" si="37"/>
        <v>0</v>
      </c>
      <c r="M277" s="75">
        <f t="shared" si="38"/>
        <v>0</v>
      </c>
      <c r="N277" s="75">
        <f t="shared" si="39"/>
        <v>0</v>
      </c>
      <c r="O277" s="75">
        <f t="shared" si="40"/>
        <v>0</v>
      </c>
      <c r="P277" s="77">
        <f t="shared" si="41"/>
        <v>0</v>
      </c>
    </row>
    <row r="278" spans="1:16" s="61" customFormat="1" ht="89.25" x14ac:dyDescent="0.2">
      <c r="A278" s="155">
        <v>81</v>
      </c>
      <c r="B278" s="156" t="s">
        <v>126</v>
      </c>
      <c r="C278" s="176" t="s">
        <v>305</v>
      </c>
      <c r="D278" s="182" t="s">
        <v>131</v>
      </c>
      <c r="E278" s="164">
        <f>113.07+49.23+10.46+34.68+5.56+13</f>
        <v>226</v>
      </c>
      <c r="F278" s="159"/>
      <c r="G278" s="159"/>
      <c r="H278" s="161"/>
      <c r="I278" s="161"/>
      <c r="J278" s="161"/>
      <c r="K278" s="75">
        <f t="shared" si="36"/>
        <v>0</v>
      </c>
      <c r="L278" s="76">
        <f t="shared" si="37"/>
        <v>0</v>
      </c>
      <c r="M278" s="75">
        <f t="shared" si="38"/>
        <v>0</v>
      </c>
      <c r="N278" s="75">
        <f t="shared" si="39"/>
        <v>0</v>
      </c>
      <c r="O278" s="75">
        <f t="shared" si="40"/>
        <v>0</v>
      </c>
      <c r="P278" s="77">
        <f t="shared" si="41"/>
        <v>0</v>
      </c>
    </row>
    <row r="279" spans="1:16" s="61" customFormat="1" x14ac:dyDescent="0.2">
      <c r="A279" s="155">
        <v>0</v>
      </c>
      <c r="B279" s="156"/>
      <c r="C279" s="178" t="s">
        <v>132</v>
      </c>
      <c r="D279" s="179" t="s">
        <v>131</v>
      </c>
      <c r="E279" s="180">
        <f>E278*1.15</f>
        <v>259.89999999999998</v>
      </c>
      <c r="F279" s="159"/>
      <c r="G279" s="159"/>
      <c r="H279" s="161"/>
      <c r="I279" s="161"/>
      <c r="J279" s="161"/>
      <c r="K279" s="75">
        <f t="shared" si="36"/>
        <v>0</v>
      </c>
      <c r="L279" s="76">
        <f t="shared" si="37"/>
        <v>0</v>
      </c>
      <c r="M279" s="75">
        <f t="shared" si="38"/>
        <v>0</v>
      </c>
      <c r="N279" s="75">
        <f t="shared" si="39"/>
        <v>0</v>
      </c>
      <c r="O279" s="75">
        <f t="shared" si="40"/>
        <v>0</v>
      </c>
      <c r="P279" s="77">
        <f t="shared" si="41"/>
        <v>0</v>
      </c>
    </row>
    <row r="280" spans="1:16" s="61" customFormat="1" ht="15" x14ac:dyDescent="0.25">
      <c r="A280" s="155">
        <v>0</v>
      </c>
      <c r="B280" s="156"/>
      <c r="C280" s="336" t="s">
        <v>306</v>
      </c>
      <c r="D280" s="337" t="s">
        <v>59</v>
      </c>
      <c r="E280" s="316">
        <v>16</v>
      </c>
      <c r="F280" s="309"/>
      <c r="G280" s="309"/>
      <c r="H280" s="310"/>
      <c r="I280" s="310"/>
      <c r="J280" s="310"/>
      <c r="K280" s="75">
        <f t="shared" si="36"/>
        <v>0</v>
      </c>
      <c r="L280" s="76">
        <f t="shared" si="37"/>
        <v>0</v>
      </c>
      <c r="M280" s="75">
        <f t="shared" si="38"/>
        <v>0</v>
      </c>
      <c r="N280" s="75">
        <f t="shared" si="39"/>
        <v>0</v>
      </c>
      <c r="O280" s="75">
        <f t="shared" si="40"/>
        <v>0</v>
      </c>
      <c r="P280" s="77">
        <f t="shared" si="41"/>
        <v>0</v>
      </c>
    </row>
    <row r="281" spans="1:16" s="61" customFormat="1" ht="25.5" x14ac:dyDescent="0.2">
      <c r="A281" s="155">
        <v>0</v>
      </c>
      <c r="B281" s="156"/>
      <c r="C281" s="317" t="s">
        <v>133</v>
      </c>
      <c r="D281" s="308" t="s">
        <v>66</v>
      </c>
      <c r="E281" s="308">
        <v>1</v>
      </c>
      <c r="F281" s="309"/>
      <c r="G281" s="309"/>
      <c r="H281" s="310"/>
      <c r="I281" s="310"/>
      <c r="J281" s="310"/>
      <c r="K281" s="75">
        <f t="shared" si="36"/>
        <v>0</v>
      </c>
      <c r="L281" s="76">
        <f t="shared" si="37"/>
        <v>0</v>
      </c>
      <c r="M281" s="75">
        <f t="shared" si="38"/>
        <v>0</v>
      </c>
      <c r="N281" s="75">
        <f t="shared" si="39"/>
        <v>0</v>
      </c>
      <c r="O281" s="75">
        <f t="shared" si="40"/>
        <v>0</v>
      </c>
      <c r="P281" s="77">
        <f t="shared" si="41"/>
        <v>0</v>
      </c>
    </row>
    <row r="282" spans="1:16" s="61" customFormat="1" x14ac:dyDescent="0.2">
      <c r="A282" s="155">
        <v>82</v>
      </c>
      <c r="B282" s="156"/>
      <c r="C282" s="327" t="s">
        <v>307</v>
      </c>
      <c r="D282" s="308" t="s">
        <v>59</v>
      </c>
      <c r="E282" s="308">
        <v>2</v>
      </c>
      <c r="F282" s="309"/>
      <c r="G282" s="309"/>
      <c r="H282" s="310"/>
      <c r="I282" s="310"/>
      <c r="J282" s="310"/>
      <c r="K282" s="75">
        <f t="shared" si="36"/>
        <v>0</v>
      </c>
      <c r="L282" s="76">
        <f t="shared" si="37"/>
        <v>0</v>
      </c>
      <c r="M282" s="75">
        <f t="shared" si="38"/>
        <v>0</v>
      </c>
      <c r="N282" s="75">
        <f t="shared" si="39"/>
        <v>0</v>
      </c>
      <c r="O282" s="75">
        <f t="shared" si="40"/>
        <v>0</v>
      </c>
      <c r="P282" s="77">
        <f t="shared" si="41"/>
        <v>0</v>
      </c>
    </row>
    <row r="283" spans="1:16" s="61" customFormat="1" x14ac:dyDescent="0.2">
      <c r="A283" s="155">
        <v>83</v>
      </c>
      <c r="B283" s="156"/>
      <c r="C283" s="327" t="s">
        <v>308</v>
      </c>
      <c r="D283" s="308" t="s">
        <v>59</v>
      </c>
      <c r="E283" s="308">
        <v>5</v>
      </c>
      <c r="F283" s="309"/>
      <c r="G283" s="309"/>
      <c r="H283" s="310"/>
      <c r="I283" s="310"/>
      <c r="J283" s="310"/>
      <c r="K283" s="75">
        <f t="shared" si="36"/>
        <v>0</v>
      </c>
      <c r="L283" s="76">
        <f t="shared" si="37"/>
        <v>0</v>
      </c>
      <c r="M283" s="75">
        <f t="shared" si="38"/>
        <v>0</v>
      </c>
      <c r="N283" s="75">
        <f t="shared" si="39"/>
        <v>0</v>
      </c>
      <c r="O283" s="75">
        <f t="shared" si="40"/>
        <v>0</v>
      </c>
      <c r="P283" s="77">
        <f t="shared" si="41"/>
        <v>0</v>
      </c>
    </row>
    <row r="284" spans="1:16" s="61" customFormat="1" ht="63.75" x14ac:dyDescent="0.2">
      <c r="A284" s="155">
        <v>84</v>
      </c>
      <c r="B284" s="156"/>
      <c r="C284" s="166" t="s">
        <v>284</v>
      </c>
      <c r="D284" s="158" t="s">
        <v>131</v>
      </c>
      <c r="E284" s="182">
        <f>334.64</f>
        <v>334.64</v>
      </c>
      <c r="F284" s="158"/>
      <c r="G284" s="159"/>
      <c r="H284" s="161"/>
      <c r="I284" s="161"/>
      <c r="J284" s="161"/>
      <c r="K284" s="75">
        <f t="shared" si="36"/>
        <v>0</v>
      </c>
      <c r="L284" s="76">
        <f t="shared" si="37"/>
        <v>0</v>
      </c>
      <c r="M284" s="75">
        <f t="shared" si="38"/>
        <v>0</v>
      </c>
      <c r="N284" s="75">
        <f t="shared" si="39"/>
        <v>0</v>
      </c>
      <c r="O284" s="75">
        <f t="shared" si="40"/>
        <v>0</v>
      </c>
      <c r="P284" s="77">
        <f t="shared" si="41"/>
        <v>0</v>
      </c>
    </row>
    <row r="285" spans="1:16" s="61" customFormat="1" x14ac:dyDescent="0.2">
      <c r="A285" s="155">
        <v>0</v>
      </c>
      <c r="B285" s="156"/>
      <c r="C285" s="189" t="s">
        <v>146</v>
      </c>
      <c r="D285" s="190" t="s">
        <v>131</v>
      </c>
      <c r="E285" s="191">
        <f>E284*1.1</f>
        <v>368.10400000000004</v>
      </c>
      <c r="F285" s="159"/>
      <c r="G285" s="159"/>
      <c r="H285" s="161"/>
      <c r="I285" s="161"/>
      <c r="J285" s="161"/>
      <c r="K285" s="75">
        <f t="shared" si="36"/>
        <v>0</v>
      </c>
      <c r="L285" s="76">
        <f t="shared" si="37"/>
        <v>0</v>
      </c>
      <c r="M285" s="75">
        <f t="shared" si="38"/>
        <v>0</v>
      </c>
      <c r="N285" s="75">
        <f t="shared" si="39"/>
        <v>0</v>
      </c>
      <c r="O285" s="75">
        <f t="shared" si="40"/>
        <v>0</v>
      </c>
      <c r="P285" s="77">
        <f t="shared" si="41"/>
        <v>0</v>
      </c>
    </row>
    <row r="286" spans="1:16" s="61" customFormat="1" ht="25.5" x14ac:dyDescent="0.2">
      <c r="A286" s="155">
        <v>0</v>
      </c>
      <c r="B286" s="156"/>
      <c r="C286" s="192" t="s">
        <v>147</v>
      </c>
      <c r="D286" s="158" t="s">
        <v>66</v>
      </c>
      <c r="E286" s="180">
        <v>1</v>
      </c>
      <c r="F286" s="190"/>
      <c r="G286" s="159"/>
      <c r="H286" s="161"/>
      <c r="I286" s="161"/>
      <c r="J286" s="161"/>
      <c r="K286" s="75">
        <f t="shared" si="36"/>
        <v>0</v>
      </c>
      <c r="L286" s="76">
        <f t="shared" si="37"/>
        <v>0</v>
      </c>
      <c r="M286" s="75">
        <f t="shared" si="38"/>
        <v>0</v>
      </c>
      <c r="N286" s="75">
        <f t="shared" si="39"/>
        <v>0</v>
      </c>
      <c r="O286" s="75">
        <f t="shared" si="40"/>
        <v>0</v>
      </c>
      <c r="P286" s="77">
        <f t="shared" si="41"/>
        <v>0</v>
      </c>
    </row>
    <row r="287" spans="1:16" s="61" customFormat="1" ht="38.25" x14ac:dyDescent="0.2">
      <c r="A287" s="155">
        <v>85</v>
      </c>
      <c r="B287" s="156"/>
      <c r="C287" s="245" t="s">
        <v>285</v>
      </c>
      <c r="D287" s="179" t="s">
        <v>83</v>
      </c>
      <c r="E287" s="184">
        <v>8</v>
      </c>
      <c r="F287" s="179"/>
      <c r="G287" s="184"/>
      <c r="H287" s="184"/>
      <c r="I287" s="184"/>
      <c r="J287" s="184"/>
      <c r="K287" s="75">
        <f t="shared" si="36"/>
        <v>0</v>
      </c>
      <c r="L287" s="76">
        <f t="shared" si="37"/>
        <v>0</v>
      </c>
      <c r="M287" s="75">
        <f t="shared" si="38"/>
        <v>0</v>
      </c>
      <c r="N287" s="75">
        <f t="shared" si="39"/>
        <v>0</v>
      </c>
      <c r="O287" s="75">
        <f t="shared" si="40"/>
        <v>0</v>
      </c>
      <c r="P287" s="77">
        <f t="shared" si="41"/>
        <v>0</v>
      </c>
    </row>
    <row r="288" spans="1:16" s="61" customFormat="1" x14ac:dyDescent="0.2">
      <c r="A288" s="155">
        <v>0</v>
      </c>
      <c r="B288" s="156"/>
      <c r="C288" s="246" t="s">
        <v>286</v>
      </c>
      <c r="D288" s="179" t="s">
        <v>83</v>
      </c>
      <c r="E288" s="184">
        <f>E287*1.05</f>
        <v>8.4</v>
      </c>
      <c r="F288" s="179"/>
      <c r="G288" s="184"/>
      <c r="H288" s="184"/>
      <c r="I288" s="184"/>
      <c r="J288" s="184"/>
      <c r="K288" s="75">
        <f t="shared" si="36"/>
        <v>0</v>
      </c>
      <c r="L288" s="76">
        <f t="shared" si="37"/>
        <v>0</v>
      </c>
      <c r="M288" s="75">
        <f t="shared" si="38"/>
        <v>0</v>
      </c>
      <c r="N288" s="75">
        <f t="shared" si="39"/>
        <v>0</v>
      </c>
      <c r="O288" s="75">
        <f t="shared" si="40"/>
        <v>0</v>
      </c>
      <c r="P288" s="77">
        <f t="shared" si="41"/>
        <v>0</v>
      </c>
    </row>
    <row r="289" spans="1:16" s="61" customFormat="1" x14ac:dyDescent="0.2">
      <c r="A289" s="155">
        <v>0</v>
      </c>
      <c r="B289" s="156"/>
      <c r="C289" s="246" t="s">
        <v>287</v>
      </c>
      <c r="D289" s="179" t="s">
        <v>131</v>
      </c>
      <c r="E289" s="184">
        <f>E287*6</f>
        <v>48</v>
      </c>
      <c r="F289" s="179"/>
      <c r="G289" s="184"/>
      <c r="H289" s="184"/>
      <c r="I289" s="184"/>
      <c r="J289" s="184"/>
      <c r="K289" s="75">
        <f t="shared" si="36"/>
        <v>0</v>
      </c>
      <c r="L289" s="76">
        <f t="shared" si="37"/>
        <v>0</v>
      </c>
      <c r="M289" s="75">
        <f t="shared" si="38"/>
        <v>0</v>
      </c>
      <c r="N289" s="75">
        <f t="shared" si="39"/>
        <v>0</v>
      </c>
      <c r="O289" s="75">
        <f t="shared" si="40"/>
        <v>0</v>
      </c>
      <c r="P289" s="77">
        <f t="shared" si="41"/>
        <v>0</v>
      </c>
    </row>
    <row r="290" spans="1:16" s="61" customFormat="1" x14ac:dyDescent="0.2">
      <c r="A290" s="155">
        <v>0</v>
      </c>
      <c r="B290" s="156"/>
      <c r="C290" s="246" t="s">
        <v>288</v>
      </c>
      <c r="D290" s="179" t="s">
        <v>78</v>
      </c>
      <c r="E290" s="184">
        <v>0.3</v>
      </c>
      <c r="F290" s="179"/>
      <c r="G290" s="184"/>
      <c r="H290" s="184"/>
      <c r="I290" s="184"/>
      <c r="J290" s="184"/>
      <c r="K290" s="75">
        <f t="shared" si="36"/>
        <v>0</v>
      </c>
      <c r="L290" s="76">
        <f t="shared" si="37"/>
        <v>0</v>
      </c>
      <c r="M290" s="75">
        <f t="shared" si="38"/>
        <v>0</v>
      </c>
      <c r="N290" s="75">
        <f t="shared" si="39"/>
        <v>0</v>
      </c>
      <c r="O290" s="75">
        <f t="shared" si="40"/>
        <v>0</v>
      </c>
      <c r="P290" s="77">
        <f t="shared" si="41"/>
        <v>0</v>
      </c>
    </row>
    <row r="291" spans="1:16" s="61" customFormat="1" ht="38.25" x14ac:dyDescent="0.2">
      <c r="A291" s="155">
        <v>86</v>
      </c>
      <c r="B291" s="156"/>
      <c r="C291" s="247" t="s">
        <v>289</v>
      </c>
      <c r="D291" s="158" t="s">
        <v>66</v>
      </c>
      <c r="E291" s="179">
        <v>1</v>
      </c>
      <c r="F291" s="190"/>
      <c r="G291" s="159"/>
      <c r="H291" s="184"/>
      <c r="I291" s="161"/>
      <c r="J291" s="161"/>
      <c r="K291" s="75">
        <f t="shared" si="36"/>
        <v>0</v>
      </c>
      <c r="L291" s="76">
        <f t="shared" si="37"/>
        <v>0</v>
      </c>
      <c r="M291" s="75">
        <f t="shared" si="38"/>
        <v>0</v>
      </c>
      <c r="N291" s="75">
        <f t="shared" si="39"/>
        <v>0</v>
      </c>
      <c r="O291" s="75">
        <f t="shared" si="40"/>
        <v>0</v>
      </c>
      <c r="P291" s="77">
        <f t="shared" si="41"/>
        <v>0</v>
      </c>
    </row>
    <row r="292" spans="1:16" s="61" customFormat="1" x14ac:dyDescent="0.2">
      <c r="A292" s="155">
        <v>0</v>
      </c>
      <c r="B292" s="156"/>
      <c r="C292" s="186"/>
      <c r="D292" s="158"/>
      <c r="E292" s="158"/>
      <c r="F292" s="159"/>
      <c r="G292" s="159"/>
      <c r="H292" s="161"/>
      <c r="I292" s="161"/>
      <c r="J292" s="161"/>
      <c r="K292" s="75">
        <f t="shared" si="36"/>
        <v>0</v>
      </c>
      <c r="L292" s="76">
        <f t="shared" si="37"/>
        <v>0</v>
      </c>
      <c r="M292" s="75">
        <f t="shared" si="38"/>
        <v>0</v>
      </c>
      <c r="N292" s="75">
        <f t="shared" si="39"/>
        <v>0</v>
      </c>
      <c r="O292" s="75">
        <f t="shared" si="40"/>
        <v>0</v>
      </c>
      <c r="P292" s="77">
        <f t="shared" si="41"/>
        <v>0</v>
      </c>
    </row>
    <row r="293" spans="1:16" s="61" customFormat="1" x14ac:dyDescent="0.2">
      <c r="A293" s="155">
        <v>0</v>
      </c>
      <c r="B293" s="156"/>
      <c r="C293" s="307" t="s">
        <v>780</v>
      </c>
      <c r="D293" s="308"/>
      <c r="E293" s="308"/>
      <c r="F293" s="309"/>
      <c r="G293" s="309"/>
      <c r="H293" s="310"/>
      <c r="I293" s="310"/>
      <c r="J293" s="310"/>
      <c r="K293" s="75">
        <f t="shared" si="36"/>
        <v>0</v>
      </c>
      <c r="L293" s="76">
        <f t="shared" si="37"/>
        <v>0</v>
      </c>
      <c r="M293" s="75">
        <f t="shared" si="38"/>
        <v>0</v>
      </c>
      <c r="N293" s="75">
        <f t="shared" si="39"/>
        <v>0</v>
      </c>
      <c r="O293" s="75">
        <f t="shared" si="40"/>
        <v>0</v>
      </c>
      <c r="P293" s="77">
        <f t="shared" si="41"/>
        <v>0</v>
      </c>
    </row>
    <row r="294" spans="1:16" s="61" customFormat="1" x14ac:dyDescent="0.2">
      <c r="A294" s="155">
        <v>87</v>
      </c>
      <c r="B294" s="156"/>
      <c r="C294" s="327" t="s">
        <v>309</v>
      </c>
      <c r="D294" s="308" t="s">
        <v>59</v>
      </c>
      <c r="E294" s="308">
        <v>1</v>
      </c>
      <c r="F294" s="309"/>
      <c r="G294" s="309"/>
      <c r="H294" s="310"/>
      <c r="I294" s="310"/>
      <c r="J294" s="310"/>
      <c r="K294" s="75">
        <f t="shared" si="36"/>
        <v>0</v>
      </c>
      <c r="L294" s="76">
        <f t="shared" si="37"/>
        <v>0</v>
      </c>
      <c r="M294" s="75">
        <f t="shared" si="38"/>
        <v>0</v>
      </c>
      <c r="N294" s="75">
        <f t="shared" si="39"/>
        <v>0</v>
      </c>
      <c r="O294" s="75">
        <f t="shared" si="40"/>
        <v>0</v>
      </c>
      <c r="P294" s="77">
        <f t="shared" si="41"/>
        <v>0</v>
      </c>
    </row>
    <row r="295" spans="1:16" s="61" customFormat="1" x14ac:dyDescent="0.2">
      <c r="A295" s="155">
        <v>88</v>
      </c>
      <c r="B295" s="156"/>
      <c r="C295" s="327" t="s">
        <v>310</v>
      </c>
      <c r="D295" s="308" t="s">
        <v>59</v>
      </c>
      <c r="E295" s="308">
        <v>8</v>
      </c>
      <c r="F295" s="309"/>
      <c r="G295" s="309"/>
      <c r="H295" s="310"/>
      <c r="I295" s="310"/>
      <c r="J295" s="310"/>
      <c r="K295" s="75">
        <f t="shared" si="36"/>
        <v>0</v>
      </c>
      <c r="L295" s="76">
        <f t="shared" si="37"/>
        <v>0</v>
      </c>
      <c r="M295" s="75">
        <f t="shared" si="38"/>
        <v>0</v>
      </c>
      <c r="N295" s="75">
        <f t="shared" si="39"/>
        <v>0</v>
      </c>
      <c r="O295" s="75">
        <f t="shared" si="40"/>
        <v>0</v>
      </c>
      <c r="P295" s="77">
        <f t="shared" si="41"/>
        <v>0</v>
      </c>
    </row>
    <row r="296" spans="1:16" s="61" customFormat="1" x14ac:dyDescent="0.2">
      <c r="A296" s="155">
        <v>89</v>
      </c>
      <c r="B296" s="156"/>
      <c r="C296" s="327" t="s">
        <v>311</v>
      </c>
      <c r="D296" s="308" t="s">
        <v>59</v>
      </c>
      <c r="E296" s="308">
        <v>29</v>
      </c>
      <c r="F296" s="309"/>
      <c r="G296" s="309"/>
      <c r="H296" s="310"/>
      <c r="I296" s="310"/>
      <c r="J296" s="310"/>
      <c r="K296" s="75">
        <f t="shared" si="36"/>
        <v>0</v>
      </c>
      <c r="L296" s="76">
        <f t="shared" si="37"/>
        <v>0</v>
      </c>
      <c r="M296" s="75">
        <f t="shared" si="38"/>
        <v>0</v>
      </c>
      <c r="N296" s="75">
        <f t="shared" si="39"/>
        <v>0</v>
      </c>
      <c r="O296" s="75">
        <f t="shared" si="40"/>
        <v>0</v>
      </c>
      <c r="P296" s="77">
        <f t="shared" si="41"/>
        <v>0</v>
      </c>
    </row>
    <row r="297" spans="1:16" s="61" customFormat="1" x14ac:dyDescent="0.2">
      <c r="A297" s="155">
        <v>90</v>
      </c>
      <c r="B297" s="156"/>
      <c r="C297" s="327" t="s">
        <v>312</v>
      </c>
      <c r="D297" s="308" t="s">
        <v>59</v>
      </c>
      <c r="E297" s="308">
        <v>1</v>
      </c>
      <c r="F297" s="309"/>
      <c r="G297" s="309"/>
      <c r="H297" s="310"/>
      <c r="I297" s="310"/>
      <c r="J297" s="310"/>
      <c r="K297" s="75">
        <f t="shared" si="36"/>
        <v>0</v>
      </c>
      <c r="L297" s="76">
        <f t="shared" si="37"/>
        <v>0</v>
      </c>
      <c r="M297" s="75">
        <f t="shared" si="38"/>
        <v>0</v>
      </c>
      <c r="N297" s="75">
        <f t="shared" si="39"/>
        <v>0</v>
      </c>
      <c r="O297" s="75">
        <f t="shared" si="40"/>
        <v>0</v>
      </c>
      <c r="P297" s="77">
        <f t="shared" si="41"/>
        <v>0</v>
      </c>
    </row>
    <row r="298" spans="1:16" s="61" customFormat="1" x14ac:dyDescent="0.2">
      <c r="A298" s="155">
        <v>91</v>
      </c>
      <c r="B298" s="156"/>
      <c r="C298" s="327" t="s">
        <v>313</v>
      </c>
      <c r="D298" s="308" t="s">
        <v>59</v>
      </c>
      <c r="E298" s="308">
        <v>2</v>
      </c>
      <c r="F298" s="309"/>
      <c r="G298" s="309"/>
      <c r="H298" s="310"/>
      <c r="I298" s="310"/>
      <c r="J298" s="310"/>
      <c r="K298" s="75">
        <f t="shared" si="36"/>
        <v>0</v>
      </c>
      <c r="L298" s="76">
        <f t="shared" si="37"/>
        <v>0</v>
      </c>
      <c r="M298" s="75">
        <f t="shared" si="38"/>
        <v>0</v>
      </c>
      <c r="N298" s="75">
        <f t="shared" si="39"/>
        <v>0</v>
      </c>
      <c r="O298" s="75">
        <f t="shared" si="40"/>
        <v>0</v>
      </c>
      <c r="P298" s="77">
        <f t="shared" si="41"/>
        <v>0</v>
      </c>
    </row>
    <row r="299" spans="1:16" s="61" customFormat="1" x14ac:dyDescent="0.2">
      <c r="A299" s="155">
        <v>92</v>
      </c>
      <c r="B299" s="156"/>
      <c r="C299" s="327" t="s">
        <v>314</v>
      </c>
      <c r="D299" s="308" t="s">
        <v>59</v>
      </c>
      <c r="E299" s="308">
        <v>2</v>
      </c>
      <c r="F299" s="309"/>
      <c r="G299" s="309"/>
      <c r="H299" s="310"/>
      <c r="I299" s="310"/>
      <c r="J299" s="310"/>
      <c r="K299" s="75">
        <f t="shared" si="36"/>
        <v>0</v>
      </c>
      <c r="L299" s="76">
        <f t="shared" si="37"/>
        <v>0</v>
      </c>
      <c r="M299" s="75">
        <f t="shared" si="38"/>
        <v>0</v>
      </c>
      <c r="N299" s="75">
        <f t="shared" si="39"/>
        <v>0</v>
      </c>
      <c r="O299" s="75">
        <f t="shared" si="40"/>
        <v>0</v>
      </c>
      <c r="P299" s="77">
        <f t="shared" si="41"/>
        <v>0</v>
      </c>
    </row>
    <row r="300" spans="1:16" s="61" customFormat="1" x14ac:dyDescent="0.2">
      <c r="A300" s="155">
        <v>0</v>
      </c>
      <c r="B300" s="156"/>
      <c r="C300" s="327"/>
      <c r="D300" s="308"/>
      <c r="E300" s="308"/>
      <c r="F300" s="309"/>
      <c r="G300" s="309"/>
      <c r="H300" s="310"/>
      <c r="I300" s="310"/>
      <c r="J300" s="310"/>
      <c r="K300" s="75">
        <f t="shared" si="36"/>
        <v>0</v>
      </c>
      <c r="L300" s="76">
        <f t="shared" si="37"/>
        <v>0</v>
      </c>
      <c r="M300" s="75">
        <f t="shared" si="38"/>
        <v>0</v>
      </c>
      <c r="N300" s="75">
        <f t="shared" si="39"/>
        <v>0</v>
      </c>
      <c r="O300" s="75">
        <f t="shared" si="40"/>
        <v>0</v>
      </c>
      <c r="P300" s="77">
        <f t="shared" si="41"/>
        <v>0</v>
      </c>
    </row>
    <row r="301" spans="1:16" s="61" customFormat="1" x14ac:dyDescent="0.2">
      <c r="A301" s="155">
        <v>0</v>
      </c>
      <c r="B301" s="156"/>
      <c r="C301" s="307" t="s">
        <v>315</v>
      </c>
      <c r="D301" s="308"/>
      <c r="E301" s="308"/>
      <c r="F301" s="309"/>
      <c r="G301" s="309"/>
      <c r="H301" s="310"/>
      <c r="I301" s="310"/>
      <c r="J301" s="310"/>
      <c r="K301" s="75">
        <f t="shared" si="36"/>
        <v>0</v>
      </c>
      <c r="L301" s="76">
        <f t="shared" si="37"/>
        <v>0</v>
      </c>
      <c r="M301" s="75">
        <f t="shared" si="38"/>
        <v>0</v>
      </c>
      <c r="N301" s="75">
        <f t="shared" si="39"/>
        <v>0</v>
      </c>
      <c r="O301" s="75">
        <f t="shared" si="40"/>
        <v>0</v>
      </c>
      <c r="P301" s="77">
        <f t="shared" si="41"/>
        <v>0</v>
      </c>
    </row>
    <row r="302" spans="1:16" s="61" customFormat="1" ht="38.25" x14ac:dyDescent="0.2">
      <c r="A302" s="155">
        <v>93</v>
      </c>
      <c r="B302" s="156"/>
      <c r="C302" s="327" t="s">
        <v>316</v>
      </c>
      <c r="D302" s="308" t="s">
        <v>59</v>
      </c>
      <c r="E302" s="308">
        <v>4</v>
      </c>
      <c r="F302" s="309"/>
      <c r="G302" s="309"/>
      <c r="H302" s="310"/>
      <c r="I302" s="310"/>
      <c r="J302" s="310"/>
      <c r="K302" s="75">
        <f t="shared" si="36"/>
        <v>0</v>
      </c>
      <c r="L302" s="76">
        <f t="shared" si="37"/>
        <v>0</v>
      </c>
      <c r="M302" s="75">
        <f t="shared" si="38"/>
        <v>0</v>
      </c>
      <c r="N302" s="75">
        <f t="shared" si="39"/>
        <v>0</v>
      </c>
      <c r="O302" s="75">
        <f t="shared" si="40"/>
        <v>0</v>
      </c>
      <c r="P302" s="77">
        <f t="shared" si="41"/>
        <v>0</v>
      </c>
    </row>
    <row r="303" spans="1:16" s="61" customFormat="1" ht="25.5" x14ac:dyDescent="0.2">
      <c r="A303" s="155">
        <v>94</v>
      </c>
      <c r="B303" s="156"/>
      <c r="C303" s="327" t="s">
        <v>317</v>
      </c>
      <c r="D303" s="308" t="s">
        <v>59</v>
      </c>
      <c r="E303" s="308">
        <v>2</v>
      </c>
      <c r="F303" s="309"/>
      <c r="G303" s="309"/>
      <c r="H303" s="310"/>
      <c r="I303" s="310"/>
      <c r="J303" s="310"/>
      <c r="K303" s="75">
        <f t="shared" si="36"/>
        <v>0</v>
      </c>
      <c r="L303" s="76">
        <f t="shared" si="37"/>
        <v>0</v>
      </c>
      <c r="M303" s="75">
        <f t="shared" si="38"/>
        <v>0</v>
      </c>
      <c r="N303" s="75">
        <f t="shared" si="39"/>
        <v>0</v>
      </c>
      <c r="O303" s="75">
        <f t="shared" si="40"/>
        <v>0</v>
      </c>
      <c r="P303" s="77">
        <f t="shared" si="41"/>
        <v>0</v>
      </c>
    </row>
    <row r="304" spans="1:16" s="61" customFormat="1" ht="25.5" x14ac:dyDescent="0.2">
      <c r="A304" s="155">
        <v>95</v>
      </c>
      <c r="B304" s="156"/>
      <c r="C304" s="327" t="s">
        <v>318</v>
      </c>
      <c r="D304" s="308" t="s">
        <v>59</v>
      </c>
      <c r="E304" s="308">
        <v>8</v>
      </c>
      <c r="F304" s="309"/>
      <c r="G304" s="309"/>
      <c r="H304" s="310"/>
      <c r="I304" s="310"/>
      <c r="J304" s="310"/>
      <c r="K304" s="75">
        <f t="shared" si="36"/>
        <v>0</v>
      </c>
      <c r="L304" s="76">
        <f t="shared" si="37"/>
        <v>0</v>
      </c>
      <c r="M304" s="75">
        <f t="shared" si="38"/>
        <v>0</v>
      </c>
      <c r="N304" s="75">
        <f t="shared" si="39"/>
        <v>0</v>
      </c>
      <c r="O304" s="75">
        <f t="shared" si="40"/>
        <v>0</v>
      </c>
      <c r="P304" s="77">
        <f t="shared" si="41"/>
        <v>0</v>
      </c>
    </row>
    <row r="305" spans="1:16" s="61" customFormat="1" ht="25.5" x14ac:dyDescent="0.2">
      <c r="A305" s="155">
        <v>96</v>
      </c>
      <c r="B305" s="156"/>
      <c r="C305" s="186" t="s">
        <v>319</v>
      </c>
      <c r="D305" s="158" t="s">
        <v>59</v>
      </c>
      <c r="E305" s="158">
        <v>6</v>
      </c>
      <c r="F305" s="164"/>
      <c r="G305" s="164"/>
      <c r="H305" s="167"/>
      <c r="I305" s="167"/>
      <c r="J305" s="161"/>
      <c r="K305" s="75">
        <f t="shared" si="36"/>
        <v>0</v>
      </c>
      <c r="L305" s="76">
        <f t="shared" si="37"/>
        <v>0</v>
      </c>
      <c r="M305" s="75">
        <f t="shared" si="38"/>
        <v>0</v>
      </c>
      <c r="N305" s="75">
        <f t="shared" si="39"/>
        <v>0</v>
      </c>
      <c r="O305" s="75">
        <f t="shared" si="40"/>
        <v>0</v>
      </c>
      <c r="P305" s="77">
        <f t="shared" si="41"/>
        <v>0</v>
      </c>
    </row>
    <row r="306" spans="1:16" s="61" customFormat="1" ht="25.5" x14ac:dyDescent="0.2">
      <c r="A306" s="155">
        <v>97</v>
      </c>
      <c r="B306" s="156"/>
      <c r="C306" s="186" t="s">
        <v>320</v>
      </c>
      <c r="D306" s="158" t="s">
        <v>59</v>
      </c>
      <c r="E306" s="158">
        <v>4</v>
      </c>
      <c r="F306" s="164"/>
      <c r="G306" s="164"/>
      <c r="H306" s="167"/>
      <c r="I306" s="167"/>
      <c r="J306" s="161"/>
      <c r="K306" s="75">
        <f t="shared" si="36"/>
        <v>0</v>
      </c>
      <c r="L306" s="76">
        <f t="shared" si="37"/>
        <v>0</v>
      </c>
      <c r="M306" s="75">
        <f t="shared" si="38"/>
        <v>0</v>
      </c>
      <c r="N306" s="75">
        <f t="shared" si="39"/>
        <v>0</v>
      </c>
      <c r="O306" s="75">
        <f t="shared" si="40"/>
        <v>0</v>
      </c>
      <c r="P306" s="77">
        <f t="shared" si="41"/>
        <v>0</v>
      </c>
    </row>
    <row r="307" spans="1:16" s="61" customFormat="1" ht="31.5" x14ac:dyDescent="0.2">
      <c r="A307" s="362">
        <v>0</v>
      </c>
      <c r="B307" s="144"/>
      <c r="C307" s="169" t="s">
        <v>321</v>
      </c>
      <c r="D307" s="146"/>
      <c r="E307" s="147"/>
      <c r="F307" s="148"/>
      <c r="G307" s="148"/>
      <c r="H307" s="149"/>
      <c r="I307" s="149"/>
      <c r="J307" s="149"/>
      <c r="K307" s="75">
        <f t="shared" si="36"/>
        <v>0</v>
      </c>
      <c r="L307" s="76">
        <f t="shared" si="37"/>
        <v>0</v>
      </c>
      <c r="M307" s="75">
        <f t="shared" si="38"/>
        <v>0</v>
      </c>
      <c r="N307" s="75">
        <f t="shared" si="39"/>
        <v>0</v>
      </c>
      <c r="O307" s="75">
        <f t="shared" si="40"/>
        <v>0</v>
      </c>
      <c r="P307" s="77">
        <f t="shared" si="41"/>
        <v>0</v>
      </c>
    </row>
    <row r="308" spans="1:16" s="61" customFormat="1" ht="25.5" x14ac:dyDescent="0.2">
      <c r="A308" s="155">
        <v>0</v>
      </c>
      <c r="B308" s="188"/>
      <c r="C308" s="197" t="s">
        <v>322</v>
      </c>
      <c r="D308" s="158"/>
      <c r="E308" s="158"/>
      <c r="F308" s="159"/>
      <c r="G308" s="159"/>
      <c r="H308" s="161"/>
      <c r="I308" s="161"/>
      <c r="J308" s="161"/>
      <c r="K308" s="75">
        <f t="shared" si="36"/>
        <v>0</v>
      </c>
      <c r="L308" s="76">
        <f t="shared" si="37"/>
        <v>0</v>
      </c>
      <c r="M308" s="75">
        <f t="shared" si="38"/>
        <v>0</v>
      </c>
      <c r="N308" s="75">
        <f t="shared" si="39"/>
        <v>0</v>
      </c>
      <c r="O308" s="75">
        <f t="shared" si="40"/>
        <v>0</v>
      </c>
      <c r="P308" s="77">
        <f t="shared" si="41"/>
        <v>0</v>
      </c>
    </row>
    <row r="309" spans="1:16" s="61" customFormat="1" ht="102" x14ac:dyDescent="0.2">
      <c r="A309" s="155">
        <v>98</v>
      </c>
      <c r="B309" s="188"/>
      <c r="C309" s="186" t="s">
        <v>295</v>
      </c>
      <c r="D309" s="158" t="s">
        <v>131</v>
      </c>
      <c r="E309" s="182">
        <f>4391.5+455.5+395.2</f>
        <v>5242.2</v>
      </c>
      <c r="F309" s="158"/>
      <c r="G309" s="159"/>
      <c r="H309" s="161"/>
      <c r="I309" s="161"/>
      <c r="J309" s="161"/>
      <c r="K309" s="75">
        <f t="shared" si="36"/>
        <v>0</v>
      </c>
      <c r="L309" s="76">
        <f t="shared" si="37"/>
        <v>0</v>
      </c>
      <c r="M309" s="75">
        <f t="shared" si="38"/>
        <v>0</v>
      </c>
      <c r="N309" s="75">
        <f t="shared" si="39"/>
        <v>0</v>
      </c>
      <c r="O309" s="75">
        <f t="shared" si="40"/>
        <v>0</v>
      </c>
      <c r="P309" s="77">
        <f t="shared" si="41"/>
        <v>0</v>
      </c>
    </row>
    <row r="310" spans="1:16" s="61" customFormat="1" x14ac:dyDescent="0.2">
      <c r="A310" s="155">
        <v>0</v>
      </c>
      <c r="B310" s="188"/>
      <c r="C310" s="189" t="s">
        <v>188</v>
      </c>
      <c r="D310" s="158" t="s">
        <v>131</v>
      </c>
      <c r="E310" s="179">
        <f>E309*1.1</f>
        <v>5766.42</v>
      </c>
      <c r="F310" s="190"/>
      <c r="G310" s="159"/>
      <c r="H310" s="161"/>
      <c r="I310" s="161"/>
      <c r="J310" s="161"/>
      <c r="K310" s="75">
        <f t="shared" si="36"/>
        <v>0</v>
      </c>
      <c r="L310" s="76">
        <f t="shared" si="37"/>
        <v>0</v>
      </c>
      <c r="M310" s="75">
        <f t="shared" si="38"/>
        <v>0</v>
      </c>
      <c r="N310" s="75">
        <f t="shared" si="39"/>
        <v>0</v>
      </c>
      <c r="O310" s="75">
        <f t="shared" si="40"/>
        <v>0</v>
      </c>
      <c r="P310" s="77">
        <f t="shared" si="41"/>
        <v>0</v>
      </c>
    </row>
    <row r="311" spans="1:16" s="61" customFormat="1" x14ac:dyDescent="0.2">
      <c r="A311" s="155">
        <v>0</v>
      </c>
      <c r="B311" s="188"/>
      <c r="C311" s="192" t="s">
        <v>189</v>
      </c>
      <c r="D311" s="158" t="s">
        <v>66</v>
      </c>
      <c r="E311" s="179">
        <v>1</v>
      </c>
      <c r="F311" s="190"/>
      <c r="G311" s="159"/>
      <c r="H311" s="161"/>
      <c r="I311" s="161"/>
      <c r="J311" s="161"/>
      <c r="K311" s="75">
        <f t="shared" si="36"/>
        <v>0</v>
      </c>
      <c r="L311" s="76">
        <f t="shared" si="37"/>
        <v>0</v>
      </c>
      <c r="M311" s="75">
        <f t="shared" si="38"/>
        <v>0</v>
      </c>
      <c r="N311" s="75">
        <f t="shared" si="39"/>
        <v>0</v>
      </c>
      <c r="O311" s="75">
        <f t="shared" si="40"/>
        <v>0</v>
      </c>
      <c r="P311" s="77">
        <f t="shared" si="41"/>
        <v>0</v>
      </c>
    </row>
    <row r="312" spans="1:16" s="61" customFormat="1" x14ac:dyDescent="0.2">
      <c r="A312" s="155">
        <v>0</v>
      </c>
      <c r="B312" s="188"/>
      <c r="C312" s="188"/>
      <c r="D312" s="188"/>
      <c r="E312" s="188"/>
      <c r="F312" s="188"/>
      <c r="G312" s="188"/>
      <c r="H312" s="188"/>
      <c r="I312" s="188"/>
      <c r="J312" s="188"/>
      <c r="K312" s="75">
        <f t="shared" si="36"/>
        <v>0</v>
      </c>
      <c r="L312" s="76">
        <f t="shared" si="37"/>
        <v>0</v>
      </c>
      <c r="M312" s="75">
        <f t="shared" si="38"/>
        <v>0</v>
      </c>
      <c r="N312" s="75">
        <f t="shared" si="39"/>
        <v>0</v>
      </c>
      <c r="O312" s="75">
        <f t="shared" si="40"/>
        <v>0</v>
      </c>
      <c r="P312" s="77">
        <f t="shared" si="41"/>
        <v>0</v>
      </c>
    </row>
    <row r="313" spans="1:16" s="61" customFormat="1" ht="25.5" x14ac:dyDescent="0.2">
      <c r="A313" s="155">
        <v>0</v>
      </c>
      <c r="B313" s="188"/>
      <c r="C313" s="197" t="s">
        <v>764</v>
      </c>
      <c r="D313" s="158"/>
      <c r="E313" s="158"/>
      <c r="F313" s="159"/>
      <c r="G313" s="159"/>
      <c r="H313" s="161"/>
      <c r="I313" s="161"/>
      <c r="J313" s="161"/>
      <c r="K313" s="75">
        <f t="shared" si="36"/>
        <v>0</v>
      </c>
      <c r="L313" s="76">
        <f t="shared" si="37"/>
        <v>0</v>
      </c>
      <c r="M313" s="75">
        <f t="shared" si="38"/>
        <v>0</v>
      </c>
      <c r="N313" s="75">
        <f t="shared" si="39"/>
        <v>0</v>
      </c>
      <c r="O313" s="75">
        <f t="shared" si="40"/>
        <v>0</v>
      </c>
      <c r="P313" s="77">
        <f t="shared" si="41"/>
        <v>0</v>
      </c>
    </row>
    <row r="314" spans="1:16" s="61" customFormat="1" ht="102" x14ac:dyDescent="0.2">
      <c r="A314" s="155">
        <v>99</v>
      </c>
      <c r="B314" s="188"/>
      <c r="C314" s="186" t="s">
        <v>295</v>
      </c>
      <c r="D314" s="158" t="s">
        <v>131</v>
      </c>
      <c r="E314" s="182">
        <f>2371.5+5005.6+209+297.2+328.2+118+9.42+822.6+1117.3</f>
        <v>10278.82</v>
      </c>
      <c r="F314" s="158"/>
      <c r="G314" s="159"/>
      <c r="H314" s="161"/>
      <c r="I314" s="161"/>
      <c r="J314" s="161"/>
      <c r="K314" s="75">
        <f t="shared" si="36"/>
        <v>0</v>
      </c>
      <c r="L314" s="76">
        <f t="shared" si="37"/>
        <v>0</v>
      </c>
      <c r="M314" s="75">
        <f t="shared" si="38"/>
        <v>0</v>
      </c>
      <c r="N314" s="75">
        <f t="shared" si="39"/>
        <v>0</v>
      </c>
      <c r="O314" s="75">
        <f t="shared" si="40"/>
        <v>0</v>
      </c>
      <c r="P314" s="77">
        <f t="shared" si="41"/>
        <v>0</v>
      </c>
    </row>
    <row r="315" spans="1:16" s="61" customFormat="1" x14ac:dyDescent="0.2">
      <c r="A315" s="155">
        <v>0</v>
      </c>
      <c r="B315" s="188"/>
      <c r="C315" s="189" t="s">
        <v>188</v>
      </c>
      <c r="D315" s="158" t="s">
        <v>131</v>
      </c>
      <c r="E315" s="179">
        <f>E314*1.1</f>
        <v>11306.702000000001</v>
      </c>
      <c r="F315" s="190"/>
      <c r="G315" s="159"/>
      <c r="H315" s="161"/>
      <c r="I315" s="161"/>
      <c r="J315" s="161"/>
      <c r="K315" s="75">
        <f t="shared" si="36"/>
        <v>0</v>
      </c>
      <c r="L315" s="76">
        <f t="shared" si="37"/>
        <v>0</v>
      </c>
      <c r="M315" s="75">
        <f t="shared" si="38"/>
        <v>0</v>
      </c>
      <c r="N315" s="75">
        <f t="shared" si="39"/>
        <v>0</v>
      </c>
      <c r="O315" s="75">
        <f t="shared" si="40"/>
        <v>0</v>
      </c>
      <c r="P315" s="77">
        <f t="shared" si="41"/>
        <v>0</v>
      </c>
    </row>
    <row r="316" spans="1:16" s="61" customFormat="1" x14ac:dyDescent="0.2">
      <c r="A316" s="155">
        <v>0</v>
      </c>
      <c r="B316" s="188"/>
      <c r="C316" s="192" t="s">
        <v>189</v>
      </c>
      <c r="D316" s="158" t="s">
        <v>66</v>
      </c>
      <c r="E316" s="179">
        <v>1</v>
      </c>
      <c r="F316" s="190"/>
      <c r="G316" s="159"/>
      <c r="H316" s="161"/>
      <c r="I316" s="161"/>
      <c r="J316" s="161"/>
      <c r="K316" s="75">
        <f t="shared" si="36"/>
        <v>0</v>
      </c>
      <c r="L316" s="76">
        <f t="shared" si="37"/>
        <v>0</v>
      </c>
      <c r="M316" s="75">
        <f t="shared" si="38"/>
        <v>0</v>
      </c>
      <c r="N316" s="75">
        <f t="shared" si="39"/>
        <v>0</v>
      </c>
      <c r="O316" s="75">
        <f t="shared" si="40"/>
        <v>0</v>
      </c>
      <c r="P316" s="77">
        <f t="shared" si="41"/>
        <v>0</v>
      </c>
    </row>
    <row r="317" spans="1:16" s="61" customFormat="1" x14ac:dyDescent="0.2">
      <c r="A317" s="155">
        <v>100</v>
      </c>
      <c r="B317" s="188"/>
      <c r="C317" s="173" t="s">
        <v>184</v>
      </c>
      <c r="D317" s="158" t="s">
        <v>83</v>
      </c>
      <c r="E317" s="164">
        <v>7</v>
      </c>
      <c r="F317" s="161"/>
      <c r="G317" s="159"/>
      <c r="H317" s="161"/>
      <c r="I317" s="161"/>
      <c r="J317" s="161"/>
      <c r="K317" s="75">
        <f t="shared" si="36"/>
        <v>0</v>
      </c>
      <c r="L317" s="76">
        <f t="shared" si="37"/>
        <v>0</v>
      </c>
      <c r="M317" s="75">
        <f t="shared" si="38"/>
        <v>0</v>
      </c>
      <c r="N317" s="75">
        <f t="shared" si="39"/>
        <v>0</v>
      </c>
      <c r="O317" s="75">
        <f t="shared" si="40"/>
        <v>0</v>
      </c>
      <c r="P317" s="77">
        <f t="shared" si="41"/>
        <v>0</v>
      </c>
    </row>
    <row r="318" spans="1:16" s="61" customFormat="1" ht="89.25" x14ac:dyDescent="0.2">
      <c r="A318" s="155">
        <v>101</v>
      </c>
      <c r="B318" s="188"/>
      <c r="C318" s="176" t="s">
        <v>130</v>
      </c>
      <c r="D318" s="158" t="s">
        <v>131</v>
      </c>
      <c r="E318" s="198">
        <v>8.6999999999999993</v>
      </c>
      <c r="F318" s="177"/>
      <c r="G318" s="159"/>
      <c r="H318" s="161"/>
      <c r="I318" s="161"/>
      <c r="J318" s="161"/>
      <c r="K318" s="75">
        <f t="shared" si="36"/>
        <v>0</v>
      </c>
      <c r="L318" s="76">
        <f t="shared" si="37"/>
        <v>0</v>
      </c>
      <c r="M318" s="75">
        <f t="shared" si="38"/>
        <v>0</v>
      </c>
      <c r="N318" s="75">
        <f t="shared" si="39"/>
        <v>0</v>
      </c>
      <c r="O318" s="75">
        <f t="shared" si="40"/>
        <v>0</v>
      </c>
      <c r="P318" s="77">
        <f t="shared" si="41"/>
        <v>0</v>
      </c>
    </row>
    <row r="319" spans="1:16" s="61" customFormat="1" x14ac:dyDescent="0.2">
      <c r="A319" s="155">
        <v>0</v>
      </c>
      <c r="B319" s="188"/>
      <c r="C319" s="178" t="s">
        <v>132</v>
      </c>
      <c r="D319" s="179" t="s">
        <v>131</v>
      </c>
      <c r="E319" s="180">
        <f>E318*1.15</f>
        <v>10.004999999999999</v>
      </c>
      <c r="F319" s="159"/>
      <c r="G319" s="159"/>
      <c r="H319" s="161"/>
      <c r="I319" s="161"/>
      <c r="J319" s="161"/>
      <c r="K319" s="75">
        <f t="shared" si="36"/>
        <v>0</v>
      </c>
      <c r="L319" s="76">
        <f t="shared" si="37"/>
        <v>0</v>
      </c>
      <c r="M319" s="75">
        <f t="shared" si="38"/>
        <v>0</v>
      </c>
      <c r="N319" s="75">
        <f t="shared" si="39"/>
        <v>0</v>
      </c>
      <c r="O319" s="75">
        <f t="shared" si="40"/>
        <v>0</v>
      </c>
      <c r="P319" s="77">
        <f t="shared" si="41"/>
        <v>0</v>
      </c>
    </row>
    <row r="320" spans="1:16" s="61" customFormat="1" ht="25.5" x14ac:dyDescent="0.2">
      <c r="A320" s="155">
        <v>0</v>
      </c>
      <c r="B320" s="188"/>
      <c r="C320" s="181" t="s">
        <v>133</v>
      </c>
      <c r="D320" s="158" t="s">
        <v>66</v>
      </c>
      <c r="E320" s="182">
        <v>1</v>
      </c>
      <c r="F320" s="159"/>
      <c r="G320" s="159"/>
      <c r="H320" s="161"/>
      <c r="I320" s="161"/>
      <c r="J320" s="161"/>
      <c r="K320" s="75">
        <f t="shared" si="36"/>
        <v>0</v>
      </c>
      <c r="L320" s="76">
        <f t="shared" si="37"/>
        <v>0</v>
      </c>
      <c r="M320" s="75">
        <f t="shared" si="38"/>
        <v>0</v>
      </c>
      <c r="N320" s="75">
        <f t="shared" si="39"/>
        <v>0</v>
      </c>
      <c r="O320" s="75">
        <f t="shared" si="40"/>
        <v>0</v>
      </c>
      <c r="P320" s="77">
        <f t="shared" si="41"/>
        <v>0</v>
      </c>
    </row>
    <row r="321" spans="1:16" s="61" customFormat="1" ht="25.5" x14ac:dyDescent="0.2">
      <c r="A321" s="155">
        <v>102</v>
      </c>
      <c r="B321" s="188"/>
      <c r="C321" s="176" t="s">
        <v>157</v>
      </c>
      <c r="D321" s="179" t="s">
        <v>78</v>
      </c>
      <c r="E321" s="159">
        <v>0.17</v>
      </c>
      <c r="F321" s="159"/>
      <c r="G321" s="159"/>
      <c r="H321" s="161"/>
      <c r="I321" s="161"/>
      <c r="J321" s="161"/>
      <c r="K321" s="75">
        <f t="shared" si="36"/>
        <v>0</v>
      </c>
      <c r="L321" s="76">
        <f t="shared" si="37"/>
        <v>0</v>
      </c>
      <c r="M321" s="75">
        <f t="shared" si="38"/>
        <v>0</v>
      </c>
      <c r="N321" s="75">
        <f t="shared" si="39"/>
        <v>0</v>
      </c>
      <c r="O321" s="75">
        <f t="shared" si="40"/>
        <v>0</v>
      </c>
      <c r="P321" s="77">
        <f t="shared" si="41"/>
        <v>0</v>
      </c>
    </row>
    <row r="322" spans="1:16" s="61" customFormat="1" x14ac:dyDescent="0.2">
      <c r="A322" s="155">
        <v>0</v>
      </c>
      <c r="B322" s="188"/>
      <c r="C322" s="183" t="s">
        <v>158</v>
      </c>
      <c r="D322" s="179" t="s">
        <v>78</v>
      </c>
      <c r="E322" s="184">
        <f>E321*1.05</f>
        <v>0.17850000000000002</v>
      </c>
      <c r="F322" s="185"/>
      <c r="G322" s="159"/>
      <c r="H322" s="161"/>
      <c r="I322" s="161"/>
      <c r="J322" s="161"/>
      <c r="K322" s="75">
        <f t="shared" si="36"/>
        <v>0</v>
      </c>
      <c r="L322" s="76">
        <f t="shared" si="37"/>
        <v>0</v>
      </c>
      <c r="M322" s="75">
        <f t="shared" si="38"/>
        <v>0</v>
      </c>
      <c r="N322" s="75">
        <f t="shared" si="39"/>
        <v>0</v>
      </c>
      <c r="O322" s="75">
        <f t="shared" si="40"/>
        <v>0</v>
      </c>
      <c r="P322" s="77">
        <f t="shared" si="41"/>
        <v>0</v>
      </c>
    </row>
    <row r="323" spans="1:16" s="61" customFormat="1" x14ac:dyDescent="0.2">
      <c r="A323" s="155">
        <v>0</v>
      </c>
      <c r="B323" s="188"/>
      <c r="C323" s="183" t="s">
        <v>136</v>
      </c>
      <c r="D323" s="179" t="s">
        <v>137</v>
      </c>
      <c r="E323" s="184">
        <f>E321*0.25</f>
        <v>4.2500000000000003E-2</v>
      </c>
      <c r="F323" s="185"/>
      <c r="G323" s="159"/>
      <c r="H323" s="161"/>
      <c r="I323" s="154"/>
      <c r="J323" s="161"/>
      <c r="K323" s="75">
        <f t="shared" si="36"/>
        <v>0</v>
      </c>
      <c r="L323" s="76">
        <f t="shared" si="37"/>
        <v>0</v>
      </c>
      <c r="M323" s="75">
        <f t="shared" si="38"/>
        <v>0</v>
      </c>
      <c r="N323" s="75">
        <f t="shared" si="39"/>
        <v>0</v>
      </c>
      <c r="O323" s="75">
        <f t="shared" si="40"/>
        <v>0</v>
      </c>
      <c r="P323" s="77">
        <f t="shared" si="41"/>
        <v>0</v>
      </c>
    </row>
    <row r="324" spans="1:16" x14ac:dyDescent="0.2">
      <c r="A324" s="124"/>
      <c r="B324" s="123"/>
      <c r="C324" s="125"/>
      <c r="D324" s="66"/>
      <c r="E324" s="70"/>
      <c r="F324" s="71"/>
      <c r="G324" s="71"/>
      <c r="H324" s="69"/>
      <c r="I324" s="69"/>
      <c r="J324" s="70"/>
      <c r="K324" s="70"/>
      <c r="L324" s="71"/>
      <c r="M324" s="70"/>
      <c r="N324" s="70"/>
      <c r="O324" s="70"/>
      <c r="P324" s="72"/>
    </row>
    <row r="325" spans="1:16" ht="15" customHeight="1" x14ac:dyDescent="0.2">
      <c r="A325" s="286"/>
      <c r="B325" s="85"/>
      <c r="C325" s="509" t="s">
        <v>74</v>
      </c>
      <c r="D325" s="510"/>
      <c r="E325" s="510"/>
      <c r="F325" s="510"/>
      <c r="G325" s="510"/>
      <c r="H325" s="510"/>
      <c r="I325" s="510"/>
      <c r="J325" s="510"/>
      <c r="K325" s="510"/>
      <c r="L325" s="87">
        <f>SUM(L13:L324)</f>
        <v>0</v>
      </c>
      <c r="M325" s="87">
        <f>SUM(M13:M324)</f>
        <v>0</v>
      </c>
      <c r="N325" s="87">
        <f>SUM(N13:N324)</f>
        <v>0</v>
      </c>
      <c r="O325" s="87">
        <f>SUM(O13:O324)</f>
        <v>0</v>
      </c>
      <c r="P325" s="87">
        <f>SUM(P13:P324)</f>
        <v>0</v>
      </c>
    </row>
    <row r="326" spans="1:16" s="88" customFormat="1" collapsed="1" x14ac:dyDescent="0.2">
      <c r="A326" s="287"/>
      <c r="I326" s="89"/>
    </row>
    <row r="327" spans="1:16" s="2" customFormat="1" ht="12.75" customHeight="1" x14ac:dyDescent="0.2">
      <c r="A327" s="6"/>
      <c r="B327" s="90" t="s">
        <v>75</v>
      </c>
    </row>
    <row r="328" spans="1:16" s="2" customFormat="1" ht="45" customHeight="1" x14ac:dyDescent="0.2">
      <c r="A328"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328" s="511"/>
      <c r="C328" s="511"/>
      <c r="D328" s="511"/>
      <c r="E328" s="511"/>
      <c r="F328" s="511"/>
      <c r="G328" s="511"/>
      <c r="H328" s="511"/>
      <c r="I328" s="511"/>
      <c r="J328" s="511"/>
      <c r="K328" s="511"/>
      <c r="L328" s="511"/>
      <c r="M328" s="511"/>
      <c r="N328" s="511"/>
      <c r="O328" s="511"/>
      <c r="P328" s="511"/>
    </row>
    <row r="329" spans="1:16" s="2" customFormat="1" ht="81" customHeight="1" x14ac:dyDescent="0.2">
      <c r="A329" s="512"/>
      <c r="B329" s="512"/>
      <c r="C329" s="512"/>
      <c r="D329" s="512"/>
      <c r="E329" s="512"/>
      <c r="F329" s="512"/>
      <c r="G329" s="512"/>
      <c r="H329" s="512"/>
      <c r="I329" s="512"/>
      <c r="J329" s="512"/>
      <c r="K329" s="512"/>
      <c r="L329" s="512"/>
      <c r="M329" s="512"/>
      <c r="N329" s="512"/>
      <c r="O329" s="512"/>
      <c r="P329" s="512"/>
    </row>
    <row r="330" spans="1:16" s="2" customFormat="1" ht="12.75" customHeight="1" x14ac:dyDescent="0.2">
      <c r="A330" s="6"/>
      <c r="B330" s="91"/>
    </row>
    <row r="331" spans="1:16" s="2" customFormat="1" ht="12.75" customHeight="1" x14ac:dyDescent="0.2">
      <c r="A331" s="6"/>
      <c r="B331" s="91"/>
    </row>
    <row r="332" spans="1:16" s="88" customFormat="1" x14ac:dyDescent="0.2">
      <c r="A332" s="287"/>
      <c r="B332" s="88" t="s">
        <v>36</v>
      </c>
      <c r="L332" s="92" t="s">
        <v>98</v>
      </c>
      <c r="M332" s="92"/>
      <c r="N332" s="92"/>
      <c r="O332" s="92"/>
      <c r="P332" s="92"/>
    </row>
    <row r="333" spans="1:16" s="88" customFormat="1" ht="14.25" customHeight="1" x14ac:dyDescent="0.2">
      <c r="A333" s="287"/>
      <c r="C333" s="36"/>
      <c r="L333" s="36"/>
      <c r="M333" s="513"/>
      <c r="N333" s="513"/>
      <c r="O333" s="92"/>
      <c r="P333" s="92"/>
    </row>
    <row r="334" spans="1:16" s="88" customFormat="1" x14ac:dyDescent="0.2">
      <c r="A334" s="287"/>
      <c r="C334" s="39"/>
      <c r="L334" s="39"/>
      <c r="M334" s="507"/>
      <c r="N334" s="507"/>
      <c r="O334" s="92"/>
      <c r="P334" s="92"/>
    </row>
    <row r="335" spans="1:16" s="88" customFormat="1" collapsed="1" x14ac:dyDescent="0.2">
      <c r="A335" s="287"/>
      <c r="B335" s="89"/>
      <c r="F335" s="89"/>
      <c r="G335" s="89"/>
    </row>
  </sheetData>
  <mergeCells count="17">
    <mergeCell ref="M334:N334"/>
    <mergeCell ref="F11:K11"/>
    <mergeCell ref="L11:P11"/>
    <mergeCell ref="C325:K325"/>
    <mergeCell ref="A328:P328"/>
    <mergeCell ref="A329:P329"/>
    <mergeCell ref="M333:N333"/>
    <mergeCell ref="A11:A12"/>
    <mergeCell ref="B11:B12"/>
    <mergeCell ref="C11:C12"/>
    <mergeCell ref="D11:D12"/>
    <mergeCell ref="E11:E12"/>
    <mergeCell ref="A2:P2"/>
    <mergeCell ref="D3:P3"/>
    <mergeCell ref="D4:P4"/>
    <mergeCell ref="D5:P5"/>
    <mergeCell ref="L9:O9"/>
  </mergeCells>
  <conditionalFormatting sqref="I16:I19">
    <cfRule type="expression" dxfId="824" priority="259" stopIfTrue="1">
      <formula>I16=#REF!=FALSE</formula>
    </cfRule>
  </conditionalFormatting>
  <conditionalFormatting sqref="I16:I19">
    <cfRule type="expression" dxfId="823" priority="255">
      <formula>#REF!&gt;0</formula>
    </cfRule>
    <cfRule type="expression" dxfId="822" priority="256">
      <formula>#REF!=3</formula>
    </cfRule>
    <cfRule type="expression" dxfId="821" priority="257">
      <formula>#REF!=2</formula>
    </cfRule>
    <cfRule type="expression" dxfId="820" priority="258">
      <formula>#REF!=1</formula>
    </cfRule>
  </conditionalFormatting>
  <conditionalFormatting sqref="I74:I77">
    <cfRule type="expression" dxfId="819" priority="254" stopIfTrue="1">
      <formula>I74=#REF!=FALSE</formula>
    </cfRule>
  </conditionalFormatting>
  <conditionalFormatting sqref="I74:I77">
    <cfRule type="expression" dxfId="818" priority="250">
      <formula>#REF!&gt;0</formula>
    </cfRule>
    <cfRule type="expression" dxfId="817" priority="251">
      <formula>#REF!=3</formula>
    </cfRule>
    <cfRule type="expression" dxfId="816" priority="252">
      <formula>#REF!=2</formula>
    </cfRule>
    <cfRule type="expression" dxfId="815" priority="253">
      <formula>#REF!=1</formula>
    </cfRule>
  </conditionalFormatting>
  <conditionalFormatting sqref="I79:I82">
    <cfRule type="expression" dxfId="814" priority="249" stopIfTrue="1">
      <formula>I79=#REF!=FALSE</formula>
    </cfRule>
  </conditionalFormatting>
  <conditionalFormatting sqref="I79:I82">
    <cfRule type="expression" dxfId="813" priority="245">
      <formula>#REF!&gt;0</formula>
    </cfRule>
    <cfRule type="expression" dxfId="812" priority="246">
      <formula>#REF!=3</formula>
    </cfRule>
    <cfRule type="expression" dxfId="811" priority="247">
      <formula>#REF!=2</formula>
    </cfRule>
    <cfRule type="expression" dxfId="810" priority="248">
      <formula>#REF!=1</formula>
    </cfRule>
  </conditionalFormatting>
  <conditionalFormatting sqref="I84:I87">
    <cfRule type="expression" dxfId="809" priority="244" stopIfTrue="1">
      <formula>I84=#REF!=FALSE</formula>
    </cfRule>
  </conditionalFormatting>
  <conditionalFormatting sqref="I84:I87">
    <cfRule type="expression" dxfId="808" priority="240">
      <formula>#REF!&gt;0</formula>
    </cfRule>
    <cfRule type="expression" dxfId="807" priority="241">
      <formula>#REF!=3</formula>
    </cfRule>
    <cfRule type="expression" dxfId="806" priority="242">
      <formula>#REF!=2</formula>
    </cfRule>
    <cfRule type="expression" dxfId="805" priority="243">
      <formula>#REF!=1</formula>
    </cfRule>
  </conditionalFormatting>
  <conditionalFormatting sqref="I89:I92">
    <cfRule type="expression" dxfId="804" priority="239" stopIfTrue="1">
      <formula>I89=#REF!=FALSE</formula>
    </cfRule>
  </conditionalFormatting>
  <conditionalFormatting sqref="I89:I92">
    <cfRule type="expression" dxfId="803" priority="235">
      <formula>#REF!&gt;0</formula>
    </cfRule>
    <cfRule type="expression" dxfId="802" priority="236">
      <formula>#REF!=3</formula>
    </cfRule>
    <cfRule type="expression" dxfId="801" priority="237">
      <formula>#REF!=2</formula>
    </cfRule>
    <cfRule type="expression" dxfId="800" priority="238">
      <formula>#REF!=1</formula>
    </cfRule>
  </conditionalFormatting>
  <conditionalFormatting sqref="I94:I99">
    <cfRule type="expression" dxfId="799" priority="230">
      <formula>#REF!&gt;0</formula>
    </cfRule>
    <cfRule type="expression" dxfId="798" priority="231">
      <formula>#REF!=3</formula>
    </cfRule>
    <cfRule type="expression" dxfId="797" priority="232">
      <formula>#REF!=2</formula>
    </cfRule>
    <cfRule type="expression" dxfId="796" priority="233">
      <formula>#REF!=1</formula>
    </cfRule>
  </conditionalFormatting>
  <conditionalFormatting sqref="I94:I99">
    <cfRule type="expression" dxfId="795" priority="234" stopIfTrue="1">
      <formula>I94=#REF!=FALSE</formula>
    </cfRule>
  </conditionalFormatting>
  <conditionalFormatting sqref="I100:I101">
    <cfRule type="expression" dxfId="794" priority="225">
      <formula>#REF!&gt;0</formula>
    </cfRule>
    <cfRule type="expression" dxfId="793" priority="226">
      <formula>#REF!=3</formula>
    </cfRule>
    <cfRule type="expression" dxfId="792" priority="227">
      <formula>#REF!=2</formula>
    </cfRule>
    <cfRule type="expression" dxfId="791" priority="228">
      <formula>#REF!=1</formula>
    </cfRule>
  </conditionalFormatting>
  <conditionalFormatting sqref="I100:I101">
    <cfRule type="expression" dxfId="790" priority="229" stopIfTrue="1">
      <formula>I100=#REF!=FALSE</formula>
    </cfRule>
  </conditionalFormatting>
  <conditionalFormatting sqref="I102:I105">
    <cfRule type="expression" dxfId="789" priority="215">
      <formula>#REF!&gt;0</formula>
    </cfRule>
    <cfRule type="expression" dxfId="788" priority="216">
      <formula>#REF!=3</formula>
    </cfRule>
    <cfRule type="expression" dxfId="787" priority="217">
      <formula>#REF!=2</formula>
    </cfRule>
    <cfRule type="expression" dxfId="786" priority="218">
      <formula>#REF!=1</formula>
    </cfRule>
  </conditionalFormatting>
  <conditionalFormatting sqref="I102:I105">
    <cfRule type="expression" dxfId="785" priority="219" stopIfTrue="1">
      <formula>I102=#REF!=FALSE</formula>
    </cfRule>
  </conditionalFormatting>
  <conditionalFormatting sqref="I106:I109">
    <cfRule type="expression" dxfId="784" priority="210">
      <formula>#REF!&gt;0</formula>
    </cfRule>
    <cfRule type="expression" dxfId="783" priority="211">
      <formula>#REF!=3</formula>
    </cfRule>
    <cfRule type="expression" dxfId="782" priority="212">
      <formula>#REF!=2</formula>
    </cfRule>
    <cfRule type="expression" dxfId="781" priority="213">
      <formula>#REF!=1</formula>
    </cfRule>
  </conditionalFormatting>
  <conditionalFormatting sqref="I106:I109">
    <cfRule type="expression" dxfId="780" priority="214" stopIfTrue="1">
      <formula>I106=#REF!=FALSE</formula>
    </cfRule>
  </conditionalFormatting>
  <conditionalFormatting sqref="I112:I118">
    <cfRule type="expression" dxfId="779" priority="205">
      <formula>#REF!&gt;0</formula>
    </cfRule>
    <cfRule type="expression" dxfId="778" priority="206">
      <formula>#REF!=3</formula>
    </cfRule>
    <cfRule type="expression" dxfId="777" priority="207">
      <formula>#REF!=2</formula>
    </cfRule>
    <cfRule type="expression" dxfId="776" priority="208">
      <formula>#REF!=1</formula>
    </cfRule>
  </conditionalFormatting>
  <conditionalFormatting sqref="I112:I118">
    <cfRule type="expression" dxfId="775" priority="209" stopIfTrue="1">
      <formula>I112=#REF!=FALSE</formula>
    </cfRule>
  </conditionalFormatting>
  <conditionalFormatting sqref="I119">
    <cfRule type="expression" dxfId="774" priority="200">
      <formula>#REF!&gt;0</formula>
    </cfRule>
    <cfRule type="expression" dxfId="773" priority="201">
      <formula>#REF!=3</formula>
    </cfRule>
    <cfRule type="expression" dxfId="772" priority="202">
      <formula>#REF!=2</formula>
    </cfRule>
    <cfRule type="expression" dxfId="771" priority="203">
      <formula>#REF!=1</formula>
    </cfRule>
  </conditionalFormatting>
  <conditionalFormatting sqref="I119">
    <cfRule type="expression" dxfId="770" priority="204" stopIfTrue="1">
      <formula>I119=#REF!=FALSE</formula>
    </cfRule>
  </conditionalFormatting>
  <conditionalFormatting sqref="I120:I121">
    <cfRule type="expression" dxfId="769" priority="195">
      <formula>#REF!&gt;0</formula>
    </cfRule>
    <cfRule type="expression" dxfId="768" priority="196">
      <formula>#REF!=3</formula>
    </cfRule>
    <cfRule type="expression" dxfId="767" priority="197">
      <formula>#REF!=2</formula>
    </cfRule>
    <cfRule type="expression" dxfId="766" priority="198">
      <formula>#REF!=1</formula>
    </cfRule>
  </conditionalFormatting>
  <conditionalFormatting sqref="I120:I121">
    <cfRule type="expression" dxfId="765" priority="199" stopIfTrue="1">
      <formula>I120=#REF!=FALSE</formula>
    </cfRule>
  </conditionalFormatting>
  <conditionalFormatting sqref="I122:I124">
    <cfRule type="expression" dxfId="764" priority="190">
      <formula>#REF!&gt;0</formula>
    </cfRule>
    <cfRule type="expression" dxfId="763" priority="191">
      <formula>#REF!=3</formula>
    </cfRule>
    <cfRule type="expression" dxfId="762" priority="192">
      <formula>#REF!=2</formula>
    </cfRule>
    <cfRule type="expression" dxfId="761" priority="193">
      <formula>#REF!=1</formula>
    </cfRule>
  </conditionalFormatting>
  <conditionalFormatting sqref="I122:I124">
    <cfRule type="expression" dxfId="760" priority="194" stopIfTrue="1">
      <formula>I122=#REF!=FALSE</formula>
    </cfRule>
  </conditionalFormatting>
  <conditionalFormatting sqref="I127:I128">
    <cfRule type="expression" dxfId="759" priority="185">
      <formula>#REF!&gt;0</formula>
    </cfRule>
    <cfRule type="expression" dxfId="758" priority="186">
      <formula>#REF!=3</formula>
    </cfRule>
    <cfRule type="expression" dxfId="757" priority="187">
      <formula>#REF!=2</formula>
    </cfRule>
    <cfRule type="expression" dxfId="756" priority="188">
      <formula>#REF!=1</formula>
    </cfRule>
  </conditionalFormatting>
  <conditionalFormatting sqref="I127:I128">
    <cfRule type="expression" dxfId="755" priority="189" stopIfTrue="1">
      <formula>I127=#REF!=FALSE</formula>
    </cfRule>
  </conditionalFormatting>
  <conditionalFormatting sqref="I129:I131">
    <cfRule type="expression" dxfId="754" priority="180">
      <formula>#REF!&gt;0</formula>
    </cfRule>
    <cfRule type="expression" dxfId="753" priority="181">
      <formula>#REF!=3</formula>
    </cfRule>
    <cfRule type="expression" dxfId="752" priority="182">
      <formula>#REF!=2</formula>
    </cfRule>
    <cfRule type="expression" dxfId="751" priority="183">
      <formula>#REF!=1</formula>
    </cfRule>
  </conditionalFormatting>
  <conditionalFormatting sqref="I129:I131">
    <cfRule type="expression" dxfId="750" priority="184" stopIfTrue="1">
      <formula>I129=#REF!=FALSE</formula>
    </cfRule>
  </conditionalFormatting>
  <conditionalFormatting sqref="I133:I138">
    <cfRule type="expression" dxfId="749" priority="169" stopIfTrue="1">
      <formula>I133=#REF!=FALSE</formula>
    </cfRule>
  </conditionalFormatting>
  <conditionalFormatting sqref="I139:I140">
    <cfRule type="expression" dxfId="748" priority="175">
      <formula>#REF!&gt;0</formula>
    </cfRule>
    <cfRule type="expression" dxfId="747" priority="176">
      <formula>#REF!=3</formula>
    </cfRule>
    <cfRule type="expression" dxfId="746" priority="177">
      <formula>#REF!=2</formula>
    </cfRule>
    <cfRule type="expression" dxfId="745" priority="178">
      <formula>#REF!=1</formula>
    </cfRule>
  </conditionalFormatting>
  <conditionalFormatting sqref="I139:I140">
    <cfRule type="expression" dxfId="744" priority="179" stopIfTrue="1">
      <formula>I139=#REF!=FALSE</formula>
    </cfRule>
  </conditionalFormatting>
  <conditionalFormatting sqref="I141">
    <cfRule type="expression" dxfId="743" priority="170">
      <formula>#REF!&gt;0</formula>
    </cfRule>
    <cfRule type="expression" dxfId="742" priority="171">
      <formula>#REF!=3</formula>
    </cfRule>
    <cfRule type="expression" dxfId="741" priority="172">
      <formula>#REF!=2</formula>
    </cfRule>
    <cfRule type="expression" dxfId="740" priority="173">
      <formula>#REF!=1</formula>
    </cfRule>
  </conditionalFormatting>
  <conditionalFormatting sqref="I141">
    <cfRule type="expression" dxfId="739" priority="174" stopIfTrue="1">
      <formula>I141=#REF!=FALSE</formula>
    </cfRule>
  </conditionalFormatting>
  <conditionalFormatting sqref="I133:I138">
    <cfRule type="expression" dxfId="738" priority="165">
      <formula>#REF!&gt;0</formula>
    </cfRule>
    <cfRule type="expression" dxfId="737" priority="166">
      <formula>#REF!=3</formula>
    </cfRule>
    <cfRule type="expression" dxfId="736" priority="167">
      <formula>#REF!=2</formula>
    </cfRule>
    <cfRule type="expression" dxfId="735" priority="168">
      <formula>#REF!=1</formula>
    </cfRule>
  </conditionalFormatting>
  <conditionalFormatting sqref="I143:I148">
    <cfRule type="expression" dxfId="734" priority="154" stopIfTrue="1">
      <formula>I143=#REF!=FALSE</formula>
    </cfRule>
  </conditionalFormatting>
  <conditionalFormatting sqref="I149:I150">
    <cfRule type="expression" dxfId="733" priority="160">
      <formula>#REF!&gt;0</formula>
    </cfRule>
    <cfRule type="expression" dxfId="732" priority="161">
      <formula>#REF!=3</formula>
    </cfRule>
    <cfRule type="expression" dxfId="731" priority="162">
      <formula>#REF!=2</formula>
    </cfRule>
    <cfRule type="expression" dxfId="730" priority="163">
      <formula>#REF!=1</formula>
    </cfRule>
  </conditionalFormatting>
  <conditionalFormatting sqref="I149:I150">
    <cfRule type="expression" dxfId="729" priority="164" stopIfTrue="1">
      <formula>I149=#REF!=FALSE</formula>
    </cfRule>
  </conditionalFormatting>
  <conditionalFormatting sqref="I151">
    <cfRule type="expression" dxfId="728" priority="155">
      <formula>#REF!&gt;0</formula>
    </cfRule>
    <cfRule type="expression" dxfId="727" priority="156">
      <formula>#REF!=3</formula>
    </cfRule>
    <cfRule type="expression" dxfId="726" priority="157">
      <formula>#REF!=2</formula>
    </cfRule>
    <cfRule type="expression" dxfId="725" priority="158">
      <formula>#REF!=1</formula>
    </cfRule>
  </conditionalFormatting>
  <conditionalFormatting sqref="I151">
    <cfRule type="expression" dxfId="724" priority="159" stopIfTrue="1">
      <formula>I151=#REF!=FALSE</formula>
    </cfRule>
  </conditionalFormatting>
  <conditionalFormatting sqref="I143:I148">
    <cfRule type="expression" dxfId="723" priority="150">
      <formula>#REF!&gt;0</formula>
    </cfRule>
    <cfRule type="expression" dxfId="722" priority="151">
      <formula>#REF!=3</formula>
    </cfRule>
    <cfRule type="expression" dxfId="721" priority="152">
      <formula>#REF!=2</formula>
    </cfRule>
    <cfRule type="expression" dxfId="720" priority="153">
      <formula>#REF!=1</formula>
    </cfRule>
  </conditionalFormatting>
  <conditionalFormatting sqref="I157:I162">
    <cfRule type="expression" dxfId="719" priority="139" stopIfTrue="1">
      <formula>I157=#REF!=FALSE</formula>
    </cfRule>
  </conditionalFormatting>
  <conditionalFormatting sqref="I163:I164">
    <cfRule type="expression" dxfId="718" priority="145">
      <formula>#REF!&gt;0</formula>
    </cfRule>
    <cfRule type="expression" dxfId="717" priority="146">
      <formula>#REF!=3</formula>
    </cfRule>
    <cfRule type="expression" dxfId="716" priority="147">
      <formula>#REF!=2</formula>
    </cfRule>
    <cfRule type="expression" dxfId="715" priority="148">
      <formula>#REF!=1</formula>
    </cfRule>
  </conditionalFormatting>
  <conditionalFormatting sqref="I163:I164">
    <cfRule type="expression" dxfId="714" priority="149" stopIfTrue="1">
      <formula>I163=#REF!=FALSE</formula>
    </cfRule>
  </conditionalFormatting>
  <conditionalFormatting sqref="I165">
    <cfRule type="expression" dxfId="713" priority="140">
      <formula>#REF!&gt;0</formula>
    </cfRule>
    <cfRule type="expression" dxfId="712" priority="141">
      <formula>#REF!=3</formula>
    </cfRule>
    <cfRule type="expression" dxfId="711" priority="142">
      <formula>#REF!=2</formula>
    </cfRule>
    <cfRule type="expression" dxfId="710" priority="143">
      <formula>#REF!=1</formula>
    </cfRule>
  </conditionalFormatting>
  <conditionalFormatting sqref="I165">
    <cfRule type="expression" dxfId="709" priority="144" stopIfTrue="1">
      <formula>I165=#REF!=FALSE</formula>
    </cfRule>
  </conditionalFormatting>
  <conditionalFormatting sqref="I157:I162">
    <cfRule type="expression" dxfId="708" priority="135">
      <formula>#REF!&gt;0</formula>
    </cfRule>
    <cfRule type="expression" dxfId="707" priority="136">
      <formula>#REF!=3</formula>
    </cfRule>
    <cfRule type="expression" dxfId="706" priority="137">
      <formula>#REF!=2</formula>
    </cfRule>
    <cfRule type="expression" dxfId="705" priority="138">
      <formula>#REF!=1</formula>
    </cfRule>
  </conditionalFormatting>
  <conditionalFormatting sqref="I153:I156">
    <cfRule type="expression" dxfId="704" priority="134" stopIfTrue="1">
      <formula>I153=#REF!=FALSE</formula>
    </cfRule>
  </conditionalFormatting>
  <conditionalFormatting sqref="I153:I156">
    <cfRule type="expression" dxfId="703" priority="130">
      <formula>#REF!&gt;0</formula>
    </cfRule>
    <cfRule type="expression" dxfId="702" priority="131">
      <formula>#REF!=3</formula>
    </cfRule>
    <cfRule type="expression" dxfId="701" priority="132">
      <formula>#REF!=2</formula>
    </cfRule>
    <cfRule type="expression" dxfId="700" priority="133">
      <formula>#REF!=1</formula>
    </cfRule>
  </conditionalFormatting>
  <conditionalFormatting sqref="I167:I170">
    <cfRule type="expression" dxfId="699" priority="129" stopIfTrue="1">
      <formula>I167=#REF!=FALSE</formula>
    </cfRule>
  </conditionalFormatting>
  <conditionalFormatting sqref="I167:I170">
    <cfRule type="expression" dxfId="698" priority="125">
      <formula>#REF!&gt;0</formula>
    </cfRule>
    <cfRule type="expression" dxfId="697" priority="126">
      <formula>#REF!=3</formula>
    </cfRule>
    <cfRule type="expression" dxfId="696" priority="127">
      <formula>#REF!=2</formula>
    </cfRule>
    <cfRule type="expression" dxfId="695" priority="128">
      <formula>#REF!=1</formula>
    </cfRule>
  </conditionalFormatting>
  <conditionalFormatting sqref="I172:I173">
    <cfRule type="expression" dxfId="694" priority="120">
      <formula>#REF!&gt;0</formula>
    </cfRule>
    <cfRule type="expression" dxfId="693" priority="121">
      <formula>#REF!=3</formula>
    </cfRule>
    <cfRule type="expression" dxfId="692" priority="122">
      <formula>#REF!=2</formula>
    </cfRule>
    <cfRule type="expression" dxfId="691" priority="123">
      <formula>#REF!=1</formula>
    </cfRule>
  </conditionalFormatting>
  <conditionalFormatting sqref="I172:I173">
    <cfRule type="expression" dxfId="690" priority="124" stopIfTrue="1">
      <formula>I172=#REF!=FALSE</formula>
    </cfRule>
  </conditionalFormatting>
  <conditionalFormatting sqref="I174:I176">
    <cfRule type="expression" dxfId="689" priority="115">
      <formula>#REF!&gt;0</formula>
    </cfRule>
    <cfRule type="expression" dxfId="688" priority="116">
      <formula>#REF!=3</formula>
    </cfRule>
    <cfRule type="expression" dxfId="687" priority="117">
      <formula>#REF!=2</formula>
    </cfRule>
    <cfRule type="expression" dxfId="686" priority="118">
      <formula>#REF!=1</formula>
    </cfRule>
  </conditionalFormatting>
  <conditionalFormatting sqref="I174:I176">
    <cfRule type="expression" dxfId="685" priority="119" stopIfTrue="1">
      <formula>I174=#REF!=FALSE</formula>
    </cfRule>
  </conditionalFormatting>
  <conditionalFormatting sqref="I126">
    <cfRule type="expression" dxfId="684" priority="110">
      <formula>#REF!&gt;0</formula>
    </cfRule>
    <cfRule type="expression" dxfId="683" priority="111">
      <formula>#REF!=3</formula>
    </cfRule>
    <cfRule type="expression" dxfId="682" priority="112">
      <formula>#REF!=2</formula>
    </cfRule>
    <cfRule type="expression" dxfId="681" priority="113">
      <formula>#REF!=1</formula>
    </cfRule>
  </conditionalFormatting>
  <conditionalFormatting sqref="I126">
    <cfRule type="expression" dxfId="680" priority="114" stopIfTrue="1">
      <formula>I126=#REF!=FALSE</formula>
    </cfRule>
  </conditionalFormatting>
  <conditionalFormatting sqref="I171">
    <cfRule type="expression" dxfId="679" priority="105">
      <formula>#REF!&gt;0</formula>
    </cfRule>
    <cfRule type="expression" dxfId="678" priority="106">
      <formula>#REF!=3</formula>
    </cfRule>
    <cfRule type="expression" dxfId="677" priority="107">
      <formula>#REF!=2</formula>
    </cfRule>
    <cfRule type="expression" dxfId="676" priority="108">
      <formula>#REF!=1</formula>
    </cfRule>
  </conditionalFormatting>
  <conditionalFormatting sqref="I171">
    <cfRule type="expression" dxfId="675" priority="109" stopIfTrue="1">
      <formula>I171=#REF!=FALSE</formula>
    </cfRule>
  </conditionalFormatting>
  <conditionalFormatting sqref="I183:I184">
    <cfRule type="expression" dxfId="674" priority="100">
      <formula>#REF!&gt;0</formula>
    </cfRule>
    <cfRule type="expression" dxfId="673" priority="101">
      <formula>#REF!=3</formula>
    </cfRule>
    <cfRule type="expression" dxfId="672" priority="102">
      <formula>#REF!=2</formula>
    </cfRule>
    <cfRule type="expression" dxfId="671" priority="103">
      <formula>#REF!=1</formula>
    </cfRule>
  </conditionalFormatting>
  <conditionalFormatting sqref="I183:I184">
    <cfRule type="expression" dxfId="670" priority="104" stopIfTrue="1">
      <formula>I183=#REF!=FALSE</formula>
    </cfRule>
  </conditionalFormatting>
  <conditionalFormatting sqref="I26:I28">
    <cfRule type="expression" dxfId="669" priority="95">
      <formula>#REF!&gt;0</formula>
    </cfRule>
    <cfRule type="expression" dxfId="668" priority="96">
      <formula>#REF!=3</formula>
    </cfRule>
    <cfRule type="expression" dxfId="667" priority="97">
      <formula>#REF!=2</formula>
    </cfRule>
    <cfRule type="expression" dxfId="666" priority="98">
      <formula>#REF!=1</formula>
    </cfRule>
  </conditionalFormatting>
  <conditionalFormatting sqref="I26:I28">
    <cfRule type="expression" dxfId="665" priority="99" stopIfTrue="1">
      <formula>I26=#REF!=FALSE</formula>
    </cfRule>
  </conditionalFormatting>
  <conditionalFormatting sqref="I33:I35">
    <cfRule type="expression" dxfId="664" priority="86">
      <formula>#REF!&gt;0</formula>
    </cfRule>
    <cfRule type="expression" dxfId="663" priority="87">
      <formula>#REF!=3</formula>
    </cfRule>
    <cfRule type="expression" dxfId="662" priority="88">
      <formula>#REF!=2</formula>
    </cfRule>
    <cfRule type="expression" dxfId="661" priority="89">
      <formula>#REF!=1</formula>
    </cfRule>
  </conditionalFormatting>
  <conditionalFormatting sqref="I33:I35">
    <cfRule type="expression" dxfId="660" priority="90" stopIfTrue="1">
      <formula>I33=#REF!=FALSE</formula>
    </cfRule>
  </conditionalFormatting>
  <conditionalFormatting sqref="I49:I51">
    <cfRule type="expression" dxfId="659" priority="77">
      <formula>#REF!&gt;0</formula>
    </cfRule>
    <cfRule type="expression" dxfId="658" priority="78">
      <formula>#REF!=3</formula>
    </cfRule>
    <cfRule type="expression" dxfId="657" priority="79">
      <formula>#REF!=2</formula>
    </cfRule>
    <cfRule type="expression" dxfId="656" priority="80">
      <formula>#REF!=1</formula>
    </cfRule>
  </conditionalFormatting>
  <conditionalFormatting sqref="I49:I51">
    <cfRule type="expression" dxfId="655" priority="81" stopIfTrue="1">
      <formula>I49=#REF!=FALSE</formula>
    </cfRule>
  </conditionalFormatting>
  <conditionalFormatting sqref="I59:I61">
    <cfRule type="expression" dxfId="654" priority="64">
      <formula>#REF!&gt;0</formula>
    </cfRule>
    <cfRule type="expression" dxfId="653" priority="65">
      <formula>#REF!=3</formula>
    </cfRule>
    <cfRule type="expression" dxfId="652" priority="66">
      <formula>#REF!=2</formula>
    </cfRule>
    <cfRule type="expression" dxfId="651" priority="67">
      <formula>#REF!=1</formula>
    </cfRule>
  </conditionalFormatting>
  <conditionalFormatting sqref="I59:I61">
    <cfRule type="expression" dxfId="650" priority="68" stopIfTrue="1">
      <formula>I59=#REF!=FALSE</formula>
    </cfRule>
  </conditionalFormatting>
  <conditionalFormatting sqref="I190:I193">
    <cfRule type="expression" dxfId="649" priority="42" stopIfTrue="1">
      <formula>I190=#REF!=FALSE</formula>
    </cfRule>
  </conditionalFormatting>
  <conditionalFormatting sqref="I190:I193">
    <cfRule type="expression" dxfId="648" priority="38">
      <formula>#REF!&gt;0</formula>
    </cfRule>
    <cfRule type="expression" dxfId="647" priority="39">
      <formula>#REF!=3</formula>
    </cfRule>
    <cfRule type="expression" dxfId="646" priority="40">
      <formula>#REF!=2</formula>
    </cfRule>
    <cfRule type="expression" dxfId="645" priority="41">
      <formula>#REF!=1</formula>
    </cfRule>
  </conditionalFormatting>
  <conditionalFormatting sqref="I186:I189">
    <cfRule type="expression" dxfId="644" priority="37" stopIfTrue="1">
      <formula>I186=#REF!=FALSE</formula>
    </cfRule>
  </conditionalFormatting>
  <conditionalFormatting sqref="I186:I189">
    <cfRule type="expression" dxfId="643" priority="33">
      <formula>#REF!&gt;0</formula>
    </cfRule>
    <cfRule type="expression" dxfId="642" priority="34">
      <formula>#REF!=3</formula>
    </cfRule>
    <cfRule type="expression" dxfId="641" priority="35">
      <formula>#REF!=2</formula>
    </cfRule>
    <cfRule type="expression" dxfId="640" priority="36">
      <formula>#REF!=1</formula>
    </cfRule>
  </conditionalFormatting>
  <conditionalFormatting sqref="I179:I180">
    <cfRule type="expression" dxfId="639" priority="15">
      <formula>#REF!&gt;0</formula>
    </cfRule>
    <cfRule type="expression" dxfId="638" priority="16">
      <formula>#REF!=3</formula>
    </cfRule>
    <cfRule type="expression" dxfId="637" priority="17">
      <formula>#REF!=2</formula>
    </cfRule>
    <cfRule type="expression" dxfId="636" priority="18">
      <formula>#REF!=1</formula>
    </cfRule>
  </conditionalFormatting>
  <conditionalFormatting sqref="I179:I180">
    <cfRule type="expression" dxfId="635" priority="19" stopIfTrue="1">
      <formula>I179=#REF!=FALSE</formula>
    </cfRule>
  </conditionalFormatting>
  <conditionalFormatting sqref="I181">
    <cfRule type="expression" dxfId="634" priority="10">
      <formula>#REF!&gt;0</formula>
    </cfRule>
    <cfRule type="expression" dxfId="633" priority="11">
      <formula>#REF!=3</formula>
    </cfRule>
    <cfRule type="expression" dxfId="632" priority="12">
      <formula>#REF!=2</formula>
    </cfRule>
    <cfRule type="expression" dxfId="631" priority="13">
      <formula>#REF!=1</formula>
    </cfRule>
  </conditionalFormatting>
  <conditionalFormatting sqref="I181">
    <cfRule type="expression" dxfId="630" priority="14" stopIfTrue="1">
      <formula>I181=#REF!=FALSE</formula>
    </cfRule>
  </conditionalFormatting>
  <conditionalFormatting sqref="I178">
    <cfRule type="expression" dxfId="629" priority="5">
      <formula>#REF!&gt;0</formula>
    </cfRule>
    <cfRule type="expression" dxfId="628" priority="6">
      <formula>#REF!=3</formula>
    </cfRule>
    <cfRule type="expression" dxfId="627" priority="7">
      <formula>#REF!=2</formula>
    </cfRule>
    <cfRule type="expression" dxfId="626" priority="8">
      <formula>#REF!=1</formula>
    </cfRule>
  </conditionalFormatting>
  <conditionalFormatting sqref="I178">
    <cfRule type="expression" dxfId="625" priority="9" stopIfTrue="1">
      <formula>I178=#REF!=FALSE</formula>
    </cfRule>
  </conditionalFormatting>
  <printOptions horizontalCentered="1"/>
  <pageMargins left="0.27559055118110237" right="0.27559055118110237" top="0.74803149606299213" bottom="0.74803149606299213" header="0.31496062992125984" footer="0.31496062992125984"/>
  <pageSetup paperSize="9" scale="72"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276" id="{14BB582E-AA9E-44AF-823C-5DD14E30C92A}">
            <xm:f>'\Dropbox\1MANI DOCUMENTI\2015_11novembris\1KAS_JAPILDA2015\2_DARBS_2015\[IZMAKSAS_2015_11.3(18.11.2015)(Baltex)JAUNAIS.xlsx]BAZE2015_EUR'!#REF!&gt;0</xm:f>
            <x14:dxf>
              <fill>
                <patternFill>
                  <bgColor rgb="FFFF0000"/>
                </patternFill>
              </fill>
            </x14:dxf>
          </x14:cfRule>
          <x14:cfRule type="expression" priority="277" id="{6704E735-ACA2-4B82-B140-DA847E0E76A5}">
            <xm:f>'\Dropbox\1MANI DOCUMENTI\2015_11novembris\1KAS_JAPILDA2015\2_DARBS_2015\[IZMAKSAS_2015_11.3(18.11.2015)(Baltex)JAUNAIS.xlsx]BAZE2015_EUR'!#REF!=3</xm:f>
            <x14:dxf>
              <fill>
                <patternFill>
                  <bgColor rgb="FFFF0000"/>
                </patternFill>
              </fill>
            </x14:dxf>
          </x14:cfRule>
          <x14:cfRule type="expression" priority="278" id="{D931FD7F-4F8C-4E5E-8EAB-86FC4CC3F9C3}">
            <xm:f>'\Dropbox\1MANI DOCUMENTI\2015_11novembris\1KAS_JAPILDA2015\2_DARBS_2015\[IZMAKSAS_2015_11.3(18.11.2015)(Baltex)JAUNAIS.xlsx]BAZE2015_EUR'!#REF!=2</xm:f>
            <x14:dxf>
              <fill>
                <patternFill>
                  <bgColor theme="6" tint="0.39994506668294322"/>
                </patternFill>
              </fill>
            </x14:dxf>
          </x14:cfRule>
          <x14:cfRule type="expression" priority="279" id="{7A9B3490-F21B-46ED-9A8D-B1B02AA4B4C4}">
            <xm:f>'\Dropbox\1MANI DOCUMENTI\2015_11novembris\1KAS_JAPILDA2015\2_DARBS_2015\[IZMAKSAS_2015_11.3(18.11.2015)(Baltex)JAUNAIS.xlsx]BAZE2015_EUR'!#REF!=1</xm:f>
            <x14:dxf>
              <fill>
                <patternFill>
                  <bgColor rgb="FFFFC000"/>
                </patternFill>
              </fill>
            </x14:dxf>
          </x14:cfRule>
          <xm:sqref>I20:I24 I31 I38 I43 I48 I58 I68 I73 I78 I83 I88 I93 I125 I132 I142 I152 I166 I182 I110:I111</xm:sqref>
        </x14:conditionalFormatting>
        <x14:conditionalFormatting xmlns:xm="http://schemas.microsoft.com/office/excel/2006/main">
          <x14:cfRule type="expression" priority="280" stopIfTrue="1" id="{C2175C3A-0B1B-42D9-9728-EDBECC3BAE76}">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I20:I24 I31 I38 I43 I48 I58 I68 I73 I78 I83 I88 I93 I125 I132 I142 I152 I166 I182 I110:I111</xm:sqref>
        </x14:conditionalFormatting>
        <x14:conditionalFormatting xmlns:xm="http://schemas.microsoft.com/office/excel/2006/main">
          <x14:cfRule type="expression" priority="275" stopIfTrue="1" id="{6CB0DBFB-D1FD-4ACD-A708-71F9268A296E}">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I39 I41:I42</xm:sqref>
        </x14:conditionalFormatting>
        <x14:conditionalFormatting xmlns:xm="http://schemas.microsoft.com/office/excel/2006/main">
          <x14:cfRule type="expression" priority="272" stopIfTrue="1" id="{128EEDD5-9846-4E58-A050-573B34E8DAF9}">
            <xm:f>'\Dropbox\1MANI DOCUMENTI\2015_12decembris\Baltex_Group\Babite(AivarsMaurins)\[Baltex_Babite soc centrs_VCD4.xlsx]BK'!#REF!&gt;0</xm:f>
            <x14:dxf>
              <fill>
                <patternFill>
                  <bgColor indexed="10"/>
                </patternFill>
              </fill>
            </x14:dxf>
          </x14:cfRule>
          <x14:cfRule type="expression" priority="273" stopIfTrue="1" id="{24BB7EC6-DEF5-42D6-B0B3-20AA17E783AE}">
            <xm:f>'\Dropbox\1MANI DOCUMENTI\2015_12decembris\Baltex_Group\Babite(AivarsMaurins)\[Baltex_Babite soc centrs_VCD4.xlsx]BK'!#REF!=3</xm:f>
            <x14:dxf>
              <fill>
                <patternFill>
                  <bgColor indexed="10"/>
                </patternFill>
              </fill>
            </x14:dxf>
          </x14:cfRule>
          <x14:cfRule type="expression" priority="274" stopIfTrue="1" id="{61ED5C12-7BF1-45DB-B13D-009FB1F6D872}">
            <xm:f>'\Dropbox\1MANI DOCUMENTI\2015_12decembris\Baltex_Group\Babite(AivarsMaurins)\[Baltex_Babite soc centrs_VCD4.xlsx]BK'!#REF!=2</xm:f>
            <x14:dxf>
              <fill>
                <patternFill>
                  <bgColor indexed="11"/>
                </patternFill>
              </fill>
            </x14:dxf>
          </x14:cfRule>
          <xm:sqref>I39 I41:I42</xm:sqref>
        </x14:conditionalFormatting>
        <x14:conditionalFormatting xmlns:xm="http://schemas.microsoft.com/office/excel/2006/main">
          <x14:cfRule type="expression" priority="271" stopIfTrue="1" id="{9E07B114-3591-4E8D-AE31-8CDD1E90B231}">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I44 I46:I47</xm:sqref>
        </x14:conditionalFormatting>
        <x14:conditionalFormatting xmlns:xm="http://schemas.microsoft.com/office/excel/2006/main">
          <x14:cfRule type="expression" priority="268" stopIfTrue="1" id="{60FC300A-E376-44B4-A105-0694B777DF7A}">
            <xm:f>'\Dropbox\1MANI DOCUMENTI\2015_12decembris\Baltex_Group\Babite(AivarsMaurins)\[Baltex_Babite soc centrs_VCD4.xlsx]BK'!#REF!&gt;0</xm:f>
            <x14:dxf>
              <fill>
                <patternFill>
                  <bgColor indexed="10"/>
                </patternFill>
              </fill>
            </x14:dxf>
          </x14:cfRule>
          <x14:cfRule type="expression" priority="269" stopIfTrue="1" id="{0D9F1121-D6C6-4ADB-B9C7-F544F54465A7}">
            <xm:f>'\Dropbox\1MANI DOCUMENTI\2015_12decembris\Baltex_Group\Babite(AivarsMaurins)\[Baltex_Babite soc centrs_VCD4.xlsx]BK'!#REF!=3</xm:f>
            <x14:dxf>
              <fill>
                <patternFill>
                  <bgColor indexed="10"/>
                </patternFill>
              </fill>
            </x14:dxf>
          </x14:cfRule>
          <x14:cfRule type="expression" priority="270" stopIfTrue="1" id="{4DE890E0-8B42-4886-9F51-125593AD198A}">
            <xm:f>'\Dropbox\1MANI DOCUMENTI\2015_12decembris\Baltex_Group\Babite(AivarsMaurins)\[Baltex_Babite soc centrs_VCD4.xlsx]BK'!#REF!=2</xm:f>
            <x14:dxf>
              <fill>
                <patternFill>
                  <bgColor indexed="11"/>
                </patternFill>
              </fill>
            </x14:dxf>
          </x14:cfRule>
          <xm:sqref>I44 I46:I47</xm:sqref>
        </x14:conditionalFormatting>
        <x14:conditionalFormatting xmlns:xm="http://schemas.microsoft.com/office/excel/2006/main">
          <x14:cfRule type="expression" priority="267" stopIfTrue="1" id="{08157205-31A7-4F14-8ABF-395F1A4AC22A}">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I56:I57</xm:sqref>
        </x14:conditionalFormatting>
        <x14:conditionalFormatting xmlns:xm="http://schemas.microsoft.com/office/excel/2006/main">
          <x14:cfRule type="expression" priority="264" stopIfTrue="1" id="{1F173832-3428-4531-B268-ED459212A673}">
            <xm:f>'\Dropbox\1MANI DOCUMENTI\2015_12decembris\Baltex_Group\Babite(AivarsMaurins)\[Baltex_Babite soc centrs_VCD4.xlsx]BK'!#REF!&gt;0</xm:f>
            <x14:dxf>
              <fill>
                <patternFill>
                  <bgColor indexed="10"/>
                </patternFill>
              </fill>
            </x14:dxf>
          </x14:cfRule>
          <x14:cfRule type="expression" priority="265" stopIfTrue="1" id="{D47233A1-AB64-40D5-BAF1-F1C9D32121D5}">
            <xm:f>'\Dropbox\1MANI DOCUMENTI\2015_12decembris\Baltex_Group\Babite(AivarsMaurins)\[Baltex_Babite soc centrs_VCD4.xlsx]BK'!#REF!=3</xm:f>
            <x14:dxf>
              <fill>
                <patternFill>
                  <bgColor indexed="10"/>
                </patternFill>
              </fill>
            </x14:dxf>
          </x14:cfRule>
          <x14:cfRule type="expression" priority="266" stopIfTrue="1" id="{953FB2FC-C50B-4483-9EBE-2A89B4C8340B}">
            <xm:f>'\Dropbox\1MANI DOCUMENTI\2015_12decembris\Baltex_Group\Babite(AivarsMaurins)\[Baltex_Babite soc centrs_VCD4.xlsx]BK'!#REF!=2</xm:f>
            <x14:dxf>
              <fill>
                <patternFill>
                  <bgColor indexed="11"/>
                </patternFill>
              </fill>
            </x14:dxf>
          </x14:cfRule>
          <xm:sqref>I56:I57</xm:sqref>
        </x14:conditionalFormatting>
        <x14:conditionalFormatting xmlns:xm="http://schemas.microsoft.com/office/excel/2006/main">
          <x14:cfRule type="expression" priority="263" stopIfTrue="1" id="{C0311F60-D211-4F9F-B4E6-F1184C24B0BD}">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I69:I72</xm:sqref>
        </x14:conditionalFormatting>
        <x14:conditionalFormatting xmlns:xm="http://schemas.microsoft.com/office/excel/2006/main">
          <x14:cfRule type="expression" priority="260" stopIfTrue="1" id="{ABC5CA7B-B31C-4BF9-AFC7-BDE412B136FF}">
            <xm:f>'\Dropbox\1MANI DOCUMENTI\2015_12decembris\Baltex_Group\Babite(AivarsMaurins)\[Baltex_Babite soc centrs_VCD4.xlsx]BK'!#REF!&gt;0</xm:f>
            <x14:dxf>
              <fill>
                <patternFill>
                  <bgColor indexed="10"/>
                </patternFill>
              </fill>
            </x14:dxf>
          </x14:cfRule>
          <x14:cfRule type="expression" priority="261" stopIfTrue="1" id="{35BB3528-C87A-4EDC-A7D0-92E73C685E1B}">
            <xm:f>'\Dropbox\1MANI DOCUMENTI\2015_12decembris\Baltex_Group\Babite(AivarsMaurins)\[Baltex_Babite soc centrs_VCD4.xlsx]BK'!#REF!=3</xm:f>
            <x14:dxf>
              <fill>
                <patternFill>
                  <bgColor indexed="10"/>
                </patternFill>
              </fill>
            </x14:dxf>
          </x14:cfRule>
          <x14:cfRule type="expression" priority="262" stopIfTrue="1" id="{49723789-467F-4D60-9324-E81442F23BAC}">
            <xm:f>'\Dropbox\1MANI DOCUMENTI\2015_12decembris\Baltex_Group\Babite(AivarsMaurins)\[Baltex_Babite soc centrs_VCD4.xlsx]BK'!#REF!=2</xm:f>
            <x14:dxf>
              <fill>
                <patternFill>
                  <bgColor indexed="11"/>
                </patternFill>
              </fill>
            </x14:dxf>
          </x14:cfRule>
          <xm:sqref>I69:I72</xm:sqref>
        </x14:conditionalFormatting>
        <x14:conditionalFormatting xmlns:xm="http://schemas.microsoft.com/office/excel/2006/main">
          <x14:cfRule type="expression" priority="94" stopIfTrue="1" id="{04A162EA-982C-41F9-8F66-266575EC9794}">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I29:I30</xm:sqref>
        </x14:conditionalFormatting>
        <x14:conditionalFormatting xmlns:xm="http://schemas.microsoft.com/office/excel/2006/main">
          <x14:cfRule type="expression" priority="91" stopIfTrue="1" id="{B42BD558-4611-4FBC-970F-37F2FC2EABE5}">
            <xm:f>'\Dropbox\1MANI DOCUMENTI\2015_12decembris\Baltex_Group\Babite(AivarsMaurins)\[Baltex_Babite soc centrs_VCD4.xlsx]BK'!#REF!&gt;0</xm:f>
            <x14:dxf>
              <fill>
                <patternFill>
                  <bgColor indexed="10"/>
                </patternFill>
              </fill>
            </x14:dxf>
          </x14:cfRule>
          <x14:cfRule type="expression" priority="92" stopIfTrue="1" id="{94E02D68-B753-47FD-8CF0-3C527706ED00}">
            <xm:f>'\Dropbox\1MANI DOCUMENTI\2015_12decembris\Baltex_Group\Babite(AivarsMaurins)\[Baltex_Babite soc centrs_VCD4.xlsx]BK'!#REF!=3</xm:f>
            <x14:dxf>
              <fill>
                <patternFill>
                  <bgColor indexed="10"/>
                </patternFill>
              </fill>
            </x14:dxf>
          </x14:cfRule>
          <x14:cfRule type="expression" priority="93" stopIfTrue="1" id="{D626AD1D-D8AF-46C6-84B8-308F0D413C20}">
            <xm:f>'\Dropbox\1MANI DOCUMENTI\2015_12decembris\Baltex_Group\Babite(AivarsMaurins)\[Baltex_Babite soc centrs_VCD4.xlsx]BK'!#REF!=2</xm:f>
            <x14:dxf>
              <fill>
                <patternFill>
                  <bgColor indexed="11"/>
                </patternFill>
              </fill>
            </x14:dxf>
          </x14:cfRule>
          <xm:sqref>I29:I30</xm:sqref>
        </x14:conditionalFormatting>
        <x14:conditionalFormatting xmlns:xm="http://schemas.microsoft.com/office/excel/2006/main">
          <x14:cfRule type="expression" priority="85" stopIfTrue="1" id="{911CC097-8E6D-463D-B1E3-DDE88AE96976}">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I36:I37</xm:sqref>
        </x14:conditionalFormatting>
        <x14:conditionalFormatting xmlns:xm="http://schemas.microsoft.com/office/excel/2006/main">
          <x14:cfRule type="expression" priority="82" stopIfTrue="1" id="{FC8600DA-0387-4200-9F70-31CB6F3B534E}">
            <xm:f>'\Dropbox\1MANI DOCUMENTI\2015_12decembris\Baltex_Group\Babite(AivarsMaurins)\[Baltex_Babite soc centrs_VCD4.xlsx]BK'!#REF!&gt;0</xm:f>
            <x14:dxf>
              <fill>
                <patternFill>
                  <bgColor indexed="10"/>
                </patternFill>
              </fill>
            </x14:dxf>
          </x14:cfRule>
          <x14:cfRule type="expression" priority="83" stopIfTrue="1" id="{779106C0-98ED-45BD-913A-94096CA16B6A}">
            <xm:f>'\Dropbox\1MANI DOCUMENTI\2015_12decembris\Baltex_Group\Babite(AivarsMaurins)\[Baltex_Babite soc centrs_VCD4.xlsx]BK'!#REF!=3</xm:f>
            <x14:dxf>
              <fill>
                <patternFill>
                  <bgColor indexed="10"/>
                </patternFill>
              </fill>
            </x14:dxf>
          </x14:cfRule>
          <x14:cfRule type="expression" priority="84" stopIfTrue="1" id="{92AA331C-FFB1-4C54-8245-A014960A7E84}">
            <xm:f>'\Dropbox\1MANI DOCUMENTI\2015_12decembris\Baltex_Group\Babite(AivarsMaurins)\[Baltex_Babite soc centrs_VCD4.xlsx]BK'!#REF!=2</xm:f>
            <x14:dxf>
              <fill>
                <patternFill>
                  <bgColor indexed="11"/>
                </patternFill>
              </fill>
            </x14:dxf>
          </x14:cfRule>
          <xm:sqref>I36:I37</xm:sqref>
        </x14:conditionalFormatting>
        <x14:conditionalFormatting xmlns:xm="http://schemas.microsoft.com/office/excel/2006/main">
          <x14:cfRule type="expression" priority="76" stopIfTrue="1" id="{322B08F1-91B3-4601-9126-A91910310A7B}">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I52:I53</xm:sqref>
        </x14:conditionalFormatting>
        <x14:conditionalFormatting xmlns:xm="http://schemas.microsoft.com/office/excel/2006/main">
          <x14:cfRule type="expression" priority="73" stopIfTrue="1" id="{36D52321-95E8-4C1B-9FD5-83CD83A87277}">
            <xm:f>'\Dropbox\1MANI DOCUMENTI\2015_12decembris\Baltex_Group\Babite(AivarsMaurins)\[Baltex_Babite soc centrs_VCD4.xlsx]BK'!#REF!&gt;0</xm:f>
            <x14:dxf>
              <fill>
                <patternFill>
                  <bgColor indexed="10"/>
                </patternFill>
              </fill>
            </x14:dxf>
          </x14:cfRule>
          <x14:cfRule type="expression" priority="74" stopIfTrue="1" id="{8AC4DCB6-ACF6-43EA-8BC3-615A8F97E341}">
            <xm:f>'\Dropbox\1MANI DOCUMENTI\2015_12decembris\Baltex_Group\Babite(AivarsMaurins)\[Baltex_Babite soc centrs_VCD4.xlsx]BK'!#REF!=3</xm:f>
            <x14:dxf>
              <fill>
                <patternFill>
                  <bgColor indexed="10"/>
                </patternFill>
              </fill>
            </x14:dxf>
          </x14:cfRule>
          <x14:cfRule type="expression" priority="75" stopIfTrue="1" id="{2891021F-68E7-4337-B60F-3049F8478175}">
            <xm:f>'\Dropbox\1MANI DOCUMENTI\2015_12decembris\Baltex_Group\Babite(AivarsMaurins)\[Baltex_Babite soc centrs_VCD4.xlsx]BK'!#REF!=2</xm:f>
            <x14:dxf>
              <fill>
                <patternFill>
                  <bgColor indexed="11"/>
                </patternFill>
              </fill>
            </x14:dxf>
          </x14:cfRule>
          <xm:sqref>I52:I53</xm:sqref>
        </x14:conditionalFormatting>
        <x14:conditionalFormatting xmlns:xm="http://schemas.microsoft.com/office/excel/2006/main">
          <x14:cfRule type="expression" priority="72" stopIfTrue="1" id="{2BAFF004-F649-41ED-9A6D-9EAC4B55C6F0}">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I54:I55</xm:sqref>
        </x14:conditionalFormatting>
        <x14:conditionalFormatting xmlns:xm="http://schemas.microsoft.com/office/excel/2006/main">
          <x14:cfRule type="expression" priority="69" stopIfTrue="1" id="{A4459930-DEFA-49A9-9BBF-BBB192CA64D1}">
            <xm:f>'\Dropbox\1MANI DOCUMENTI\2015_12decembris\Baltex_Group\Babite(AivarsMaurins)\[Baltex_Babite soc centrs_VCD4.xlsx]BK'!#REF!&gt;0</xm:f>
            <x14:dxf>
              <fill>
                <patternFill>
                  <bgColor indexed="10"/>
                </patternFill>
              </fill>
            </x14:dxf>
          </x14:cfRule>
          <x14:cfRule type="expression" priority="70" stopIfTrue="1" id="{83FD76E0-2786-48E4-80A3-64763E496202}">
            <xm:f>'\Dropbox\1MANI DOCUMENTI\2015_12decembris\Baltex_Group\Babite(AivarsMaurins)\[Baltex_Babite soc centrs_VCD4.xlsx]BK'!#REF!=3</xm:f>
            <x14:dxf>
              <fill>
                <patternFill>
                  <bgColor indexed="10"/>
                </patternFill>
              </fill>
            </x14:dxf>
          </x14:cfRule>
          <x14:cfRule type="expression" priority="71" stopIfTrue="1" id="{FE97908B-A790-4D5E-8C1B-E304D9555240}">
            <xm:f>'\Dropbox\1MANI DOCUMENTI\2015_12decembris\Baltex_Group\Babite(AivarsMaurins)\[Baltex_Babite soc centrs_VCD4.xlsx]BK'!#REF!=2</xm:f>
            <x14:dxf>
              <fill>
                <patternFill>
                  <bgColor indexed="11"/>
                </patternFill>
              </fill>
            </x14:dxf>
          </x14:cfRule>
          <xm:sqref>I54:I55</xm:sqref>
        </x14:conditionalFormatting>
        <x14:conditionalFormatting xmlns:xm="http://schemas.microsoft.com/office/excel/2006/main">
          <x14:cfRule type="expression" priority="63" stopIfTrue="1" id="{1B705B86-53C2-42B3-BD7E-C93C8C017DE5}">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I62:I63</xm:sqref>
        </x14:conditionalFormatting>
        <x14:conditionalFormatting xmlns:xm="http://schemas.microsoft.com/office/excel/2006/main">
          <x14:cfRule type="expression" priority="60" stopIfTrue="1" id="{5ADD14A6-7143-415F-9F4E-4DDF621BE999}">
            <xm:f>'\Dropbox\1MANI DOCUMENTI\2015_12decembris\Baltex_Group\Babite(AivarsMaurins)\[Baltex_Babite soc centrs_VCD4.xlsx]BK'!#REF!&gt;0</xm:f>
            <x14:dxf>
              <fill>
                <patternFill>
                  <bgColor indexed="10"/>
                </patternFill>
              </fill>
            </x14:dxf>
          </x14:cfRule>
          <x14:cfRule type="expression" priority="61" stopIfTrue="1" id="{F7B169B0-F9D8-4856-B0D7-F9F68C8C9526}">
            <xm:f>'\Dropbox\1MANI DOCUMENTI\2015_12decembris\Baltex_Group\Babite(AivarsMaurins)\[Baltex_Babite soc centrs_VCD4.xlsx]BK'!#REF!=3</xm:f>
            <x14:dxf>
              <fill>
                <patternFill>
                  <bgColor indexed="10"/>
                </patternFill>
              </fill>
            </x14:dxf>
          </x14:cfRule>
          <x14:cfRule type="expression" priority="62" stopIfTrue="1" id="{BED245E7-4B2D-4140-819E-AA69B97A96F0}">
            <xm:f>'\Dropbox\1MANI DOCUMENTI\2015_12decembris\Baltex_Group\Babite(AivarsMaurins)\[Baltex_Babite soc centrs_VCD4.xlsx]BK'!#REF!=2</xm:f>
            <x14:dxf>
              <fill>
                <patternFill>
                  <bgColor indexed="11"/>
                </patternFill>
              </fill>
            </x14:dxf>
          </x14:cfRule>
          <xm:sqref>I62:I63</xm:sqref>
        </x14:conditionalFormatting>
        <x14:conditionalFormatting xmlns:xm="http://schemas.microsoft.com/office/excel/2006/main">
          <x14:cfRule type="expression" priority="59" stopIfTrue="1" id="{6F771B23-5EF2-4F4B-A8A2-40CDB27A7D05}">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I64:I65</xm:sqref>
        </x14:conditionalFormatting>
        <x14:conditionalFormatting xmlns:xm="http://schemas.microsoft.com/office/excel/2006/main">
          <x14:cfRule type="expression" priority="56" stopIfTrue="1" id="{E32FD324-7B12-4F9E-B6DD-60F7CFC30ED5}">
            <xm:f>'\Dropbox\1MANI DOCUMENTI\2015_12decembris\Baltex_Group\Babite(AivarsMaurins)\[Baltex_Babite soc centrs_VCD4.xlsx]BK'!#REF!&gt;0</xm:f>
            <x14:dxf>
              <fill>
                <patternFill>
                  <bgColor indexed="10"/>
                </patternFill>
              </fill>
            </x14:dxf>
          </x14:cfRule>
          <x14:cfRule type="expression" priority="57" stopIfTrue="1" id="{17C54311-9057-4F7E-9E94-FF2B528055C4}">
            <xm:f>'\Dropbox\1MANI DOCUMENTI\2015_12decembris\Baltex_Group\Babite(AivarsMaurins)\[Baltex_Babite soc centrs_VCD4.xlsx]BK'!#REF!=3</xm:f>
            <x14:dxf>
              <fill>
                <patternFill>
                  <bgColor indexed="10"/>
                </patternFill>
              </fill>
            </x14:dxf>
          </x14:cfRule>
          <x14:cfRule type="expression" priority="58" stopIfTrue="1" id="{31AFB33F-9733-482E-8D3B-5EFBBC82C9E6}">
            <xm:f>'\Dropbox\1MANI DOCUMENTI\2015_12decembris\Baltex_Group\Babite(AivarsMaurins)\[Baltex_Babite soc centrs_VCD4.xlsx]BK'!#REF!=2</xm:f>
            <x14:dxf>
              <fill>
                <patternFill>
                  <bgColor indexed="11"/>
                </patternFill>
              </fill>
            </x14:dxf>
          </x14:cfRule>
          <xm:sqref>I64:I65</xm:sqref>
        </x14:conditionalFormatting>
        <x14:conditionalFormatting xmlns:xm="http://schemas.microsoft.com/office/excel/2006/main">
          <x14:cfRule type="expression" priority="55" stopIfTrue="1" id="{21A5FCEE-AD66-4263-BB16-23A8696720D6}">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I45</xm:sqref>
        </x14:conditionalFormatting>
        <x14:conditionalFormatting xmlns:xm="http://schemas.microsoft.com/office/excel/2006/main">
          <x14:cfRule type="expression" priority="52" stopIfTrue="1" id="{CBBEB7E6-FD47-47FC-814C-32A0D9ACE811}">
            <xm:f>'\Dropbox\1MANI DOCUMENTI\2015_12decembris\Baltex_Group\Babite(AivarsMaurins)\[Baltex_Babite soc centrs_VCD4.xlsx]BK'!#REF!&gt;0</xm:f>
            <x14:dxf>
              <fill>
                <patternFill>
                  <bgColor indexed="10"/>
                </patternFill>
              </fill>
            </x14:dxf>
          </x14:cfRule>
          <x14:cfRule type="expression" priority="53" stopIfTrue="1" id="{EFB1CDED-F133-4886-899D-0B6DB2401919}">
            <xm:f>'\Dropbox\1MANI DOCUMENTI\2015_12decembris\Baltex_Group\Babite(AivarsMaurins)\[Baltex_Babite soc centrs_VCD4.xlsx]BK'!#REF!=3</xm:f>
            <x14:dxf>
              <fill>
                <patternFill>
                  <bgColor indexed="10"/>
                </patternFill>
              </fill>
            </x14:dxf>
          </x14:cfRule>
          <x14:cfRule type="expression" priority="54" stopIfTrue="1" id="{83F203F8-B0EB-4C7D-A8B1-2F773CD54CA3}">
            <xm:f>'\Dropbox\1MANI DOCUMENTI\2015_12decembris\Baltex_Group\Babite(AivarsMaurins)\[Baltex_Babite soc centrs_VCD4.xlsx]BK'!#REF!=2</xm:f>
            <x14:dxf>
              <fill>
                <patternFill>
                  <bgColor indexed="11"/>
                </patternFill>
              </fill>
            </x14:dxf>
          </x14:cfRule>
          <xm:sqref>I45</xm:sqref>
        </x14:conditionalFormatting>
        <x14:conditionalFormatting xmlns:xm="http://schemas.microsoft.com/office/excel/2006/main">
          <x14:cfRule type="expression" priority="51" stopIfTrue="1" id="{D20A19E9-5399-4C73-AD6A-475429194F20}">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I40</xm:sqref>
        </x14:conditionalFormatting>
        <x14:conditionalFormatting xmlns:xm="http://schemas.microsoft.com/office/excel/2006/main">
          <x14:cfRule type="expression" priority="48" stopIfTrue="1" id="{EA15EE9D-F0F5-48BD-BFB4-82CB9473A291}">
            <xm:f>'\Dropbox\1MANI DOCUMENTI\2015_12decembris\Baltex_Group\Babite(AivarsMaurins)\[Baltex_Babite soc centrs_VCD4.xlsx]BK'!#REF!&gt;0</xm:f>
            <x14:dxf>
              <fill>
                <patternFill>
                  <bgColor indexed="10"/>
                </patternFill>
              </fill>
            </x14:dxf>
          </x14:cfRule>
          <x14:cfRule type="expression" priority="49" stopIfTrue="1" id="{A809A107-2C2F-488D-8A40-3363A6045033}">
            <xm:f>'\Dropbox\1MANI DOCUMENTI\2015_12decembris\Baltex_Group\Babite(AivarsMaurins)\[Baltex_Babite soc centrs_VCD4.xlsx]BK'!#REF!=3</xm:f>
            <x14:dxf>
              <fill>
                <patternFill>
                  <bgColor indexed="10"/>
                </patternFill>
              </fill>
            </x14:dxf>
          </x14:cfRule>
          <x14:cfRule type="expression" priority="50" stopIfTrue="1" id="{7396A49A-5CDA-455E-85BB-CE38493952DB}">
            <xm:f>'\Dropbox\1MANI DOCUMENTI\2015_12decembris\Baltex_Group\Babite(AivarsMaurins)\[Baltex_Babite soc centrs_VCD4.xlsx]BK'!#REF!=2</xm:f>
            <x14:dxf>
              <fill>
                <patternFill>
                  <bgColor indexed="11"/>
                </patternFill>
              </fill>
            </x14:dxf>
          </x14:cfRule>
          <xm:sqref>I40</xm:sqref>
        </x14:conditionalFormatting>
        <x14:conditionalFormatting xmlns:xm="http://schemas.microsoft.com/office/excel/2006/main">
          <x14:cfRule type="expression" priority="43" id="{AEA81338-1A87-4E1F-AF47-8194A21B91B7}">
            <xm:f>'\Dropbox\1MANI DOCUMENTI\2015_11novembris\1KAS_JAPILDA2015\2_DARBS_2015\[IZMAKSAS_2015_11.3(18.11.2015)(Baltex)JAUNAIS.xlsx]BAZE2015_EUR'!#REF!&gt;0</xm:f>
            <x14:dxf>
              <fill>
                <patternFill>
                  <bgColor rgb="FFFF0000"/>
                </patternFill>
              </fill>
            </x14:dxf>
          </x14:cfRule>
          <x14:cfRule type="expression" priority="44" id="{04F4ADFC-AF6D-4D72-A999-EB7FF94B7E71}">
            <xm:f>'\Dropbox\1MANI DOCUMENTI\2015_11novembris\1KAS_JAPILDA2015\2_DARBS_2015\[IZMAKSAS_2015_11.3(18.11.2015)(Baltex)JAUNAIS.xlsx]BAZE2015_EUR'!#REF!=3</xm:f>
            <x14:dxf>
              <fill>
                <patternFill>
                  <bgColor rgb="FFFF0000"/>
                </patternFill>
              </fill>
            </x14:dxf>
          </x14:cfRule>
          <x14:cfRule type="expression" priority="45" id="{BF822758-96BE-450E-BFB9-ED12F719A274}">
            <xm:f>'\Dropbox\1MANI DOCUMENTI\2015_11novembris\1KAS_JAPILDA2015\2_DARBS_2015\[IZMAKSAS_2015_11.3(18.11.2015)(Baltex)JAUNAIS.xlsx]BAZE2015_EUR'!#REF!=2</xm:f>
            <x14:dxf>
              <fill>
                <patternFill>
                  <bgColor theme="6" tint="0.39994506668294322"/>
                </patternFill>
              </fill>
            </x14:dxf>
          </x14:cfRule>
          <x14:cfRule type="expression" priority="46" id="{4F878936-60F2-4EDE-971E-4C396A2D2606}">
            <xm:f>'\Dropbox\1MANI DOCUMENTI\2015_11novembris\1KAS_JAPILDA2015\2_DARBS_2015\[IZMAKSAS_2015_11.3(18.11.2015)(Baltex)JAUNAIS.xlsx]BAZE2015_EUR'!#REF!=1</xm:f>
            <x14:dxf>
              <fill>
                <patternFill>
                  <bgColor rgb="FFFFC000"/>
                </patternFill>
              </fill>
            </x14:dxf>
          </x14:cfRule>
          <xm:sqref>I185</xm:sqref>
        </x14:conditionalFormatting>
        <x14:conditionalFormatting xmlns:xm="http://schemas.microsoft.com/office/excel/2006/main">
          <x14:cfRule type="expression" priority="47" stopIfTrue="1" id="{D8D3D0C6-888A-4B92-8F2C-053208C8AD61}">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I185</xm:sqref>
        </x14:conditionalFormatting>
        <x14:conditionalFormatting xmlns:xm="http://schemas.microsoft.com/office/excel/2006/main">
          <x14:cfRule type="expression" priority="32" stopIfTrue="1" id="{3F18ACF8-51DB-487E-8264-730453CFF3F0}">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I32</xm:sqref>
        </x14:conditionalFormatting>
        <x14:conditionalFormatting xmlns:xm="http://schemas.microsoft.com/office/excel/2006/main">
          <x14:cfRule type="expression" priority="29" stopIfTrue="1" id="{5FD519BE-A05E-4F8B-9200-F4917BDA1909}">
            <xm:f>'\Dropbox\1MANI DOCUMENTI\2015_12decembris\Baltex_Group\Babite(AivarsMaurins)\[Baltex_Babite soc centrs_VCD4.xlsx]BK'!#REF!&gt;0</xm:f>
            <x14:dxf>
              <fill>
                <patternFill>
                  <bgColor indexed="10"/>
                </patternFill>
              </fill>
            </x14:dxf>
          </x14:cfRule>
          <x14:cfRule type="expression" priority="30" stopIfTrue="1" id="{2ABBE553-6ADA-4A7F-94C5-7794DB9F5D54}">
            <xm:f>'\Dropbox\1MANI DOCUMENTI\2015_12decembris\Baltex_Group\Babite(AivarsMaurins)\[Baltex_Babite soc centrs_VCD4.xlsx]BK'!#REF!=3</xm:f>
            <x14:dxf>
              <fill>
                <patternFill>
                  <bgColor indexed="10"/>
                </patternFill>
              </fill>
            </x14:dxf>
          </x14:cfRule>
          <x14:cfRule type="expression" priority="31" stopIfTrue="1" id="{67D00ABF-DF34-4DE2-BFEF-381744E268E3}">
            <xm:f>'\Dropbox\1MANI DOCUMENTI\2015_12decembris\Baltex_Group\Babite(AivarsMaurins)\[Baltex_Babite soc centrs_VCD4.xlsx]BK'!#REF!=2</xm:f>
            <x14:dxf>
              <fill>
                <patternFill>
                  <bgColor indexed="11"/>
                </patternFill>
              </fill>
            </x14:dxf>
          </x14:cfRule>
          <xm:sqref>I32</xm:sqref>
        </x14:conditionalFormatting>
        <x14:conditionalFormatting xmlns:xm="http://schemas.microsoft.com/office/excel/2006/main">
          <x14:cfRule type="expression" priority="28" stopIfTrue="1" id="{57CF7F49-456F-45E0-BAD7-85C4DBD5ECD6}">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I66:I67</xm:sqref>
        </x14:conditionalFormatting>
        <x14:conditionalFormatting xmlns:xm="http://schemas.microsoft.com/office/excel/2006/main">
          <x14:cfRule type="expression" priority="25" stopIfTrue="1" id="{E0067B2B-C61E-4F98-92E4-FD7C290EBC9A}">
            <xm:f>'\Dropbox\1MANI DOCUMENTI\2015_12decembris\Baltex_Group\Babite(AivarsMaurins)\[Baltex_Babite soc centrs_VCD4.xlsx]BK'!#REF!&gt;0</xm:f>
            <x14:dxf>
              <fill>
                <patternFill>
                  <bgColor indexed="10"/>
                </patternFill>
              </fill>
            </x14:dxf>
          </x14:cfRule>
          <x14:cfRule type="expression" priority="26" stopIfTrue="1" id="{987754A1-61B3-4DD2-892B-5F9C39D88F7B}">
            <xm:f>'\Dropbox\1MANI DOCUMENTI\2015_12decembris\Baltex_Group\Babite(AivarsMaurins)\[Baltex_Babite soc centrs_VCD4.xlsx]BK'!#REF!=3</xm:f>
            <x14:dxf>
              <fill>
                <patternFill>
                  <bgColor indexed="10"/>
                </patternFill>
              </fill>
            </x14:dxf>
          </x14:cfRule>
          <x14:cfRule type="expression" priority="27" stopIfTrue="1" id="{25C1ECDC-EB15-4010-AD35-31903DDC5657}">
            <xm:f>'\Dropbox\1MANI DOCUMENTI\2015_12decembris\Baltex_Group\Babite(AivarsMaurins)\[Baltex_Babite soc centrs_VCD4.xlsx]BK'!#REF!=2</xm:f>
            <x14:dxf>
              <fill>
                <patternFill>
                  <bgColor indexed="11"/>
                </patternFill>
              </fill>
            </x14:dxf>
          </x14:cfRule>
          <xm:sqref>I66:I67</xm:sqref>
        </x14:conditionalFormatting>
        <x14:conditionalFormatting xmlns:xm="http://schemas.microsoft.com/office/excel/2006/main">
          <x14:cfRule type="expression" priority="20" id="{37EB0555-CF79-45FA-8B17-E7B36324BECD}">
            <xm:f>'\Dropbox\1MANI DOCUMENTI\2015_11novembris\1KAS_JAPILDA2015\2_DARBS_2015\[IZMAKSAS_2015_11.3(18.11.2015)(Baltex)JAUNAIS.xlsx]BAZE2015_EUR'!#REF!&gt;0</xm:f>
            <x14:dxf>
              <fill>
                <patternFill>
                  <bgColor rgb="FFFF0000"/>
                </patternFill>
              </fill>
            </x14:dxf>
          </x14:cfRule>
          <x14:cfRule type="expression" priority="21" id="{8EFF5115-31A7-4C0C-97D3-1E0E69B1782C}">
            <xm:f>'\Dropbox\1MANI DOCUMENTI\2015_11novembris\1KAS_JAPILDA2015\2_DARBS_2015\[IZMAKSAS_2015_11.3(18.11.2015)(Baltex)JAUNAIS.xlsx]BAZE2015_EUR'!#REF!=3</xm:f>
            <x14:dxf>
              <fill>
                <patternFill>
                  <bgColor rgb="FFFF0000"/>
                </patternFill>
              </fill>
            </x14:dxf>
          </x14:cfRule>
          <x14:cfRule type="expression" priority="22" id="{7770AEAD-A6E5-40C4-B8A2-C43CD18D2EC4}">
            <xm:f>'\Dropbox\1MANI DOCUMENTI\2015_11novembris\1KAS_JAPILDA2015\2_DARBS_2015\[IZMAKSAS_2015_11.3(18.11.2015)(Baltex)JAUNAIS.xlsx]BAZE2015_EUR'!#REF!=2</xm:f>
            <x14:dxf>
              <fill>
                <patternFill>
                  <bgColor theme="6" tint="0.39994506668294322"/>
                </patternFill>
              </fill>
            </x14:dxf>
          </x14:cfRule>
          <x14:cfRule type="expression" priority="23" id="{BF2DE398-92E3-4E15-9ED2-DB7F15A66DD3}">
            <xm:f>'\Dropbox\1MANI DOCUMENTI\2015_11novembris\1KAS_JAPILDA2015\2_DARBS_2015\[IZMAKSAS_2015_11.3(18.11.2015)(Baltex)JAUNAIS.xlsx]BAZE2015_EUR'!#REF!=1</xm:f>
            <x14:dxf>
              <fill>
                <patternFill>
                  <bgColor rgb="FFFFC000"/>
                </patternFill>
              </fill>
            </x14:dxf>
          </x14:cfRule>
          <xm:sqref>I177</xm:sqref>
        </x14:conditionalFormatting>
        <x14:conditionalFormatting xmlns:xm="http://schemas.microsoft.com/office/excel/2006/main">
          <x14:cfRule type="expression" priority="24" stopIfTrue="1" id="{AFF65B6E-1022-40F0-9D5E-A0BB9CA867B1}">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I177</xm:sqref>
        </x14:conditionalFormatting>
        <x14:conditionalFormatting xmlns:xm="http://schemas.microsoft.com/office/excel/2006/main">
          <x14:cfRule type="expression" priority="4" stopIfTrue="1" id="{B03F77BA-EC86-485B-A843-DF7CE2BA21FA}">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I25</xm:sqref>
        </x14:conditionalFormatting>
        <x14:conditionalFormatting xmlns:xm="http://schemas.microsoft.com/office/excel/2006/main">
          <x14:cfRule type="expression" priority="1" stopIfTrue="1" id="{9EE2B7AF-5E19-496E-9F32-45B1C6125172}">
            <xm:f>'\Dropbox\1MANI DOCUMENTI\2015_12decembris\Baltex_Group\Babite(AivarsMaurins)\[Baltex_Babite soc centrs_VCD4.xlsx]BK'!#REF!&gt;0</xm:f>
            <x14:dxf>
              <fill>
                <patternFill>
                  <bgColor indexed="10"/>
                </patternFill>
              </fill>
            </x14:dxf>
          </x14:cfRule>
          <x14:cfRule type="expression" priority="2" stopIfTrue="1" id="{CCFE800E-562F-4FB9-98F7-B480C67EAF3F}">
            <xm:f>'\Dropbox\1MANI DOCUMENTI\2015_12decembris\Baltex_Group\Babite(AivarsMaurins)\[Baltex_Babite soc centrs_VCD4.xlsx]BK'!#REF!=3</xm:f>
            <x14:dxf>
              <fill>
                <patternFill>
                  <bgColor indexed="10"/>
                </patternFill>
              </fill>
            </x14:dxf>
          </x14:cfRule>
          <x14:cfRule type="expression" priority="3" stopIfTrue="1" id="{AE03A6E0-E93A-48B3-82BF-F59290BD3A5B}">
            <xm:f>'\Dropbox\1MANI DOCUMENTI\2015_12decembris\Baltex_Group\Babite(AivarsMaurins)\[Baltex_Babite soc centrs_VCD4.xlsx]BK'!#REF!=2</xm:f>
            <x14:dxf>
              <fill>
                <patternFill>
                  <bgColor indexed="11"/>
                </patternFill>
              </fill>
            </x14:dxf>
          </x14:cfRule>
          <xm:sqref>I25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20"/>
  <sheetViews>
    <sheetView showZeros="0" view="pageBreakPreview" topLeftCell="A79" zoomScale="90" zoomScaleNormal="100" zoomScaleSheetLayoutView="90" workbookViewId="0">
      <selection activeCell="E85" sqref="E85"/>
    </sheetView>
  </sheetViews>
  <sheetFormatPr defaultRowHeight="14.25" x14ac:dyDescent="0.2"/>
  <cols>
    <col min="1" max="1" width="9" style="283" customWidth="1"/>
    <col min="2" max="2" width="9.42578125" style="49" customWidth="1"/>
    <col min="3" max="3" width="40.28515625" style="49" customWidth="1"/>
    <col min="4" max="4" width="8.140625" style="49" customWidth="1"/>
    <col min="5" max="8" width="9.140625" style="49"/>
    <col min="9" max="9" width="9.140625" style="61"/>
    <col min="10" max="11" width="9.140625" style="49"/>
    <col min="12" max="12" width="11.5703125" style="49" customWidth="1"/>
    <col min="13" max="13" width="12.28515625" style="49" customWidth="1"/>
    <col min="14" max="14" width="12.7109375" style="49" customWidth="1"/>
    <col min="15" max="15" width="11.5703125" style="49" customWidth="1"/>
    <col min="16" max="16" width="12.85546875" style="49" customWidth="1"/>
    <col min="17" max="16384" width="9.140625" style="49"/>
  </cols>
  <sheetData>
    <row r="1" spans="1:16" s="41" customFormat="1" ht="15" x14ac:dyDescent="0.25">
      <c r="A1" s="358"/>
      <c r="E1" s="43"/>
      <c r="F1" s="43"/>
      <c r="G1" s="95" t="s">
        <v>37</v>
      </c>
      <c r="H1" s="122" t="str">
        <f>kops1!B26</f>
        <v>1,6</v>
      </c>
      <c r="I1" s="42"/>
    </row>
    <row r="2" spans="1:16" s="41" customFormat="1" ht="15" x14ac:dyDescent="0.25">
      <c r="A2" s="504" t="str">
        <f>C13</f>
        <v>Pārsegums</v>
      </c>
      <c r="B2" s="504"/>
      <c r="C2" s="504"/>
      <c r="D2" s="504"/>
      <c r="E2" s="504"/>
      <c r="F2" s="504"/>
      <c r="G2" s="504"/>
      <c r="H2" s="504"/>
      <c r="I2" s="504"/>
      <c r="J2" s="504"/>
      <c r="K2" s="504"/>
      <c r="L2" s="504"/>
      <c r="M2" s="504"/>
      <c r="N2" s="504"/>
      <c r="O2" s="504"/>
      <c r="P2" s="504"/>
    </row>
    <row r="3" spans="1:16" ht="15" x14ac:dyDescent="0.2">
      <c r="B3" s="47"/>
      <c r="C3" s="47" t="s">
        <v>38</v>
      </c>
      <c r="D3" s="505" t="s">
        <v>94</v>
      </c>
      <c r="E3" s="505"/>
      <c r="F3" s="505"/>
      <c r="G3" s="505"/>
      <c r="H3" s="505"/>
      <c r="I3" s="505"/>
      <c r="J3" s="505"/>
      <c r="K3" s="505"/>
      <c r="L3" s="505"/>
      <c r="M3" s="505"/>
      <c r="N3" s="505"/>
      <c r="O3" s="505"/>
      <c r="P3" s="505"/>
    </row>
    <row r="4" spans="1:16" ht="15" x14ac:dyDescent="0.2">
      <c r="B4" s="47"/>
      <c r="C4" s="47" t="s">
        <v>39</v>
      </c>
      <c r="D4" s="505" t="s">
        <v>95</v>
      </c>
      <c r="E4" s="505"/>
      <c r="F4" s="505"/>
      <c r="G4" s="505"/>
      <c r="H4" s="505"/>
      <c r="I4" s="505"/>
      <c r="J4" s="505"/>
      <c r="K4" s="505"/>
      <c r="L4" s="505"/>
      <c r="M4" s="505"/>
      <c r="N4" s="505"/>
      <c r="O4" s="505"/>
      <c r="P4" s="505"/>
    </row>
    <row r="5" spans="1:16" ht="15" x14ac:dyDescent="0.2">
      <c r="B5" s="47"/>
      <c r="C5" s="47" t="s">
        <v>40</v>
      </c>
      <c r="D5" s="505" t="s">
        <v>96</v>
      </c>
      <c r="E5" s="505"/>
      <c r="F5" s="505"/>
      <c r="G5" s="505"/>
      <c r="H5" s="505"/>
      <c r="I5" s="505"/>
      <c r="J5" s="505"/>
      <c r="K5" s="505"/>
      <c r="L5" s="505"/>
      <c r="M5" s="505"/>
      <c r="N5" s="505"/>
      <c r="O5" s="505"/>
      <c r="P5" s="505"/>
    </row>
    <row r="6" spans="1:16" x14ac:dyDescent="0.2">
      <c r="B6" s="47"/>
      <c r="C6" s="47" t="s">
        <v>100</v>
      </c>
      <c r="D6" s="50" t="s">
        <v>97</v>
      </c>
      <c r="E6" s="51"/>
      <c r="F6" s="51"/>
      <c r="G6" s="51"/>
      <c r="H6" s="51"/>
      <c r="I6" s="52"/>
      <c r="J6" s="51"/>
      <c r="K6" s="51"/>
      <c r="L6" s="51"/>
      <c r="M6" s="51"/>
      <c r="N6" s="51"/>
      <c r="O6" s="51"/>
      <c r="P6" s="53"/>
    </row>
    <row r="7" spans="1:16" x14ac:dyDescent="0.2">
      <c r="A7" s="363" t="s">
        <v>745</v>
      </c>
      <c r="B7" s="96"/>
      <c r="D7" s="50"/>
      <c r="E7" s="50"/>
      <c r="F7" s="50"/>
      <c r="G7" s="50"/>
      <c r="H7" s="50"/>
      <c r="I7" s="55"/>
      <c r="J7" s="50"/>
      <c r="K7" s="51"/>
      <c r="L7" s="51"/>
      <c r="M7" s="51"/>
      <c r="N7" s="51"/>
      <c r="O7" s="47" t="s">
        <v>41</v>
      </c>
      <c r="P7" s="56">
        <f>P110</f>
        <v>0</v>
      </c>
    </row>
    <row r="8" spans="1:16" x14ac:dyDescent="0.2">
      <c r="A8" s="284"/>
      <c r="B8" s="57"/>
      <c r="D8" s="58"/>
      <c r="E8" s="51"/>
      <c r="F8" s="51"/>
      <c r="G8" s="51"/>
      <c r="H8" s="51"/>
      <c r="I8" s="52"/>
      <c r="J8" s="51"/>
      <c r="K8" s="51"/>
      <c r="N8" s="51"/>
      <c r="O8" s="51"/>
      <c r="P8" s="53"/>
    </row>
    <row r="9" spans="1:16" ht="15" customHeight="1" x14ac:dyDescent="0.2">
      <c r="A9" s="285"/>
      <c r="B9" s="59"/>
      <c r="J9" s="62"/>
      <c r="K9" s="62"/>
      <c r="L9" s="506" t="s">
        <v>736</v>
      </c>
      <c r="M9" s="506"/>
      <c r="N9" s="506"/>
      <c r="O9" s="506"/>
      <c r="P9" s="62"/>
    </row>
    <row r="10" spans="1:16" ht="15" x14ac:dyDescent="0.2">
      <c r="A10" s="285"/>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c r="B13" s="114">
        <v>0</v>
      </c>
      <c r="C13" s="65" t="str">
        <f>kops1!C26</f>
        <v>Pārsegums</v>
      </c>
      <c r="D13" s="66"/>
      <c r="E13" s="67"/>
      <c r="F13" s="76">
        <v>0</v>
      </c>
      <c r="G13" s="76">
        <v>0</v>
      </c>
      <c r="H13" s="69">
        <v>0</v>
      </c>
      <c r="I13" s="70">
        <v>0</v>
      </c>
      <c r="J13" s="70">
        <v>0</v>
      </c>
      <c r="K13" s="70">
        <f t="shared" ref="K13" si="0">SUM(H13:J13)</f>
        <v>0</v>
      </c>
      <c r="L13" s="71">
        <f t="shared" ref="L13" si="1">ROUND(F13*E13,2)</f>
        <v>0</v>
      </c>
      <c r="M13" s="70">
        <f t="shared" ref="M13" si="2">ROUND(H13*E13,2)</f>
        <v>0</v>
      </c>
      <c r="N13" s="70">
        <f t="shared" ref="N13" si="3">ROUND(I13*E13,2)</f>
        <v>0</v>
      </c>
      <c r="O13" s="70">
        <f t="shared" ref="O13" si="4">ROUND(J13*E13,2)</f>
        <v>0</v>
      </c>
      <c r="P13" s="72">
        <f t="shared" ref="P13" si="5">SUM(M13:O13)</f>
        <v>0</v>
      </c>
    </row>
    <row r="14" spans="1:16" s="61" customFormat="1" x14ac:dyDescent="0.2">
      <c r="A14" s="202">
        <v>0</v>
      </c>
      <c r="B14" s="144"/>
      <c r="C14" s="203" t="s">
        <v>281</v>
      </c>
      <c r="D14" s="204"/>
      <c r="E14" s="205"/>
      <c r="F14" s="148">
        <v>0</v>
      </c>
      <c r="G14" s="148">
        <v>0</v>
      </c>
      <c r="H14" s="206"/>
      <c r="I14" s="206"/>
      <c r="J14" s="206"/>
      <c r="K14" s="75">
        <f>SUM(H14:J14)</f>
        <v>0</v>
      </c>
      <c r="L14" s="76">
        <f>ROUND(F14*E14,2)</f>
        <v>0</v>
      </c>
      <c r="M14" s="75">
        <f>ROUND(H14*E14,2)</f>
        <v>0</v>
      </c>
      <c r="N14" s="75">
        <f>ROUND(I14*E14,2)</f>
        <v>0</v>
      </c>
      <c r="O14" s="75">
        <f>ROUND(J14*E14,2)</f>
        <v>0</v>
      </c>
      <c r="P14" s="77">
        <f>SUM(M14:O14)</f>
        <v>0</v>
      </c>
    </row>
    <row r="15" spans="1:16" s="61" customFormat="1" ht="31.5" x14ac:dyDescent="0.2">
      <c r="A15" s="143">
        <v>0</v>
      </c>
      <c r="B15" s="144"/>
      <c r="C15" s="145" t="s">
        <v>323</v>
      </c>
      <c r="D15" s="146"/>
      <c r="E15" s="147"/>
      <c r="F15" s="148"/>
      <c r="G15" s="148"/>
      <c r="H15" s="149"/>
      <c r="I15" s="149"/>
      <c r="J15" s="149"/>
      <c r="K15" s="75">
        <f t="shared" ref="K15:K78" si="6">SUM(H15:J15)</f>
        <v>0</v>
      </c>
      <c r="L15" s="76">
        <f t="shared" ref="L15:L78" si="7">ROUND(F15*E15,2)</f>
        <v>0</v>
      </c>
      <c r="M15" s="75">
        <f t="shared" ref="M15:M78" si="8">ROUND(H15*E15,2)</f>
        <v>0</v>
      </c>
      <c r="N15" s="75">
        <f t="shared" ref="N15:N78" si="9">ROUND(I15*E15,2)</f>
        <v>0</v>
      </c>
      <c r="O15" s="75">
        <f t="shared" ref="O15:O78" si="10">ROUND(J15*E15,2)</f>
        <v>0</v>
      </c>
      <c r="P15" s="77">
        <f t="shared" ref="P15:P78" si="11">SUM(M15:O15)</f>
        <v>0</v>
      </c>
    </row>
    <row r="16" spans="1:16" s="61" customFormat="1" x14ac:dyDescent="0.2">
      <c r="A16" s="155">
        <v>0</v>
      </c>
      <c r="B16" s="156"/>
      <c r="C16" s="197" t="s">
        <v>324</v>
      </c>
      <c r="D16" s="158"/>
      <c r="E16" s="158"/>
      <c r="F16" s="159"/>
      <c r="G16" s="159"/>
      <c r="H16" s="161"/>
      <c r="I16" s="161"/>
      <c r="J16" s="161"/>
      <c r="K16" s="75">
        <f t="shared" si="6"/>
        <v>0</v>
      </c>
      <c r="L16" s="76">
        <f t="shared" si="7"/>
        <v>0</v>
      </c>
      <c r="M16" s="75">
        <f t="shared" si="8"/>
        <v>0</v>
      </c>
      <c r="N16" s="75">
        <f t="shared" si="9"/>
        <v>0</v>
      </c>
      <c r="O16" s="75">
        <f t="shared" si="10"/>
        <v>0</v>
      </c>
      <c r="P16" s="77">
        <f t="shared" si="11"/>
        <v>0</v>
      </c>
    </row>
    <row r="17" spans="1:16" s="61" customFormat="1" ht="25.5" x14ac:dyDescent="0.2">
      <c r="A17" s="155">
        <v>1</v>
      </c>
      <c r="B17" s="366" t="str">
        <f>IF(A17&gt;0,"L.c.",0)</f>
        <v>L.c.</v>
      </c>
      <c r="C17" s="173" t="s">
        <v>128</v>
      </c>
      <c r="D17" s="158" t="s">
        <v>83</v>
      </c>
      <c r="E17" s="164">
        <v>306</v>
      </c>
      <c r="F17" s="161"/>
      <c r="G17" s="159"/>
      <c r="H17" s="161"/>
      <c r="I17" s="161"/>
      <c r="J17" s="161"/>
      <c r="K17" s="75">
        <f t="shared" si="6"/>
        <v>0</v>
      </c>
      <c r="L17" s="76">
        <f t="shared" si="7"/>
        <v>0</v>
      </c>
      <c r="M17" s="75">
        <f t="shared" si="8"/>
        <v>0</v>
      </c>
      <c r="N17" s="75">
        <f t="shared" si="9"/>
        <v>0</v>
      </c>
      <c r="O17" s="75">
        <f t="shared" si="10"/>
        <v>0</v>
      </c>
      <c r="P17" s="77">
        <f t="shared" si="11"/>
        <v>0</v>
      </c>
    </row>
    <row r="18" spans="1:16" s="61" customFormat="1" ht="89.25" x14ac:dyDescent="0.2">
      <c r="A18" s="155">
        <v>2</v>
      </c>
      <c r="B18" s="366" t="str">
        <f t="shared" ref="B18:B73" si="12">IF(A18&gt;0,"L.c.",0)</f>
        <v>L.c.</v>
      </c>
      <c r="C18" s="176" t="s">
        <v>185</v>
      </c>
      <c r="D18" s="158" t="s">
        <v>131</v>
      </c>
      <c r="E18" s="309">
        <f>68.4+1281.5+8342+734+2.4+2.5+335</f>
        <v>10765.8</v>
      </c>
      <c r="F18" s="177"/>
      <c r="G18" s="159"/>
      <c r="H18" s="161"/>
      <c r="I18" s="161"/>
      <c r="J18" s="161"/>
      <c r="K18" s="75">
        <f t="shared" si="6"/>
        <v>0</v>
      </c>
      <c r="L18" s="76">
        <f t="shared" si="7"/>
        <v>0</v>
      </c>
      <c r="M18" s="75">
        <f t="shared" si="8"/>
        <v>0</v>
      </c>
      <c r="N18" s="75">
        <f t="shared" si="9"/>
        <v>0</v>
      </c>
      <c r="O18" s="75">
        <f t="shared" si="10"/>
        <v>0</v>
      </c>
      <c r="P18" s="77">
        <f t="shared" si="11"/>
        <v>0</v>
      </c>
    </row>
    <row r="19" spans="1:16" s="61" customFormat="1" x14ac:dyDescent="0.2">
      <c r="A19" s="155">
        <v>0</v>
      </c>
      <c r="B19" s="366">
        <f t="shared" si="12"/>
        <v>0</v>
      </c>
      <c r="C19" s="178" t="s">
        <v>132</v>
      </c>
      <c r="D19" s="179" t="s">
        <v>131</v>
      </c>
      <c r="E19" s="316">
        <f>E18*1.15</f>
        <v>12380.669999999998</v>
      </c>
      <c r="F19" s="159"/>
      <c r="G19" s="159"/>
      <c r="H19" s="161"/>
      <c r="I19" s="161"/>
      <c r="J19" s="161"/>
      <c r="K19" s="75">
        <f t="shared" si="6"/>
        <v>0</v>
      </c>
      <c r="L19" s="76">
        <f t="shared" si="7"/>
        <v>0</v>
      </c>
      <c r="M19" s="75">
        <f t="shared" si="8"/>
        <v>0</v>
      </c>
      <c r="N19" s="75">
        <f t="shared" si="9"/>
        <v>0</v>
      </c>
      <c r="O19" s="75">
        <f t="shared" si="10"/>
        <v>0</v>
      </c>
      <c r="P19" s="77">
        <f t="shared" si="11"/>
        <v>0</v>
      </c>
    </row>
    <row r="20" spans="1:16" s="61" customFormat="1" x14ac:dyDescent="0.2">
      <c r="A20" s="155">
        <v>0</v>
      </c>
      <c r="B20" s="366">
        <f t="shared" si="12"/>
        <v>0</v>
      </c>
      <c r="C20" s="178" t="s">
        <v>149</v>
      </c>
      <c r="D20" s="179" t="s">
        <v>59</v>
      </c>
      <c r="E20" s="316">
        <v>32</v>
      </c>
      <c r="F20" s="159"/>
      <c r="G20" s="159"/>
      <c r="H20" s="161"/>
      <c r="I20" s="161"/>
      <c r="J20" s="161"/>
      <c r="K20" s="75">
        <f t="shared" si="6"/>
        <v>0</v>
      </c>
      <c r="L20" s="76">
        <f t="shared" si="7"/>
        <v>0</v>
      </c>
      <c r="M20" s="75">
        <f t="shared" si="8"/>
        <v>0</v>
      </c>
      <c r="N20" s="75">
        <f t="shared" si="9"/>
        <v>0</v>
      </c>
      <c r="O20" s="75">
        <f t="shared" si="10"/>
        <v>0</v>
      </c>
      <c r="P20" s="77">
        <f t="shared" si="11"/>
        <v>0</v>
      </c>
    </row>
    <row r="21" spans="1:16" s="61" customFormat="1" x14ac:dyDescent="0.2">
      <c r="A21" s="155">
        <v>0</v>
      </c>
      <c r="B21" s="366">
        <f t="shared" si="12"/>
        <v>0</v>
      </c>
      <c r="C21" s="178" t="s">
        <v>325</v>
      </c>
      <c r="D21" s="179" t="s">
        <v>59</v>
      </c>
      <c r="E21" s="316">
        <v>1</v>
      </c>
      <c r="F21" s="159"/>
      <c r="G21" s="159"/>
      <c r="H21" s="161"/>
      <c r="I21" s="161"/>
      <c r="J21" s="161"/>
      <c r="K21" s="75">
        <f t="shared" si="6"/>
        <v>0</v>
      </c>
      <c r="L21" s="76">
        <f t="shared" si="7"/>
        <v>0</v>
      </c>
      <c r="M21" s="75">
        <f t="shared" si="8"/>
        <v>0</v>
      </c>
      <c r="N21" s="75">
        <f t="shared" si="9"/>
        <v>0</v>
      </c>
      <c r="O21" s="75">
        <f t="shared" si="10"/>
        <v>0</v>
      </c>
      <c r="P21" s="77">
        <f t="shared" si="11"/>
        <v>0</v>
      </c>
    </row>
    <row r="22" spans="1:16" s="61" customFormat="1" x14ac:dyDescent="0.2">
      <c r="A22" s="155">
        <v>0</v>
      </c>
      <c r="B22" s="366">
        <f t="shared" si="12"/>
        <v>0</v>
      </c>
      <c r="C22" s="178" t="s">
        <v>765</v>
      </c>
      <c r="D22" s="179" t="s">
        <v>59</v>
      </c>
      <c r="E22" s="419">
        <v>58</v>
      </c>
      <c r="F22" s="159"/>
      <c r="G22" s="159"/>
      <c r="H22" s="161"/>
      <c r="I22" s="161"/>
      <c r="J22" s="161"/>
      <c r="K22" s="75">
        <f t="shared" si="6"/>
        <v>0</v>
      </c>
      <c r="L22" s="76">
        <f t="shared" si="7"/>
        <v>0</v>
      </c>
      <c r="M22" s="75">
        <f t="shared" si="8"/>
        <v>0</v>
      </c>
      <c r="N22" s="75">
        <f t="shared" si="9"/>
        <v>0</v>
      </c>
      <c r="O22" s="75">
        <f t="shared" si="10"/>
        <v>0</v>
      </c>
      <c r="P22" s="77">
        <f t="shared" si="11"/>
        <v>0</v>
      </c>
    </row>
    <row r="23" spans="1:16" s="61" customFormat="1" ht="25.5" x14ac:dyDescent="0.2">
      <c r="A23" s="155">
        <v>0</v>
      </c>
      <c r="B23" s="366">
        <f t="shared" si="12"/>
        <v>0</v>
      </c>
      <c r="C23" s="181" t="s">
        <v>133</v>
      </c>
      <c r="D23" s="158" t="s">
        <v>66</v>
      </c>
      <c r="E23" s="308">
        <v>1</v>
      </c>
      <c r="F23" s="159"/>
      <c r="G23" s="159"/>
      <c r="H23" s="161"/>
      <c r="I23" s="161"/>
      <c r="J23" s="161"/>
      <c r="K23" s="75">
        <f t="shared" si="6"/>
        <v>0</v>
      </c>
      <c r="L23" s="76">
        <f t="shared" si="7"/>
        <v>0</v>
      </c>
      <c r="M23" s="75">
        <f t="shared" si="8"/>
        <v>0</v>
      </c>
      <c r="N23" s="75">
        <f t="shared" si="9"/>
        <v>0</v>
      </c>
      <c r="O23" s="75">
        <f t="shared" si="10"/>
        <v>0</v>
      </c>
      <c r="P23" s="77">
        <f t="shared" si="11"/>
        <v>0</v>
      </c>
    </row>
    <row r="24" spans="1:16" s="61" customFormat="1" ht="25.5" x14ac:dyDescent="0.2">
      <c r="A24" s="155">
        <v>3</v>
      </c>
      <c r="B24" s="366" t="str">
        <f t="shared" si="12"/>
        <v>L.c.</v>
      </c>
      <c r="C24" s="176" t="s">
        <v>186</v>
      </c>
      <c r="D24" s="179" t="s">
        <v>78</v>
      </c>
      <c r="E24" s="309">
        <f>72.6+3.5</f>
        <v>76.099999999999994</v>
      </c>
      <c r="F24" s="159"/>
      <c r="G24" s="159"/>
      <c r="H24" s="161"/>
      <c r="I24" s="161"/>
      <c r="J24" s="161"/>
      <c r="K24" s="75">
        <f t="shared" si="6"/>
        <v>0</v>
      </c>
      <c r="L24" s="76">
        <f t="shared" si="7"/>
        <v>0</v>
      </c>
      <c r="M24" s="75">
        <f t="shared" si="8"/>
        <v>0</v>
      </c>
      <c r="N24" s="75">
        <f t="shared" si="9"/>
        <v>0</v>
      </c>
      <c r="O24" s="75">
        <f t="shared" si="10"/>
        <v>0</v>
      </c>
      <c r="P24" s="77">
        <f t="shared" si="11"/>
        <v>0</v>
      </c>
    </row>
    <row r="25" spans="1:16" s="61" customFormat="1" x14ac:dyDescent="0.2">
      <c r="A25" s="155">
        <v>0</v>
      </c>
      <c r="B25" s="366">
        <f t="shared" si="12"/>
        <v>0</v>
      </c>
      <c r="C25" s="183" t="s">
        <v>135</v>
      </c>
      <c r="D25" s="179" t="s">
        <v>78</v>
      </c>
      <c r="E25" s="319">
        <f>E24*1.05</f>
        <v>79.905000000000001</v>
      </c>
      <c r="F25" s="185"/>
      <c r="G25" s="159"/>
      <c r="H25" s="161"/>
      <c r="I25" s="161"/>
      <c r="J25" s="161"/>
      <c r="K25" s="75">
        <f t="shared" si="6"/>
        <v>0</v>
      </c>
      <c r="L25" s="76">
        <f t="shared" si="7"/>
        <v>0</v>
      </c>
      <c r="M25" s="75">
        <f t="shared" si="8"/>
        <v>0</v>
      </c>
      <c r="N25" s="75">
        <f t="shared" si="9"/>
        <v>0</v>
      </c>
      <c r="O25" s="75">
        <f t="shared" si="10"/>
        <v>0</v>
      </c>
      <c r="P25" s="77">
        <f t="shared" si="11"/>
        <v>0</v>
      </c>
    </row>
    <row r="26" spans="1:16" s="61" customFormat="1" x14ac:dyDescent="0.2">
      <c r="A26" s="155">
        <v>0</v>
      </c>
      <c r="B26" s="366">
        <f t="shared" si="12"/>
        <v>0</v>
      </c>
      <c r="C26" s="183" t="s">
        <v>136</v>
      </c>
      <c r="D26" s="179" t="s">
        <v>137</v>
      </c>
      <c r="E26" s="319">
        <f>E24*0.25</f>
        <v>19.024999999999999</v>
      </c>
      <c r="F26" s="185"/>
      <c r="G26" s="159"/>
      <c r="H26" s="161"/>
      <c r="I26" s="154"/>
      <c r="J26" s="161"/>
      <c r="K26" s="75">
        <f t="shared" si="6"/>
        <v>0</v>
      </c>
      <c r="L26" s="76">
        <f t="shared" si="7"/>
        <v>0</v>
      </c>
      <c r="M26" s="75">
        <f t="shared" si="8"/>
        <v>0</v>
      </c>
      <c r="N26" s="75">
        <f t="shared" si="9"/>
        <v>0</v>
      </c>
      <c r="O26" s="75">
        <f t="shared" si="10"/>
        <v>0</v>
      </c>
      <c r="P26" s="77">
        <f t="shared" si="11"/>
        <v>0</v>
      </c>
    </row>
    <row r="27" spans="1:16" s="61" customFormat="1" ht="38.25" x14ac:dyDescent="0.2">
      <c r="A27" s="155">
        <v>4</v>
      </c>
      <c r="B27" s="366" t="str">
        <f t="shared" si="12"/>
        <v>L.c.</v>
      </c>
      <c r="C27" s="166" t="s">
        <v>326</v>
      </c>
      <c r="D27" s="158" t="s">
        <v>131</v>
      </c>
      <c r="E27" s="308">
        <f>29.6+22.6+1086.6</f>
        <v>1138.8</v>
      </c>
      <c r="F27" s="158"/>
      <c r="G27" s="159"/>
      <c r="H27" s="161"/>
      <c r="I27" s="161"/>
      <c r="J27" s="161"/>
      <c r="K27" s="75">
        <f t="shared" si="6"/>
        <v>0</v>
      </c>
      <c r="L27" s="76">
        <f t="shared" si="7"/>
        <v>0</v>
      </c>
      <c r="M27" s="75">
        <f t="shared" si="8"/>
        <v>0</v>
      </c>
      <c r="N27" s="75">
        <f t="shared" si="9"/>
        <v>0</v>
      </c>
      <c r="O27" s="75">
        <f t="shared" si="10"/>
        <v>0</v>
      </c>
      <c r="P27" s="77">
        <f t="shared" si="11"/>
        <v>0</v>
      </c>
    </row>
    <row r="28" spans="1:16" s="61" customFormat="1" x14ac:dyDescent="0.2">
      <c r="A28" s="155">
        <v>0</v>
      </c>
      <c r="B28" s="366">
        <f t="shared" si="12"/>
        <v>0</v>
      </c>
      <c r="C28" s="189" t="s">
        <v>146</v>
      </c>
      <c r="D28" s="190" t="s">
        <v>131</v>
      </c>
      <c r="E28" s="191">
        <f>E27*1.1</f>
        <v>1252.68</v>
      </c>
      <c r="F28" s="159"/>
      <c r="G28" s="159"/>
      <c r="H28" s="161"/>
      <c r="I28" s="161"/>
      <c r="J28" s="161"/>
      <c r="K28" s="75">
        <f t="shared" si="6"/>
        <v>0</v>
      </c>
      <c r="L28" s="76">
        <f t="shared" si="7"/>
        <v>0</v>
      </c>
      <c r="M28" s="75">
        <f t="shared" si="8"/>
        <v>0</v>
      </c>
      <c r="N28" s="75">
        <f t="shared" si="9"/>
        <v>0</v>
      </c>
      <c r="O28" s="75">
        <f t="shared" si="10"/>
        <v>0</v>
      </c>
      <c r="P28" s="77">
        <f t="shared" si="11"/>
        <v>0</v>
      </c>
    </row>
    <row r="29" spans="1:16" s="61" customFormat="1" ht="25.5" x14ac:dyDescent="0.2">
      <c r="A29" s="155">
        <v>0</v>
      </c>
      <c r="B29" s="366">
        <f t="shared" si="12"/>
        <v>0</v>
      </c>
      <c r="C29" s="192" t="s">
        <v>147</v>
      </c>
      <c r="D29" s="158" t="s">
        <v>66</v>
      </c>
      <c r="E29" s="180">
        <v>1</v>
      </c>
      <c r="F29" s="190"/>
      <c r="G29" s="159"/>
      <c r="H29" s="161"/>
      <c r="I29" s="161"/>
      <c r="J29" s="161"/>
      <c r="K29" s="75">
        <f t="shared" si="6"/>
        <v>0</v>
      </c>
      <c r="L29" s="76">
        <f t="shared" si="7"/>
        <v>0</v>
      </c>
      <c r="M29" s="75">
        <f t="shared" si="8"/>
        <v>0</v>
      </c>
      <c r="N29" s="75">
        <f t="shared" si="9"/>
        <v>0</v>
      </c>
      <c r="O29" s="75">
        <f t="shared" si="10"/>
        <v>0</v>
      </c>
      <c r="P29" s="77">
        <f t="shared" si="11"/>
        <v>0</v>
      </c>
    </row>
    <row r="30" spans="1:16" s="61" customFormat="1" x14ac:dyDescent="0.2">
      <c r="A30" s="155">
        <v>0</v>
      </c>
      <c r="B30" s="366">
        <f t="shared" si="12"/>
        <v>0</v>
      </c>
      <c r="C30" s="183"/>
      <c r="D30" s="179"/>
      <c r="E30" s="184"/>
      <c r="F30" s="185"/>
      <c r="G30" s="159"/>
      <c r="H30" s="161"/>
      <c r="I30" s="154"/>
      <c r="J30" s="161"/>
      <c r="K30" s="75">
        <f t="shared" si="6"/>
        <v>0</v>
      </c>
      <c r="L30" s="76">
        <f t="shared" si="7"/>
        <v>0</v>
      </c>
      <c r="M30" s="75">
        <f t="shared" si="8"/>
        <v>0</v>
      </c>
      <c r="N30" s="75">
        <f t="shared" si="9"/>
        <v>0</v>
      </c>
      <c r="O30" s="75">
        <f t="shared" si="10"/>
        <v>0</v>
      </c>
      <c r="P30" s="77">
        <f t="shared" si="11"/>
        <v>0</v>
      </c>
    </row>
    <row r="31" spans="1:16" s="61" customFormat="1" ht="31.5" x14ac:dyDescent="0.2">
      <c r="A31" s="143">
        <v>0</v>
      </c>
      <c r="B31" s="366">
        <f t="shared" si="12"/>
        <v>0</v>
      </c>
      <c r="C31" s="145" t="s">
        <v>327</v>
      </c>
      <c r="D31" s="146"/>
      <c r="E31" s="147"/>
      <c r="F31" s="148"/>
      <c r="G31" s="148"/>
      <c r="H31" s="149"/>
      <c r="I31" s="149"/>
      <c r="J31" s="149"/>
      <c r="K31" s="75">
        <f t="shared" si="6"/>
        <v>0</v>
      </c>
      <c r="L31" s="76">
        <f t="shared" si="7"/>
        <v>0</v>
      </c>
      <c r="M31" s="75">
        <f t="shared" si="8"/>
        <v>0</v>
      </c>
      <c r="N31" s="75">
        <f t="shared" si="9"/>
        <v>0</v>
      </c>
      <c r="O31" s="75">
        <f t="shared" si="10"/>
        <v>0</v>
      </c>
      <c r="P31" s="77">
        <f t="shared" si="11"/>
        <v>0</v>
      </c>
    </row>
    <row r="32" spans="1:16" s="61" customFormat="1" x14ac:dyDescent="0.2">
      <c r="A32" s="155">
        <v>0</v>
      </c>
      <c r="B32" s="366">
        <f t="shared" si="12"/>
        <v>0</v>
      </c>
      <c r="C32" s="151" t="s">
        <v>328</v>
      </c>
      <c r="D32" s="188"/>
      <c r="E32" s="188"/>
      <c r="F32" s="188"/>
      <c r="G32" s="188"/>
      <c r="H32" s="188"/>
      <c r="I32" s="188"/>
      <c r="J32" s="188"/>
      <c r="K32" s="75">
        <f t="shared" si="6"/>
        <v>0</v>
      </c>
      <c r="L32" s="76">
        <f t="shared" si="7"/>
        <v>0</v>
      </c>
      <c r="M32" s="75">
        <f t="shared" si="8"/>
        <v>0</v>
      </c>
      <c r="N32" s="75">
        <f t="shared" si="9"/>
        <v>0</v>
      </c>
      <c r="O32" s="75">
        <f t="shared" si="10"/>
        <v>0</v>
      </c>
      <c r="P32" s="77">
        <f t="shared" si="11"/>
        <v>0</v>
      </c>
    </row>
    <row r="33" spans="1:16" s="61" customFormat="1" x14ac:dyDescent="0.2">
      <c r="A33" s="155">
        <v>5</v>
      </c>
      <c r="B33" s="366" t="str">
        <f t="shared" si="12"/>
        <v>L.c.</v>
      </c>
      <c r="C33" s="173" t="s">
        <v>184</v>
      </c>
      <c r="D33" s="158" t="s">
        <v>83</v>
      </c>
      <c r="E33" s="164">
        <v>9</v>
      </c>
      <c r="F33" s="161"/>
      <c r="G33" s="159"/>
      <c r="H33" s="161"/>
      <c r="I33" s="161"/>
      <c r="J33" s="161"/>
      <c r="K33" s="75">
        <f t="shared" si="6"/>
        <v>0</v>
      </c>
      <c r="L33" s="76">
        <f t="shared" si="7"/>
        <v>0</v>
      </c>
      <c r="M33" s="75">
        <f t="shared" si="8"/>
        <v>0</v>
      </c>
      <c r="N33" s="75">
        <f t="shared" si="9"/>
        <v>0</v>
      </c>
      <c r="O33" s="75">
        <f t="shared" si="10"/>
        <v>0</v>
      </c>
      <c r="P33" s="77">
        <f t="shared" si="11"/>
        <v>0</v>
      </c>
    </row>
    <row r="34" spans="1:16" s="61" customFormat="1" ht="89.25" x14ac:dyDescent="0.2">
      <c r="A34" s="155">
        <v>6</v>
      </c>
      <c r="B34" s="366" t="str">
        <f t="shared" si="12"/>
        <v>L.c.</v>
      </c>
      <c r="C34" s="176" t="s">
        <v>185</v>
      </c>
      <c r="D34" s="158" t="s">
        <v>131</v>
      </c>
      <c r="E34" s="164">
        <v>616</v>
      </c>
      <c r="F34" s="177"/>
      <c r="G34" s="159"/>
      <c r="H34" s="161"/>
      <c r="I34" s="161"/>
      <c r="J34" s="161"/>
      <c r="K34" s="75">
        <f t="shared" si="6"/>
        <v>0</v>
      </c>
      <c r="L34" s="76">
        <f t="shared" si="7"/>
        <v>0</v>
      </c>
      <c r="M34" s="75">
        <f t="shared" si="8"/>
        <v>0</v>
      </c>
      <c r="N34" s="75">
        <f t="shared" si="9"/>
        <v>0</v>
      </c>
      <c r="O34" s="75">
        <f t="shared" si="10"/>
        <v>0</v>
      </c>
      <c r="P34" s="77">
        <f t="shared" si="11"/>
        <v>0</v>
      </c>
    </row>
    <row r="35" spans="1:16" s="61" customFormat="1" x14ac:dyDescent="0.2">
      <c r="A35" s="155">
        <v>0</v>
      </c>
      <c r="B35" s="366">
        <f t="shared" si="12"/>
        <v>0</v>
      </c>
      <c r="C35" s="178" t="s">
        <v>132</v>
      </c>
      <c r="D35" s="179" t="s">
        <v>131</v>
      </c>
      <c r="E35" s="180">
        <f>E34*1.15</f>
        <v>708.4</v>
      </c>
      <c r="F35" s="159"/>
      <c r="G35" s="159"/>
      <c r="H35" s="161"/>
      <c r="I35" s="161"/>
      <c r="J35" s="161"/>
      <c r="K35" s="75">
        <f t="shared" si="6"/>
        <v>0</v>
      </c>
      <c r="L35" s="76">
        <f t="shared" si="7"/>
        <v>0</v>
      </c>
      <c r="M35" s="75">
        <f t="shared" si="8"/>
        <v>0</v>
      </c>
      <c r="N35" s="75">
        <f t="shared" si="9"/>
        <v>0</v>
      </c>
      <c r="O35" s="75">
        <f t="shared" si="10"/>
        <v>0</v>
      </c>
      <c r="P35" s="77">
        <f t="shared" si="11"/>
        <v>0</v>
      </c>
    </row>
    <row r="36" spans="1:16" s="61" customFormat="1" ht="25.5" x14ac:dyDescent="0.2">
      <c r="A36" s="155">
        <v>0</v>
      </c>
      <c r="B36" s="366">
        <f t="shared" si="12"/>
        <v>0</v>
      </c>
      <c r="C36" s="181" t="s">
        <v>133</v>
      </c>
      <c r="D36" s="158" t="s">
        <v>66</v>
      </c>
      <c r="E36" s="182">
        <v>1</v>
      </c>
      <c r="F36" s="159"/>
      <c r="G36" s="159"/>
      <c r="H36" s="161"/>
      <c r="I36" s="161"/>
      <c r="J36" s="161"/>
      <c r="K36" s="75">
        <f t="shared" si="6"/>
        <v>0</v>
      </c>
      <c r="L36" s="76">
        <f t="shared" si="7"/>
        <v>0</v>
      </c>
      <c r="M36" s="75">
        <f t="shared" si="8"/>
        <v>0</v>
      </c>
      <c r="N36" s="75">
        <f t="shared" si="9"/>
        <v>0</v>
      </c>
      <c r="O36" s="75">
        <f t="shared" si="10"/>
        <v>0</v>
      </c>
      <c r="P36" s="77">
        <f t="shared" si="11"/>
        <v>0</v>
      </c>
    </row>
    <row r="37" spans="1:16" s="61" customFormat="1" ht="25.5" x14ac:dyDescent="0.2">
      <c r="A37" s="155">
        <v>7</v>
      </c>
      <c r="B37" s="366" t="str">
        <f t="shared" si="12"/>
        <v>L.c.</v>
      </c>
      <c r="C37" s="176" t="s">
        <v>186</v>
      </c>
      <c r="D37" s="179" t="s">
        <v>78</v>
      </c>
      <c r="E37" s="164">
        <v>6.05</v>
      </c>
      <c r="F37" s="159"/>
      <c r="G37" s="159"/>
      <c r="H37" s="161"/>
      <c r="I37" s="161"/>
      <c r="J37" s="161"/>
      <c r="K37" s="75">
        <f t="shared" si="6"/>
        <v>0</v>
      </c>
      <c r="L37" s="76">
        <f t="shared" si="7"/>
        <v>0</v>
      </c>
      <c r="M37" s="75">
        <f t="shared" si="8"/>
        <v>0</v>
      </c>
      <c r="N37" s="75">
        <f t="shared" si="9"/>
        <v>0</v>
      </c>
      <c r="O37" s="75">
        <f t="shared" si="10"/>
        <v>0</v>
      </c>
      <c r="P37" s="77">
        <f t="shared" si="11"/>
        <v>0</v>
      </c>
    </row>
    <row r="38" spans="1:16" s="61" customFormat="1" x14ac:dyDescent="0.2">
      <c r="A38" s="155">
        <v>0</v>
      </c>
      <c r="B38" s="366">
        <f t="shared" si="12"/>
        <v>0</v>
      </c>
      <c r="C38" s="183" t="s">
        <v>158</v>
      </c>
      <c r="D38" s="179" t="s">
        <v>78</v>
      </c>
      <c r="E38" s="184">
        <f>E37*1.05</f>
        <v>6.3525</v>
      </c>
      <c r="F38" s="185"/>
      <c r="G38" s="159"/>
      <c r="H38" s="161"/>
      <c r="I38" s="161"/>
      <c r="J38" s="161"/>
      <c r="K38" s="75">
        <f t="shared" si="6"/>
        <v>0</v>
      </c>
      <c r="L38" s="76">
        <f t="shared" si="7"/>
        <v>0</v>
      </c>
      <c r="M38" s="75">
        <f t="shared" si="8"/>
        <v>0</v>
      </c>
      <c r="N38" s="75">
        <f t="shared" si="9"/>
        <v>0</v>
      </c>
      <c r="O38" s="75">
        <f t="shared" si="10"/>
        <v>0</v>
      </c>
      <c r="P38" s="77">
        <f t="shared" si="11"/>
        <v>0</v>
      </c>
    </row>
    <row r="39" spans="1:16" s="61" customFormat="1" x14ac:dyDescent="0.2">
      <c r="A39" s="155">
        <v>0</v>
      </c>
      <c r="B39" s="366">
        <f t="shared" si="12"/>
        <v>0</v>
      </c>
      <c r="C39" s="183" t="s">
        <v>136</v>
      </c>
      <c r="D39" s="179" t="s">
        <v>137</v>
      </c>
      <c r="E39" s="184">
        <f>E37*0.25</f>
        <v>1.5125</v>
      </c>
      <c r="F39" s="185"/>
      <c r="G39" s="159"/>
      <c r="H39" s="161"/>
      <c r="I39" s="154"/>
      <c r="J39" s="161"/>
      <c r="K39" s="75">
        <f t="shared" si="6"/>
        <v>0</v>
      </c>
      <c r="L39" s="76">
        <f t="shared" si="7"/>
        <v>0</v>
      </c>
      <c r="M39" s="75">
        <f t="shared" si="8"/>
        <v>0</v>
      </c>
      <c r="N39" s="75">
        <f t="shared" si="9"/>
        <v>0</v>
      </c>
      <c r="O39" s="75">
        <f t="shared" si="10"/>
        <v>0</v>
      </c>
      <c r="P39" s="77">
        <f t="shared" si="11"/>
        <v>0</v>
      </c>
    </row>
    <row r="40" spans="1:16" s="61" customFormat="1" ht="38.25" x14ac:dyDescent="0.2">
      <c r="A40" s="155">
        <v>8</v>
      </c>
      <c r="B40" s="366" t="str">
        <f t="shared" si="12"/>
        <v>L.c.</v>
      </c>
      <c r="C40" s="186" t="s">
        <v>329</v>
      </c>
      <c r="D40" s="158" t="s">
        <v>78</v>
      </c>
      <c r="E40" s="182">
        <f>0.73+9.7</f>
        <v>10.43</v>
      </c>
      <c r="F40" s="159"/>
      <c r="G40" s="159"/>
      <c r="H40" s="161"/>
      <c r="I40" s="161"/>
      <c r="J40" s="161"/>
      <c r="K40" s="75">
        <f t="shared" si="6"/>
        <v>0</v>
      </c>
      <c r="L40" s="76">
        <f t="shared" si="7"/>
        <v>0</v>
      </c>
      <c r="M40" s="75">
        <f t="shared" si="8"/>
        <v>0</v>
      </c>
      <c r="N40" s="75">
        <f t="shared" si="9"/>
        <v>0</v>
      </c>
      <c r="O40" s="75">
        <f t="shared" si="10"/>
        <v>0</v>
      </c>
      <c r="P40" s="77">
        <f t="shared" si="11"/>
        <v>0</v>
      </c>
    </row>
    <row r="41" spans="1:16" s="61" customFormat="1" x14ac:dyDescent="0.2">
      <c r="A41" s="155">
        <v>0</v>
      </c>
      <c r="B41" s="366">
        <f t="shared" si="12"/>
        <v>0</v>
      </c>
      <c r="C41" s="178" t="s">
        <v>330</v>
      </c>
      <c r="D41" s="158" t="s">
        <v>78</v>
      </c>
      <c r="E41" s="164">
        <f>E40*1.15</f>
        <v>11.994499999999999</v>
      </c>
      <c r="F41" s="159"/>
      <c r="G41" s="159"/>
      <c r="H41" s="161"/>
      <c r="I41" s="161"/>
      <c r="J41" s="161"/>
      <c r="K41" s="75">
        <f t="shared" si="6"/>
        <v>0</v>
      </c>
      <c r="L41" s="76">
        <f t="shared" si="7"/>
        <v>0</v>
      </c>
      <c r="M41" s="75">
        <f t="shared" si="8"/>
        <v>0</v>
      </c>
      <c r="N41" s="75">
        <f t="shared" si="9"/>
        <v>0</v>
      </c>
      <c r="O41" s="75">
        <f t="shared" si="10"/>
        <v>0</v>
      </c>
      <c r="P41" s="77">
        <f t="shared" si="11"/>
        <v>0</v>
      </c>
    </row>
    <row r="42" spans="1:16" s="61" customFormat="1" ht="25.5" x14ac:dyDescent="0.2">
      <c r="A42" s="155">
        <v>0</v>
      </c>
      <c r="B42" s="366">
        <f t="shared" si="12"/>
        <v>0</v>
      </c>
      <c r="C42" s="178" t="s">
        <v>331</v>
      </c>
      <c r="D42" s="158" t="s">
        <v>66</v>
      </c>
      <c r="E42" s="182">
        <v>1</v>
      </c>
      <c r="F42" s="159"/>
      <c r="G42" s="159"/>
      <c r="H42" s="161"/>
      <c r="I42" s="161"/>
      <c r="J42" s="161"/>
      <c r="K42" s="75">
        <f t="shared" si="6"/>
        <v>0</v>
      </c>
      <c r="L42" s="76">
        <f t="shared" si="7"/>
        <v>0</v>
      </c>
      <c r="M42" s="75">
        <f t="shared" si="8"/>
        <v>0</v>
      </c>
      <c r="N42" s="75">
        <f t="shared" si="9"/>
        <v>0</v>
      </c>
      <c r="O42" s="75">
        <f t="shared" si="10"/>
        <v>0</v>
      </c>
      <c r="P42" s="77">
        <f t="shared" si="11"/>
        <v>0</v>
      </c>
    </row>
    <row r="43" spans="1:16" s="61" customFormat="1" x14ac:dyDescent="0.2">
      <c r="A43" s="155">
        <v>0</v>
      </c>
      <c r="B43" s="366">
        <f t="shared" si="12"/>
        <v>0</v>
      </c>
      <c r="C43" s="151" t="s">
        <v>332</v>
      </c>
      <c r="D43" s="188"/>
      <c r="E43" s="188"/>
      <c r="F43" s="188"/>
      <c r="G43" s="188"/>
      <c r="H43" s="188"/>
      <c r="I43" s="188"/>
      <c r="J43" s="188"/>
      <c r="K43" s="75">
        <f t="shared" si="6"/>
        <v>0</v>
      </c>
      <c r="L43" s="76">
        <f t="shared" si="7"/>
        <v>0</v>
      </c>
      <c r="M43" s="75">
        <f t="shared" si="8"/>
        <v>0</v>
      </c>
      <c r="N43" s="75">
        <f t="shared" si="9"/>
        <v>0</v>
      </c>
      <c r="O43" s="75">
        <f t="shared" si="10"/>
        <v>0</v>
      </c>
      <c r="P43" s="77">
        <f t="shared" si="11"/>
        <v>0</v>
      </c>
    </row>
    <row r="44" spans="1:16" s="61" customFormat="1" ht="102" x14ac:dyDescent="0.2">
      <c r="A44" s="155">
        <v>9</v>
      </c>
      <c r="B44" s="366" t="str">
        <f t="shared" si="12"/>
        <v>L.c.</v>
      </c>
      <c r="C44" s="186" t="s">
        <v>295</v>
      </c>
      <c r="D44" s="158" t="s">
        <v>131</v>
      </c>
      <c r="E44" s="182">
        <f>267+11.2</f>
        <v>278.2</v>
      </c>
      <c r="F44" s="158"/>
      <c r="G44" s="159"/>
      <c r="H44" s="161"/>
      <c r="I44" s="161"/>
      <c r="J44" s="161"/>
      <c r="K44" s="75">
        <f t="shared" si="6"/>
        <v>0</v>
      </c>
      <c r="L44" s="76">
        <f t="shared" si="7"/>
        <v>0</v>
      </c>
      <c r="M44" s="75">
        <f t="shared" si="8"/>
        <v>0</v>
      </c>
      <c r="N44" s="75">
        <f t="shared" si="9"/>
        <v>0</v>
      </c>
      <c r="O44" s="75">
        <f t="shared" si="10"/>
        <v>0</v>
      </c>
      <c r="P44" s="77">
        <f t="shared" si="11"/>
        <v>0</v>
      </c>
    </row>
    <row r="45" spans="1:16" s="61" customFormat="1" x14ac:dyDescent="0.2">
      <c r="A45" s="155">
        <v>0</v>
      </c>
      <c r="B45" s="366">
        <f t="shared" si="12"/>
        <v>0</v>
      </c>
      <c r="C45" s="189" t="s">
        <v>188</v>
      </c>
      <c r="D45" s="158" t="s">
        <v>131</v>
      </c>
      <c r="E45" s="179">
        <f>E44*1.1</f>
        <v>306.02000000000004</v>
      </c>
      <c r="F45" s="190"/>
      <c r="G45" s="159"/>
      <c r="H45" s="161"/>
      <c r="I45" s="161"/>
      <c r="J45" s="161"/>
      <c r="K45" s="75">
        <f t="shared" si="6"/>
        <v>0</v>
      </c>
      <c r="L45" s="76">
        <f t="shared" si="7"/>
        <v>0</v>
      </c>
      <c r="M45" s="75">
        <f t="shared" si="8"/>
        <v>0</v>
      </c>
      <c r="N45" s="75">
        <f t="shared" si="9"/>
        <v>0</v>
      </c>
      <c r="O45" s="75">
        <f t="shared" si="10"/>
        <v>0</v>
      </c>
      <c r="P45" s="77">
        <f t="shared" si="11"/>
        <v>0</v>
      </c>
    </row>
    <row r="46" spans="1:16" s="61" customFormat="1" x14ac:dyDescent="0.2">
      <c r="A46" s="155">
        <v>0</v>
      </c>
      <c r="B46" s="366">
        <f t="shared" si="12"/>
        <v>0</v>
      </c>
      <c r="C46" s="192" t="s">
        <v>189</v>
      </c>
      <c r="D46" s="158" t="s">
        <v>66</v>
      </c>
      <c r="E46" s="179">
        <v>1</v>
      </c>
      <c r="F46" s="190"/>
      <c r="G46" s="159"/>
      <c r="H46" s="161"/>
      <c r="I46" s="161"/>
      <c r="J46" s="161"/>
      <c r="K46" s="75">
        <f t="shared" si="6"/>
        <v>0</v>
      </c>
      <c r="L46" s="76">
        <f t="shared" si="7"/>
        <v>0</v>
      </c>
      <c r="M46" s="75">
        <f t="shared" si="8"/>
        <v>0</v>
      </c>
      <c r="N46" s="75">
        <f t="shared" si="9"/>
        <v>0</v>
      </c>
      <c r="O46" s="75">
        <f t="shared" si="10"/>
        <v>0</v>
      </c>
      <c r="P46" s="77">
        <f t="shared" si="11"/>
        <v>0</v>
      </c>
    </row>
    <row r="47" spans="1:16" s="61" customFormat="1" x14ac:dyDescent="0.2">
      <c r="A47" s="155">
        <v>0</v>
      </c>
      <c r="B47" s="366">
        <f t="shared" si="12"/>
        <v>0</v>
      </c>
      <c r="C47" s="188"/>
      <c r="D47" s="188"/>
      <c r="E47" s="188"/>
      <c r="F47" s="188"/>
      <c r="G47" s="188"/>
      <c r="H47" s="188"/>
      <c r="I47" s="188"/>
      <c r="J47" s="188"/>
      <c r="K47" s="75">
        <f t="shared" si="6"/>
        <v>0</v>
      </c>
      <c r="L47" s="76">
        <f t="shared" si="7"/>
        <v>0</v>
      </c>
      <c r="M47" s="75">
        <f t="shared" si="8"/>
        <v>0</v>
      </c>
      <c r="N47" s="75">
        <f t="shared" si="9"/>
        <v>0</v>
      </c>
      <c r="O47" s="75">
        <f t="shared" si="10"/>
        <v>0</v>
      </c>
      <c r="P47" s="77">
        <f t="shared" si="11"/>
        <v>0</v>
      </c>
    </row>
    <row r="48" spans="1:16" s="61" customFormat="1" x14ac:dyDescent="0.2">
      <c r="A48" s="155">
        <v>0</v>
      </c>
      <c r="B48" s="366">
        <f t="shared" si="12"/>
        <v>0</v>
      </c>
      <c r="C48" s="188"/>
      <c r="D48" s="188"/>
      <c r="E48" s="188"/>
      <c r="F48" s="188"/>
      <c r="G48" s="188"/>
      <c r="H48" s="188"/>
      <c r="I48" s="188"/>
      <c r="J48" s="188"/>
      <c r="K48" s="75">
        <f t="shared" si="6"/>
        <v>0</v>
      </c>
      <c r="L48" s="76">
        <f t="shared" si="7"/>
        <v>0</v>
      </c>
      <c r="M48" s="75">
        <f t="shared" si="8"/>
        <v>0</v>
      </c>
      <c r="N48" s="75">
        <f t="shared" si="9"/>
        <v>0</v>
      </c>
      <c r="O48" s="75">
        <f t="shared" si="10"/>
        <v>0</v>
      </c>
      <c r="P48" s="77">
        <f t="shared" si="11"/>
        <v>0</v>
      </c>
    </row>
    <row r="49" spans="1:16" s="61" customFormat="1" x14ac:dyDescent="0.2">
      <c r="A49" s="155">
        <v>0</v>
      </c>
      <c r="B49" s="366">
        <f t="shared" si="12"/>
        <v>0</v>
      </c>
      <c r="C49" s="151" t="s">
        <v>333</v>
      </c>
      <c r="D49" s="188"/>
      <c r="E49" s="188"/>
      <c r="F49" s="188"/>
      <c r="G49" s="188"/>
      <c r="H49" s="188"/>
      <c r="I49" s="188"/>
      <c r="J49" s="188"/>
      <c r="K49" s="75">
        <f t="shared" si="6"/>
        <v>0</v>
      </c>
      <c r="L49" s="76">
        <f t="shared" si="7"/>
        <v>0</v>
      </c>
      <c r="M49" s="75">
        <f t="shared" si="8"/>
        <v>0</v>
      </c>
      <c r="N49" s="75">
        <f t="shared" si="9"/>
        <v>0</v>
      </c>
      <c r="O49" s="75">
        <f t="shared" si="10"/>
        <v>0</v>
      </c>
      <c r="P49" s="77">
        <f t="shared" si="11"/>
        <v>0</v>
      </c>
    </row>
    <row r="50" spans="1:16" s="61" customFormat="1" ht="102" x14ac:dyDescent="0.2">
      <c r="A50" s="155">
        <v>10</v>
      </c>
      <c r="B50" s="366" t="str">
        <f t="shared" si="12"/>
        <v>L.c.</v>
      </c>
      <c r="C50" s="186" t="s">
        <v>295</v>
      </c>
      <c r="D50" s="158" t="s">
        <v>131</v>
      </c>
      <c r="E50" s="182">
        <f>563+20.8</f>
        <v>583.79999999999995</v>
      </c>
      <c r="F50" s="158"/>
      <c r="G50" s="159"/>
      <c r="H50" s="161"/>
      <c r="I50" s="161"/>
      <c r="J50" s="161"/>
      <c r="K50" s="75">
        <f t="shared" si="6"/>
        <v>0</v>
      </c>
      <c r="L50" s="76">
        <f t="shared" si="7"/>
        <v>0</v>
      </c>
      <c r="M50" s="75">
        <f t="shared" si="8"/>
        <v>0</v>
      </c>
      <c r="N50" s="75">
        <f t="shared" si="9"/>
        <v>0</v>
      </c>
      <c r="O50" s="75">
        <f t="shared" si="10"/>
        <v>0</v>
      </c>
      <c r="P50" s="77">
        <f t="shared" si="11"/>
        <v>0</v>
      </c>
    </row>
    <row r="51" spans="1:16" s="61" customFormat="1" x14ac:dyDescent="0.2">
      <c r="A51" s="155">
        <v>0</v>
      </c>
      <c r="B51" s="366">
        <f t="shared" si="12"/>
        <v>0</v>
      </c>
      <c r="C51" s="189" t="s">
        <v>188</v>
      </c>
      <c r="D51" s="158" t="s">
        <v>131</v>
      </c>
      <c r="E51" s="179">
        <f>E50*1.1</f>
        <v>642.17999999999995</v>
      </c>
      <c r="F51" s="190"/>
      <c r="G51" s="159"/>
      <c r="H51" s="161"/>
      <c r="I51" s="161"/>
      <c r="J51" s="161"/>
      <c r="K51" s="75">
        <f t="shared" si="6"/>
        <v>0</v>
      </c>
      <c r="L51" s="76">
        <f t="shared" si="7"/>
        <v>0</v>
      </c>
      <c r="M51" s="75">
        <f t="shared" si="8"/>
        <v>0</v>
      </c>
      <c r="N51" s="75">
        <f t="shared" si="9"/>
        <v>0</v>
      </c>
      <c r="O51" s="75">
        <f t="shared" si="10"/>
        <v>0</v>
      </c>
      <c r="P51" s="77">
        <f t="shared" si="11"/>
        <v>0</v>
      </c>
    </row>
    <row r="52" spans="1:16" s="61" customFormat="1" x14ac:dyDescent="0.2">
      <c r="A52" s="155">
        <v>0</v>
      </c>
      <c r="B52" s="366">
        <f t="shared" si="12"/>
        <v>0</v>
      </c>
      <c r="C52" s="192" t="s">
        <v>189</v>
      </c>
      <c r="D52" s="158" t="s">
        <v>66</v>
      </c>
      <c r="E52" s="179">
        <v>1</v>
      </c>
      <c r="F52" s="190"/>
      <c r="G52" s="159"/>
      <c r="H52" s="161"/>
      <c r="I52" s="161"/>
      <c r="J52" s="161"/>
      <c r="K52" s="75">
        <f t="shared" si="6"/>
        <v>0</v>
      </c>
      <c r="L52" s="76">
        <f t="shared" si="7"/>
        <v>0</v>
      </c>
      <c r="M52" s="75">
        <f t="shared" si="8"/>
        <v>0</v>
      </c>
      <c r="N52" s="75">
        <f t="shared" si="9"/>
        <v>0</v>
      </c>
      <c r="O52" s="75">
        <f t="shared" si="10"/>
        <v>0</v>
      </c>
      <c r="P52" s="77">
        <f t="shared" si="11"/>
        <v>0</v>
      </c>
    </row>
    <row r="53" spans="1:16" s="61" customFormat="1" ht="25.5" x14ac:dyDescent="0.2">
      <c r="A53" s="155">
        <v>11</v>
      </c>
      <c r="B53" s="366" t="str">
        <f t="shared" si="12"/>
        <v>L.c.</v>
      </c>
      <c r="C53" s="186" t="s">
        <v>334</v>
      </c>
      <c r="D53" s="158" t="s">
        <v>78</v>
      </c>
      <c r="E53" s="182">
        <v>2.1</v>
      </c>
      <c r="F53" s="159"/>
      <c r="G53" s="159"/>
      <c r="H53" s="161"/>
      <c r="I53" s="161"/>
      <c r="J53" s="161"/>
      <c r="K53" s="75">
        <f t="shared" si="6"/>
        <v>0</v>
      </c>
      <c r="L53" s="76">
        <f t="shared" si="7"/>
        <v>0</v>
      </c>
      <c r="M53" s="75">
        <f t="shared" si="8"/>
        <v>0</v>
      </c>
      <c r="N53" s="75">
        <f t="shared" si="9"/>
        <v>0</v>
      </c>
      <c r="O53" s="75">
        <f t="shared" si="10"/>
        <v>0</v>
      </c>
      <c r="P53" s="77">
        <f t="shared" si="11"/>
        <v>0</v>
      </c>
    </row>
    <row r="54" spans="1:16" s="61" customFormat="1" x14ac:dyDescent="0.2">
      <c r="A54" s="155">
        <v>0</v>
      </c>
      <c r="B54" s="366">
        <f t="shared" si="12"/>
        <v>0</v>
      </c>
      <c r="C54" s="178" t="s">
        <v>330</v>
      </c>
      <c r="D54" s="158" t="s">
        <v>78</v>
      </c>
      <c r="E54" s="164">
        <f>E53*1.15</f>
        <v>2.415</v>
      </c>
      <c r="F54" s="159"/>
      <c r="G54" s="159"/>
      <c r="H54" s="161"/>
      <c r="I54" s="161"/>
      <c r="J54" s="161"/>
      <c r="K54" s="75">
        <f t="shared" si="6"/>
        <v>0</v>
      </c>
      <c r="L54" s="76">
        <f t="shared" si="7"/>
        <v>0</v>
      </c>
      <c r="M54" s="75">
        <f t="shared" si="8"/>
        <v>0</v>
      </c>
      <c r="N54" s="75">
        <f t="shared" si="9"/>
        <v>0</v>
      </c>
      <c r="O54" s="75">
        <f t="shared" si="10"/>
        <v>0</v>
      </c>
      <c r="P54" s="77">
        <f t="shared" si="11"/>
        <v>0</v>
      </c>
    </row>
    <row r="55" spans="1:16" s="61" customFormat="1" ht="25.5" x14ac:dyDescent="0.2">
      <c r="A55" s="155">
        <v>0</v>
      </c>
      <c r="B55" s="366">
        <f t="shared" si="12"/>
        <v>0</v>
      </c>
      <c r="C55" s="178" t="s">
        <v>331</v>
      </c>
      <c r="D55" s="158" t="s">
        <v>66</v>
      </c>
      <c r="E55" s="182">
        <v>1</v>
      </c>
      <c r="F55" s="159"/>
      <c r="G55" s="159"/>
      <c r="H55" s="161"/>
      <c r="I55" s="161"/>
      <c r="J55" s="161"/>
      <c r="K55" s="75">
        <f t="shared" si="6"/>
        <v>0</v>
      </c>
      <c r="L55" s="76">
        <f t="shared" si="7"/>
        <v>0</v>
      </c>
      <c r="M55" s="75">
        <f t="shared" si="8"/>
        <v>0</v>
      </c>
      <c r="N55" s="75">
        <f t="shared" si="9"/>
        <v>0</v>
      </c>
      <c r="O55" s="75">
        <f t="shared" si="10"/>
        <v>0</v>
      </c>
      <c r="P55" s="77">
        <f t="shared" si="11"/>
        <v>0</v>
      </c>
    </row>
    <row r="56" spans="1:16" s="61" customFormat="1" x14ac:dyDescent="0.2">
      <c r="A56" s="155">
        <v>0</v>
      </c>
      <c r="B56" s="366">
        <f t="shared" si="12"/>
        <v>0</v>
      </c>
      <c r="C56" s="183"/>
      <c r="D56" s="179"/>
      <c r="E56" s="184"/>
      <c r="F56" s="185"/>
      <c r="G56" s="159"/>
      <c r="H56" s="161"/>
      <c r="I56" s="154"/>
      <c r="J56" s="161"/>
      <c r="K56" s="75">
        <f t="shared" si="6"/>
        <v>0</v>
      </c>
      <c r="L56" s="76">
        <f t="shared" si="7"/>
        <v>0</v>
      </c>
      <c r="M56" s="75">
        <f t="shared" si="8"/>
        <v>0</v>
      </c>
      <c r="N56" s="75">
        <f t="shared" si="9"/>
        <v>0</v>
      </c>
      <c r="O56" s="75">
        <f t="shared" si="10"/>
        <v>0</v>
      </c>
      <c r="P56" s="77">
        <f t="shared" si="11"/>
        <v>0</v>
      </c>
    </row>
    <row r="57" spans="1:16" s="61" customFormat="1" x14ac:dyDescent="0.2">
      <c r="A57" s="155">
        <v>0</v>
      </c>
      <c r="B57" s="366">
        <f t="shared" si="12"/>
        <v>0</v>
      </c>
      <c r="C57" s="183"/>
      <c r="D57" s="179"/>
      <c r="E57" s="184"/>
      <c r="F57" s="185"/>
      <c r="G57" s="159"/>
      <c r="H57" s="161"/>
      <c r="I57" s="154"/>
      <c r="J57" s="161"/>
      <c r="K57" s="75">
        <f t="shared" si="6"/>
        <v>0</v>
      </c>
      <c r="L57" s="76">
        <f t="shared" si="7"/>
        <v>0</v>
      </c>
      <c r="M57" s="75">
        <f t="shared" si="8"/>
        <v>0</v>
      </c>
      <c r="N57" s="75">
        <f t="shared" si="9"/>
        <v>0</v>
      </c>
      <c r="O57" s="75">
        <f t="shared" si="10"/>
        <v>0</v>
      </c>
      <c r="P57" s="77">
        <f t="shared" si="11"/>
        <v>0</v>
      </c>
    </row>
    <row r="58" spans="1:16" s="61" customFormat="1" ht="31.5" x14ac:dyDescent="0.2">
      <c r="A58" s="143">
        <v>0</v>
      </c>
      <c r="B58" s="366">
        <f t="shared" si="12"/>
        <v>0</v>
      </c>
      <c r="C58" s="168" t="s">
        <v>335</v>
      </c>
      <c r="D58" s="146"/>
      <c r="E58" s="147"/>
      <c r="F58" s="148"/>
      <c r="G58" s="148"/>
      <c r="H58" s="149"/>
      <c r="I58" s="149"/>
      <c r="J58" s="149"/>
      <c r="K58" s="75">
        <f t="shared" si="6"/>
        <v>0</v>
      </c>
      <c r="L58" s="76">
        <f t="shared" si="7"/>
        <v>0</v>
      </c>
      <c r="M58" s="75">
        <f t="shared" si="8"/>
        <v>0</v>
      </c>
      <c r="N58" s="75">
        <f t="shared" si="9"/>
        <v>0</v>
      </c>
      <c r="O58" s="75">
        <f t="shared" si="10"/>
        <v>0</v>
      </c>
      <c r="P58" s="77">
        <f t="shared" si="11"/>
        <v>0</v>
      </c>
    </row>
    <row r="59" spans="1:16" s="61" customFormat="1" x14ac:dyDescent="0.2">
      <c r="A59" s="155">
        <v>0</v>
      </c>
      <c r="B59" s="366">
        <f t="shared" si="12"/>
        <v>0</v>
      </c>
      <c r="C59" s="197" t="s">
        <v>336</v>
      </c>
      <c r="D59" s="158"/>
      <c r="E59" s="158"/>
      <c r="F59" s="159"/>
      <c r="G59" s="159"/>
      <c r="H59" s="161"/>
      <c r="I59" s="161"/>
      <c r="J59" s="161"/>
      <c r="K59" s="75">
        <f t="shared" si="6"/>
        <v>0</v>
      </c>
      <c r="L59" s="76">
        <f t="shared" si="7"/>
        <v>0</v>
      </c>
      <c r="M59" s="75">
        <f t="shared" si="8"/>
        <v>0</v>
      </c>
      <c r="N59" s="75">
        <f t="shared" si="9"/>
        <v>0</v>
      </c>
      <c r="O59" s="75">
        <f t="shared" si="10"/>
        <v>0</v>
      </c>
      <c r="P59" s="77">
        <f t="shared" si="11"/>
        <v>0</v>
      </c>
    </row>
    <row r="60" spans="1:16" s="61" customFormat="1" ht="25.5" x14ac:dyDescent="0.2">
      <c r="A60" s="155">
        <v>12</v>
      </c>
      <c r="B60" s="366" t="str">
        <f t="shared" si="12"/>
        <v>L.c.</v>
      </c>
      <c r="C60" s="173" t="s">
        <v>128</v>
      </c>
      <c r="D60" s="158" t="s">
        <v>83</v>
      </c>
      <c r="E60" s="164">
        <v>126</v>
      </c>
      <c r="F60" s="161"/>
      <c r="G60" s="159"/>
      <c r="H60" s="161"/>
      <c r="I60" s="161"/>
      <c r="J60" s="161"/>
      <c r="K60" s="75">
        <f t="shared" si="6"/>
        <v>0</v>
      </c>
      <c r="L60" s="76">
        <f t="shared" si="7"/>
        <v>0</v>
      </c>
      <c r="M60" s="75">
        <f t="shared" si="8"/>
        <v>0</v>
      </c>
      <c r="N60" s="75">
        <f t="shared" si="9"/>
        <v>0</v>
      </c>
      <c r="O60" s="75">
        <f t="shared" si="10"/>
        <v>0</v>
      </c>
      <c r="P60" s="77">
        <f t="shared" si="11"/>
        <v>0</v>
      </c>
    </row>
    <row r="61" spans="1:16" s="61" customFormat="1" ht="89.25" x14ac:dyDescent="0.2">
      <c r="A61" s="155">
        <v>13</v>
      </c>
      <c r="B61" s="366" t="str">
        <f t="shared" si="12"/>
        <v>L.c.</v>
      </c>
      <c r="C61" s="176" t="s">
        <v>185</v>
      </c>
      <c r="D61" s="158" t="s">
        <v>131</v>
      </c>
      <c r="E61" s="335">
        <f>1246.6+1246.6+98.46+90.94+102.3+19.97+94.07+293.04+105.29</f>
        <v>3297.27</v>
      </c>
      <c r="F61" s="177"/>
      <c r="G61" s="159"/>
      <c r="H61" s="161"/>
      <c r="I61" s="161"/>
      <c r="J61" s="161"/>
      <c r="K61" s="75">
        <f t="shared" si="6"/>
        <v>0</v>
      </c>
      <c r="L61" s="76">
        <f t="shared" si="7"/>
        <v>0</v>
      </c>
      <c r="M61" s="75">
        <f t="shared" si="8"/>
        <v>0</v>
      </c>
      <c r="N61" s="75">
        <f t="shared" si="9"/>
        <v>0</v>
      </c>
      <c r="O61" s="75">
        <f t="shared" si="10"/>
        <v>0</v>
      </c>
      <c r="P61" s="77">
        <f t="shared" si="11"/>
        <v>0</v>
      </c>
    </row>
    <row r="62" spans="1:16" s="61" customFormat="1" x14ac:dyDescent="0.2">
      <c r="A62" s="155">
        <v>0</v>
      </c>
      <c r="B62" s="366">
        <f t="shared" si="12"/>
        <v>0</v>
      </c>
      <c r="C62" s="178" t="s">
        <v>132</v>
      </c>
      <c r="D62" s="179" t="s">
        <v>131</v>
      </c>
      <c r="E62" s="180">
        <f>E61*1.15</f>
        <v>3791.8604999999998</v>
      </c>
      <c r="F62" s="159"/>
      <c r="G62" s="159"/>
      <c r="H62" s="161"/>
      <c r="I62" s="161"/>
      <c r="J62" s="161"/>
      <c r="K62" s="75">
        <f t="shared" si="6"/>
        <v>0</v>
      </c>
      <c r="L62" s="76">
        <f t="shared" si="7"/>
        <v>0</v>
      </c>
      <c r="M62" s="75">
        <f t="shared" si="8"/>
        <v>0</v>
      </c>
      <c r="N62" s="75">
        <f t="shared" si="9"/>
        <v>0</v>
      </c>
      <c r="O62" s="75">
        <f t="shared" si="10"/>
        <v>0</v>
      </c>
      <c r="P62" s="77">
        <f t="shared" si="11"/>
        <v>0</v>
      </c>
    </row>
    <row r="63" spans="1:16" s="61" customFormat="1" ht="25.5" x14ac:dyDescent="0.2">
      <c r="A63" s="155">
        <v>0</v>
      </c>
      <c r="B63" s="366">
        <f t="shared" si="12"/>
        <v>0</v>
      </c>
      <c r="C63" s="181" t="s">
        <v>133</v>
      </c>
      <c r="D63" s="158" t="s">
        <v>66</v>
      </c>
      <c r="E63" s="182">
        <v>1</v>
      </c>
      <c r="F63" s="159"/>
      <c r="G63" s="159"/>
      <c r="H63" s="161"/>
      <c r="I63" s="161"/>
      <c r="J63" s="161"/>
      <c r="K63" s="75">
        <f t="shared" si="6"/>
        <v>0</v>
      </c>
      <c r="L63" s="76">
        <f t="shared" si="7"/>
        <v>0</v>
      </c>
      <c r="M63" s="75">
        <f t="shared" si="8"/>
        <v>0</v>
      </c>
      <c r="N63" s="75">
        <f t="shared" si="9"/>
        <v>0</v>
      </c>
      <c r="O63" s="75">
        <f t="shared" si="10"/>
        <v>0</v>
      </c>
      <c r="P63" s="77">
        <f t="shared" si="11"/>
        <v>0</v>
      </c>
    </row>
    <row r="64" spans="1:16" s="61" customFormat="1" ht="25.5" x14ac:dyDescent="0.2">
      <c r="A64" s="155">
        <v>14</v>
      </c>
      <c r="B64" s="366" t="str">
        <f t="shared" si="12"/>
        <v>L.c.</v>
      </c>
      <c r="C64" s="176" t="s">
        <v>337</v>
      </c>
      <c r="D64" s="179" t="s">
        <v>78</v>
      </c>
      <c r="E64" s="164">
        <v>28.08</v>
      </c>
      <c r="F64" s="159"/>
      <c r="G64" s="159"/>
      <c r="H64" s="161"/>
      <c r="I64" s="161"/>
      <c r="J64" s="161"/>
      <c r="K64" s="75">
        <f t="shared" si="6"/>
        <v>0</v>
      </c>
      <c r="L64" s="76">
        <f t="shared" si="7"/>
        <v>0</v>
      </c>
      <c r="M64" s="75">
        <f t="shared" si="8"/>
        <v>0</v>
      </c>
      <c r="N64" s="75">
        <f t="shared" si="9"/>
        <v>0</v>
      </c>
      <c r="O64" s="75">
        <f t="shared" si="10"/>
        <v>0</v>
      </c>
      <c r="P64" s="77">
        <f t="shared" si="11"/>
        <v>0</v>
      </c>
    </row>
    <row r="65" spans="1:16" s="61" customFormat="1" x14ac:dyDescent="0.2">
      <c r="A65" s="155">
        <v>0</v>
      </c>
      <c r="B65" s="366">
        <f t="shared" si="12"/>
        <v>0</v>
      </c>
      <c r="C65" s="183" t="s">
        <v>338</v>
      </c>
      <c r="D65" s="179" t="s">
        <v>78</v>
      </c>
      <c r="E65" s="184">
        <f>E64*1.05</f>
        <v>29.483999999999998</v>
      </c>
      <c r="F65" s="185"/>
      <c r="G65" s="159"/>
      <c r="H65" s="161"/>
      <c r="I65" s="161"/>
      <c r="J65" s="161"/>
      <c r="K65" s="75">
        <f t="shared" si="6"/>
        <v>0</v>
      </c>
      <c r="L65" s="76">
        <f t="shared" si="7"/>
        <v>0</v>
      </c>
      <c r="M65" s="75">
        <f t="shared" si="8"/>
        <v>0</v>
      </c>
      <c r="N65" s="75">
        <f t="shared" si="9"/>
        <v>0</v>
      </c>
      <c r="O65" s="75">
        <f t="shared" si="10"/>
        <v>0</v>
      </c>
      <c r="P65" s="77">
        <f t="shared" si="11"/>
        <v>0</v>
      </c>
    </row>
    <row r="66" spans="1:16" s="61" customFormat="1" x14ac:dyDescent="0.2">
      <c r="A66" s="155">
        <v>0</v>
      </c>
      <c r="B66" s="366">
        <f t="shared" si="12"/>
        <v>0</v>
      </c>
      <c r="C66" s="183" t="s">
        <v>136</v>
      </c>
      <c r="D66" s="179" t="s">
        <v>137</v>
      </c>
      <c r="E66" s="184">
        <f>E64*0.25</f>
        <v>7.02</v>
      </c>
      <c r="F66" s="185"/>
      <c r="G66" s="159"/>
      <c r="H66" s="161"/>
      <c r="I66" s="154"/>
      <c r="J66" s="161"/>
      <c r="K66" s="75">
        <f t="shared" si="6"/>
        <v>0</v>
      </c>
      <c r="L66" s="76">
        <f t="shared" si="7"/>
        <v>0</v>
      </c>
      <c r="M66" s="75">
        <f t="shared" si="8"/>
        <v>0</v>
      </c>
      <c r="N66" s="75">
        <f t="shared" si="9"/>
        <v>0</v>
      </c>
      <c r="O66" s="75">
        <f t="shared" si="10"/>
        <v>0</v>
      </c>
      <c r="P66" s="77">
        <f t="shared" si="11"/>
        <v>0</v>
      </c>
    </row>
    <row r="67" spans="1:16" s="61" customFormat="1" x14ac:dyDescent="0.2">
      <c r="A67" s="155">
        <v>0</v>
      </c>
      <c r="B67" s="366">
        <f t="shared" si="12"/>
        <v>0</v>
      </c>
      <c r="C67" s="183"/>
      <c r="D67" s="179"/>
      <c r="E67" s="184"/>
      <c r="F67" s="185"/>
      <c r="G67" s="159"/>
      <c r="H67" s="161"/>
      <c r="I67" s="154"/>
      <c r="J67" s="161"/>
      <c r="K67" s="75">
        <f t="shared" si="6"/>
        <v>0</v>
      </c>
      <c r="L67" s="76">
        <f t="shared" si="7"/>
        <v>0</v>
      </c>
      <c r="M67" s="75">
        <f t="shared" si="8"/>
        <v>0</v>
      </c>
      <c r="N67" s="75">
        <f t="shared" si="9"/>
        <v>0</v>
      </c>
      <c r="O67" s="75">
        <f t="shared" si="10"/>
        <v>0</v>
      </c>
      <c r="P67" s="77">
        <f t="shared" si="11"/>
        <v>0</v>
      </c>
    </row>
    <row r="68" spans="1:16" s="61" customFormat="1" x14ac:dyDescent="0.2">
      <c r="A68" s="155">
        <v>0</v>
      </c>
      <c r="B68" s="366">
        <f t="shared" si="12"/>
        <v>0</v>
      </c>
      <c r="C68" s="307" t="s">
        <v>779</v>
      </c>
      <c r="D68" s="308"/>
      <c r="E68" s="308"/>
      <c r="F68" s="309"/>
      <c r="G68" s="309"/>
      <c r="H68" s="310"/>
      <c r="I68" s="310"/>
      <c r="J68" s="310"/>
      <c r="K68" s="75">
        <f t="shared" si="6"/>
        <v>0</v>
      </c>
      <c r="L68" s="76">
        <f t="shared" si="7"/>
        <v>0</v>
      </c>
      <c r="M68" s="75">
        <f t="shared" si="8"/>
        <v>0</v>
      </c>
      <c r="N68" s="75">
        <f t="shared" si="9"/>
        <v>0</v>
      </c>
      <c r="O68" s="75">
        <f t="shared" si="10"/>
        <v>0</v>
      </c>
      <c r="P68" s="77">
        <f t="shared" si="11"/>
        <v>0</v>
      </c>
    </row>
    <row r="69" spans="1:16" s="61" customFormat="1" ht="25.5" x14ac:dyDescent="0.2">
      <c r="A69" s="155">
        <v>15</v>
      </c>
      <c r="B69" s="366" t="str">
        <f t="shared" si="12"/>
        <v>L.c.</v>
      </c>
      <c r="C69" s="311" t="s">
        <v>128</v>
      </c>
      <c r="D69" s="308" t="s">
        <v>83</v>
      </c>
      <c r="E69" s="309">
        <v>43</v>
      </c>
      <c r="F69" s="310"/>
      <c r="G69" s="309"/>
      <c r="H69" s="310"/>
      <c r="I69" s="310"/>
      <c r="J69" s="310"/>
      <c r="K69" s="75">
        <f t="shared" si="6"/>
        <v>0</v>
      </c>
      <c r="L69" s="76">
        <f t="shared" si="7"/>
        <v>0</v>
      </c>
      <c r="M69" s="75">
        <f t="shared" si="8"/>
        <v>0</v>
      </c>
      <c r="N69" s="75">
        <f t="shared" si="9"/>
        <v>0</v>
      </c>
      <c r="O69" s="75">
        <f t="shared" si="10"/>
        <v>0</v>
      </c>
      <c r="P69" s="77">
        <f t="shared" si="11"/>
        <v>0</v>
      </c>
    </row>
    <row r="70" spans="1:16" s="61" customFormat="1" ht="89.25" x14ac:dyDescent="0.2">
      <c r="A70" s="155">
        <v>16</v>
      </c>
      <c r="B70" s="366" t="str">
        <f t="shared" si="12"/>
        <v>L.c.</v>
      </c>
      <c r="C70" s="312" t="s">
        <v>185</v>
      </c>
      <c r="D70" s="308" t="s">
        <v>131</v>
      </c>
      <c r="E70" s="335">
        <f>415.53+415.53+66.86+111</f>
        <v>1008.92</v>
      </c>
      <c r="F70" s="313"/>
      <c r="G70" s="309"/>
      <c r="H70" s="310"/>
      <c r="I70" s="310"/>
      <c r="J70" s="310"/>
      <c r="K70" s="75">
        <f t="shared" si="6"/>
        <v>0</v>
      </c>
      <c r="L70" s="76">
        <f t="shared" si="7"/>
        <v>0</v>
      </c>
      <c r="M70" s="75">
        <f t="shared" si="8"/>
        <v>0</v>
      </c>
      <c r="N70" s="75">
        <f t="shared" si="9"/>
        <v>0</v>
      </c>
      <c r="O70" s="75">
        <f t="shared" si="10"/>
        <v>0</v>
      </c>
      <c r="P70" s="77">
        <f t="shared" si="11"/>
        <v>0</v>
      </c>
    </row>
    <row r="71" spans="1:16" s="61" customFormat="1" x14ac:dyDescent="0.2">
      <c r="A71" s="155">
        <v>0</v>
      </c>
      <c r="B71" s="366">
        <f t="shared" si="12"/>
        <v>0</v>
      </c>
      <c r="C71" s="314" t="s">
        <v>132</v>
      </c>
      <c r="D71" s="315" t="s">
        <v>131</v>
      </c>
      <c r="E71" s="316">
        <f>E70*1.15</f>
        <v>1160.2579999999998</v>
      </c>
      <c r="F71" s="309"/>
      <c r="G71" s="309"/>
      <c r="H71" s="310"/>
      <c r="I71" s="310"/>
      <c r="J71" s="310"/>
      <c r="K71" s="75">
        <f t="shared" si="6"/>
        <v>0</v>
      </c>
      <c r="L71" s="76">
        <f t="shared" si="7"/>
        <v>0</v>
      </c>
      <c r="M71" s="75">
        <f t="shared" si="8"/>
        <v>0</v>
      </c>
      <c r="N71" s="75">
        <f t="shared" si="9"/>
        <v>0</v>
      </c>
      <c r="O71" s="75">
        <f t="shared" si="10"/>
        <v>0</v>
      </c>
      <c r="P71" s="77">
        <f t="shared" si="11"/>
        <v>0</v>
      </c>
    </row>
    <row r="72" spans="1:16" s="61" customFormat="1" ht="25.5" x14ac:dyDescent="0.2">
      <c r="A72" s="155">
        <v>0</v>
      </c>
      <c r="B72" s="366">
        <f t="shared" si="12"/>
        <v>0</v>
      </c>
      <c r="C72" s="317" t="s">
        <v>133</v>
      </c>
      <c r="D72" s="308" t="s">
        <v>66</v>
      </c>
      <c r="E72" s="308">
        <v>1</v>
      </c>
      <c r="F72" s="309"/>
      <c r="G72" s="309"/>
      <c r="H72" s="310"/>
      <c r="I72" s="310"/>
      <c r="J72" s="310"/>
      <c r="K72" s="75">
        <f t="shared" si="6"/>
        <v>0</v>
      </c>
      <c r="L72" s="76">
        <f t="shared" si="7"/>
        <v>0</v>
      </c>
      <c r="M72" s="75">
        <f t="shared" si="8"/>
        <v>0</v>
      </c>
      <c r="N72" s="75">
        <f t="shared" si="9"/>
        <v>0</v>
      </c>
      <c r="O72" s="75">
        <f t="shared" si="10"/>
        <v>0</v>
      </c>
      <c r="P72" s="77">
        <f t="shared" si="11"/>
        <v>0</v>
      </c>
    </row>
    <row r="73" spans="1:16" s="61" customFormat="1" ht="47.25" customHeight="1" x14ac:dyDescent="0.2">
      <c r="A73" s="155">
        <v>17</v>
      </c>
      <c r="B73" s="366" t="str">
        <f t="shared" si="12"/>
        <v>L.c.</v>
      </c>
      <c r="C73" s="312" t="s">
        <v>337</v>
      </c>
      <c r="D73" s="315" t="s">
        <v>78</v>
      </c>
      <c r="E73" s="309">
        <v>6.38</v>
      </c>
      <c r="F73" s="309"/>
      <c r="G73" s="309"/>
      <c r="H73" s="310"/>
      <c r="I73" s="310"/>
      <c r="J73" s="310"/>
      <c r="K73" s="75">
        <f t="shared" si="6"/>
        <v>0</v>
      </c>
      <c r="L73" s="76">
        <f t="shared" si="7"/>
        <v>0</v>
      </c>
      <c r="M73" s="75">
        <f t="shared" si="8"/>
        <v>0</v>
      </c>
      <c r="N73" s="75">
        <f t="shared" si="9"/>
        <v>0</v>
      </c>
      <c r="O73" s="75">
        <f t="shared" si="10"/>
        <v>0</v>
      </c>
      <c r="P73" s="77">
        <f t="shared" si="11"/>
        <v>0</v>
      </c>
    </row>
    <row r="74" spans="1:16" s="61" customFormat="1" x14ac:dyDescent="0.2">
      <c r="A74" s="155">
        <v>0</v>
      </c>
      <c r="B74" s="156"/>
      <c r="C74" s="318" t="s">
        <v>338</v>
      </c>
      <c r="D74" s="315" t="s">
        <v>78</v>
      </c>
      <c r="E74" s="319">
        <f>E73*1.05</f>
        <v>6.6989999999999998</v>
      </c>
      <c r="F74" s="320"/>
      <c r="G74" s="309"/>
      <c r="H74" s="310"/>
      <c r="I74" s="310"/>
      <c r="J74" s="310"/>
      <c r="K74" s="75">
        <f t="shared" si="6"/>
        <v>0</v>
      </c>
      <c r="L74" s="76">
        <f t="shared" si="7"/>
        <v>0</v>
      </c>
      <c r="M74" s="75">
        <f t="shared" si="8"/>
        <v>0</v>
      </c>
      <c r="N74" s="75">
        <f t="shared" si="9"/>
        <v>0</v>
      </c>
      <c r="O74" s="75">
        <f t="shared" si="10"/>
        <v>0</v>
      </c>
      <c r="P74" s="77">
        <f t="shared" si="11"/>
        <v>0</v>
      </c>
    </row>
    <row r="75" spans="1:16" s="61" customFormat="1" x14ac:dyDescent="0.2">
      <c r="A75" s="155">
        <v>0</v>
      </c>
      <c r="B75" s="156"/>
      <c r="C75" s="318" t="s">
        <v>136</v>
      </c>
      <c r="D75" s="315" t="s">
        <v>137</v>
      </c>
      <c r="E75" s="319">
        <f>E73*0.25</f>
        <v>1.595</v>
      </c>
      <c r="F75" s="320"/>
      <c r="G75" s="309"/>
      <c r="H75" s="310"/>
      <c r="I75" s="321"/>
      <c r="J75" s="310"/>
      <c r="K75" s="75">
        <f t="shared" si="6"/>
        <v>0</v>
      </c>
      <c r="L75" s="76">
        <f t="shared" si="7"/>
        <v>0</v>
      </c>
      <c r="M75" s="75">
        <f t="shared" si="8"/>
        <v>0</v>
      </c>
      <c r="N75" s="75">
        <f t="shared" si="9"/>
        <v>0</v>
      </c>
      <c r="O75" s="75">
        <f t="shared" si="10"/>
        <v>0</v>
      </c>
      <c r="P75" s="77">
        <f t="shared" si="11"/>
        <v>0</v>
      </c>
    </row>
    <row r="76" spans="1:16" s="61" customFormat="1" x14ac:dyDescent="0.2">
      <c r="A76" s="155">
        <v>0</v>
      </c>
      <c r="B76" s="156"/>
      <c r="C76" s="183"/>
      <c r="D76" s="179"/>
      <c r="E76" s="184"/>
      <c r="F76" s="185"/>
      <c r="G76" s="159"/>
      <c r="H76" s="161"/>
      <c r="I76" s="154"/>
      <c r="J76" s="161"/>
      <c r="K76" s="75">
        <f t="shared" si="6"/>
        <v>0</v>
      </c>
      <c r="L76" s="76">
        <f t="shared" si="7"/>
        <v>0</v>
      </c>
      <c r="M76" s="75">
        <f t="shared" si="8"/>
        <v>0</v>
      </c>
      <c r="N76" s="75">
        <f t="shared" si="9"/>
        <v>0</v>
      </c>
      <c r="O76" s="75">
        <f t="shared" si="10"/>
        <v>0</v>
      </c>
      <c r="P76" s="77">
        <f t="shared" si="11"/>
        <v>0</v>
      </c>
    </row>
    <row r="77" spans="1:16" s="61" customFormat="1" x14ac:dyDescent="0.2">
      <c r="A77" s="202">
        <v>0</v>
      </c>
      <c r="B77" s="144"/>
      <c r="C77" s="203" t="s">
        <v>339</v>
      </c>
      <c r="D77" s="204"/>
      <c r="E77" s="205"/>
      <c r="F77" s="148"/>
      <c r="G77" s="148"/>
      <c r="H77" s="206"/>
      <c r="I77" s="206"/>
      <c r="J77" s="206"/>
      <c r="K77" s="75">
        <f t="shared" si="6"/>
        <v>0</v>
      </c>
      <c r="L77" s="76">
        <f t="shared" si="7"/>
        <v>0</v>
      </c>
      <c r="M77" s="75">
        <f t="shared" si="8"/>
        <v>0</v>
      </c>
      <c r="N77" s="75">
        <f t="shared" si="9"/>
        <v>0</v>
      </c>
      <c r="O77" s="75">
        <f t="shared" si="10"/>
        <v>0</v>
      </c>
      <c r="P77" s="77">
        <f t="shared" si="11"/>
        <v>0</v>
      </c>
    </row>
    <row r="78" spans="1:16" s="61" customFormat="1" x14ac:dyDescent="0.2">
      <c r="A78" s="202">
        <v>0</v>
      </c>
      <c r="B78" s="144"/>
      <c r="C78" s="207" t="s">
        <v>340</v>
      </c>
      <c r="D78" s="204"/>
      <c r="E78" s="205"/>
      <c r="F78" s="148"/>
      <c r="G78" s="148"/>
      <c r="H78" s="217"/>
      <c r="I78" s="217"/>
      <c r="J78" s="217"/>
      <c r="K78" s="75">
        <f t="shared" si="6"/>
        <v>0</v>
      </c>
      <c r="L78" s="76">
        <f t="shared" si="7"/>
        <v>0</v>
      </c>
      <c r="M78" s="75">
        <f t="shared" si="8"/>
        <v>0</v>
      </c>
      <c r="N78" s="75">
        <f t="shared" si="9"/>
        <v>0</v>
      </c>
      <c r="O78" s="75">
        <f t="shared" si="10"/>
        <v>0</v>
      </c>
      <c r="P78" s="77">
        <f t="shared" si="11"/>
        <v>0</v>
      </c>
    </row>
    <row r="79" spans="1:16" s="61" customFormat="1" ht="30" x14ac:dyDescent="0.2">
      <c r="A79" s="228">
        <v>18</v>
      </c>
      <c r="B79" s="229" t="s">
        <v>215</v>
      </c>
      <c r="C79" s="230" t="s">
        <v>216</v>
      </c>
      <c r="D79" s="67" t="s">
        <v>207</v>
      </c>
      <c r="E79" s="205">
        <f>E90</f>
        <v>253.5</v>
      </c>
      <c r="F79" s="226"/>
      <c r="G79" s="226"/>
      <c r="H79" s="227"/>
      <c r="I79" s="227"/>
      <c r="J79" s="227"/>
      <c r="K79" s="75">
        <f t="shared" ref="K79:K108" si="13">SUM(H79:J79)</f>
        <v>0</v>
      </c>
      <c r="L79" s="76">
        <f t="shared" ref="L79:L108" si="14">ROUND(F79*E79,2)</f>
        <v>0</v>
      </c>
      <c r="M79" s="75">
        <f t="shared" ref="M79:M108" si="15">ROUND(H79*E79,2)</f>
        <v>0</v>
      </c>
      <c r="N79" s="75">
        <f t="shared" ref="N79:N108" si="16">ROUND(I79*E79,2)</f>
        <v>0</v>
      </c>
      <c r="O79" s="75">
        <f t="shared" ref="O79:O108" si="17">ROUND(J79*E79,2)</f>
        <v>0</v>
      </c>
      <c r="P79" s="77">
        <f t="shared" ref="P79:P108" si="18">SUM(M79:O79)</f>
        <v>0</v>
      </c>
    </row>
    <row r="80" spans="1:16" s="61" customFormat="1" x14ac:dyDescent="0.2">
      <c r="A80" s="218">
        <v>19</v>
      </c>
      <c r="B80" s="250" t="s">
        <v>205</v>
      </c>
      <c r="C80" s="220" t="s">
        <v>341</v>
      </c>
      <c r="D80" s="67" t="s">
        <v>115</v>
      </c>
      <c r="E80" s="205">
        <f>(0.05*0.2*E90/0.6)+(0.15*0.05*E90/0.6)</f>
        <v>7.3937500000000007</v>
      </c>
      <c r="F80" s="213"/>
      <c r="G80" s="148"/>
      <c r="H80" s="221"/>
      <c r="I80" s="221"/>
      <c r="J80" s="222"/>
      <c r="K80" s="75">
        <f t="shared" si="13"/>
        <v>0</v>
      </c>
      <c r="L80" s="76">
        <f t="shared" si="14"/>
        <v>0</v>
      </c>
      <c r="M80" s="75">
        <f t="shared" si="15"/>
        <v>0</v>
      </c>
      <c r="N80" s="75">
        <f t="shared" si="16"/>
        <v>0</v>
      </c>
      <c r="O80" s="75">
        <f t="shared" si="17"/>
        <v>0</v>
      </c>
      <c r="P80" s="77">
        <f t="shared" si="18"/>
        <v>0</v>
      </c>
    </row>
    <row r="81" spans="1:16" s="61" customFormat="1" x14ac:dyDescent="0.2">
      <c r="A81" s="218">
        <v>0</v>
      </c>
      <c r="B81" s="250">
        <v>0</v>
      </c>
      <c r="C81" s="251" t="s">
        <v>342</v>
      </c>
      <c r="D81" s="67" t="s">
        <v>115</v>
      </c>
      <c r="E81" s="205">
        <f>1.1*E80</f>
        <v>8.1331250000000015</v>
      </c>
      <c r="F81" s="213"/>
      <c r="G81" s="213"/>
      <c r="H81" s="221"/>
      <c r="I81" s="221"/>
      <c r="J81" s="222"/>
      <c r="K81" s="75">
        <f t="shared" si="13"/>
        <v>0</v>
      </c>
      <c r="L81" s="76">
        <f t="shared" si="14"/>
        <v>0</v>
      </c>
      <c r="M81" s="75">
        <f t="shared" si="15"/>
        <v>0</v>
      </c>
      <c r="N81" s="75">
        <f t="shared" si="16"/>
        <v>0</v>
      </c>
      <c r="O81" s="75">
        <f t="shared" si="17"/>
        <v>0</v>
      </c>
      <c r="P81" s="77">
        <f t="shared" si="18"/>
        <v>0</v>
      </c>
    </row>
    <row r="82" spans="1:16" s="61" customFormat="1" x14ac:dyDescent="0.2">
      <c r="A82" s="218">
        <v>0</v>
      </c>
      <c r="B82" s="250">
        <v>0</v>
      </c>
      <c r="C82" s="125" t="s">
        <v>343</v>
      </c>
      <c r="D82" s="211" t="s">
        <v>62</v>
      </c>
      <c r="E82" s="205">
        <f>18*E80</f>
        <v>133.08750000000001</v>
      </c>
      <c r="F82" s="213"/>
      <c r="G82" s="213"/>
      <c r="H82" s="221"/>
      <c r="I82" s="221"/>
      <c r="J82" s="222"/>
      <c r="K82" s="75">
        <f t="shared" si="13"/>
        <v>0</v>
      </c>
      <c r="L82" s="76">
        <f t="shared" si="14"/>
        <v>0</v>
      </c>
      <c r="M82" s="75">
        <f t="shared" si="15"/>
        <v>0</v>
      </c>
      <c r="N82" s="75">
        <f t="shared" si="16"/>
        <v>0</v>
      </c>
      <c r="O82" s="75">
        <f t="shared" si="17"/>
        <v>0</v>
      </c>
      <c r="P82" s="77">
        <f t="shared" si="18"/>
        <v>0</v>
      </c>
    </row>
    <row r="83" spans="1:16" s="61" customFormat="1" x14ac:dyDescent="0.2">
      <c r="A83" s="218">
        <v>0</v>
      </c>
      <c r="B83" s="250">
        <v>0</v>
      </c>
      <c r="C83" s="125" t="s">
        <v>344</v>
      </c>
      <c r="D83" s="67" t="s">
        <v>207</v>
      </c>
      <c r="E83" s="205">
        <f>E80*5</f>
        <v>36.96875</v>
      </c>
      <c r="F83" s="213"/>
      <c r="G83" s="213"/>
      <c r="H83" s="221"/>
      <c r="I83" s="221"/>
      <c r="J83" s="222"/>
      <c r="K83" s="75">
        <f t="shared" si="13"/>
        <v>0</v>
      </c>
      <c r="L83" s="76">
        <f t="shared" si="14"/>
        <v>0</v>
      </c>
      <c r="M83" s="75">
        <f t="shared" si="15"/>
        <v>0</v>
      </c>
      <c r="N83" s="75">
        <f t="shared" si="16"/>
        <v>0</v>
      </c>
      <c r="O83" s="75">
        <f t="shared" si="17"/>
        <v>0</v>
      </c>
      <c r="P83" s="77">
        <f t="shared" si="18"/>
        <v>0</v>
      </c>
    </row>
    <row r="84" spans="1:16" s="61" customFormat="1" x14ac:dyDescent="0.2">
      <c r="A84" s="218">
        <v>20</v>
      </c>
      <c r="B84" s="250" t="s">
        <v>246</v>
      </c>
      <c r="C84" s="220" t="s">
        <v>345</v>
      </c>
      <c r="D84" s="67" t="s">
        <v>115</v>
      </c>
      <c r="E84" s="425">
        <f>0.4*E90*1.25</f>
        <v>126.75</v>
      </c>
      <c r="F84" s="213"/>
      <c r="G84" s="148"/>
      <c r="H84" s="221"/>
      <c r="I84" s="221"/>
      <c r="J84" s="222"/>
      <c r="K84" s="75">
        <f t="shared" si="13"/>
        <v>0</v>
      </c>
      <c r="L84" s="76">
        <f t="shared" si="14"/>
        <v>0</v>
      </c>
      <c r="M84" s="75">
        <f t="shared" si="15"/>
        <v>0</v>
      </c>
      <c r="N84" s="75">
        <f t="shared" si="16"/>
        <v>0</v>
      </c>
      <c r="O84" s="75">
        <f t="shared" si="17"/>
        <v>0</v>
      </c>
      <c r="P84" s="77">
        <f t="shared" si="18"/>
        <v>0</v>
      </c>
    </row>
    <row r="85" spans="1:16" s="61" customFormat="1" x14ac:dyDescent="0.2">
      <c r="A85" s="218">
        <v>0</v>
      </c>
      <c r="B85" s="250">
        <v>0</v>
      </c>
      <c r="C85" s="420" t="s">
        <v>787</v>
      </c>
      <c r="D85" s="67" t="s">
        <v>115</v>
      </c>
      <c r="E85" s="425">
        <f>1.1*E84</f>
        <v>139.42500000000001</v>
      </c>
      <c r="F85" s="213"/>
      <c r="G85" s="213"/>
      <c r="H85" s="221"/>
      <c r="I85" s="221"/>
      <c r="J85" s="222"/>
      <c r="K85" s="75">
        <f t="shared" si="13"/>
        <v>0</v>
      </c>
      <c r="L85" s="76">
        <f t="shared" si="14"/>
        <v>0</v>
      </c>
      <c r="M85" s="75">
        <f t="shared" si="15"/>
        <v>0</v>
      </c>
      <c r="N85" s="75">
        <f t="shared" si="16"/>
        <v>0</v>
      </c>
      <c r="O85" s="75">
        <f t="shared" si="17"/>
        <v>0</v>
      </c>
      <c r="P85" s="77">
        <f t="shared" si="18"/>
        <v>0</v>
      </c>
    </row>
    <row r="86" spans="1:16" s="61" customFormat="1" x14ac:dyDescent="0.2">
      <c r="A86" s="218">
        <v>21</v>
      </c>
      <c r="B86" s="250" t="s">
        <v>205</v>
      </c>
      <c r="C86" s="220" t="s">
        <v>346</v>
      </c>
      <c r="D86" s="67" t="s">
        <v>207</v>
      </c>
      <c r="E86" s="205">
        <f>E90</f>
        <v>253.5</v>
      </c>
      <c r="F86" s="213"/>
      <c r="G86" s="148"/>
      <c r="H86" s="221"/>
      <c r="I86" s="221"/>
      <c r="J86" s="222"/>
      <c r="K86" s="75">
        <f t="shared" si="13"/>
        <v>0</v>
      </c>
      <c r="L86" s="76">
        <f t="shared" si="14"/>
        <v>0</v>
      </c>
      <c r="M86" s="75">
        <f t="shared" si="15"/>
        <v>0</v>
      </c>
      <c r="N86" s="75">
        <f t="shared" si="16"/>
        <v>0</v>
      </c>
      <c r="O86" s="75">
        <f t="shared" si="17"/>
        <v>0</v>
      </c>
      <c r="P86" s="77">
        <f t="shared" si="18"/>
        <v>0</v>
      </c>
    </row>
    <row r="87" spans="1:16" s="61" customFormat="1" x14ac:dyDescent="0.2">
      <c r="A87" s="218">
        <v>0</v>
      </c>
      <c r="B87" s="250">
        <v>0</v>
      </c>
      <c r="C87" s="125" t="s">
        <v>347</v>
      </c>
      <c r="D87" s="67" t="s">
        <v>115</v>
      </c>
      <c r="E87" s="205">
        <f>0.05*0.05*2.6*E86</f>
        <v>1.6477500000000003</v>
      </c>
      <c r="F87" s="213"/>
      <c r="G87" s="213"/>
      <c r="H87" s="221"/>
      <c r="I87" s="221"/>
      <c r="J87" s="222"/>
      <c r="K87" s="75">
        <f t="shared" si="13"/>
        <v>0</v>
      </c>
      <c r="L87" s="76">
        <f t="shared" si="14"/>
        <v>0</v>
      </c>
      <c r="M87" s="75">
        <f t="shared" si="15"/>
        <v>0</v>
      </c>
      <c r="N87" s="75">
        <f t="shared" si="16"/>
        <v>0</v>
      </c>
      <c r="O87" s="75">
        <f t="shared" si="17"/>
        <v>0</v>
      </c>
      <c r="P87" s="77">
        <f t="shared" si="18"/>
        <v>0</v>
      </c>
    </row>
    <row r="88" spans="1:16" s="61" customFormat="1" x14ac:dyDescent="0.2">
      <c r="A88" s="218">
        <v>0</v>
      </c>
      <c r="B88" s="250">
        <v>0</v>
      </c>
      <c r="C88" s="125" t="s">
        <v>348</v>
      </c>
      <c r="D88" s="67" t="s">
        <v>210</v>
      </c>
      <c r="E88" s="205">
        <f>0.16*E86</f>
        <v>40.56</v>
      </c>
      <c r="F88" s="213"/>
      <c r="G88" s="213"/>
      <c r="H88" s="221"/>
      <c r="I88" s="221"/>
      <c r="J88" s="222"/>
      <c r="K88" s="75">
        <f t="shared" si="13"/>
        <v>0</v>
      </c>
      <c r="L88" s="76">
        <f t="shared" si="14"/>
        <v>0</v>
      </c>
      <c r="M88" s="75">
        <f t="shared" si="15"/>
        <v>0</v>
      </c>
      <c r="N88" s="75">
        <f t="shared" si="16"/>
        <v>0</v>
      </c>
      <c r="O88" s="75">
        <f t="shared" si="17"/>
        <v>0</v>
      </c>
      <c r="P88" s="77">
        <f t="shared" si="18"/>
        <v>0</v>
      </c>
    </row>
    <row r="89" spans="1:16" s="61" customFormat="1" ht="15" x14ac:dyDescent="0.2">
      <c r="A89" s="218">
        <v>22</v>
      </c>
      <c r="B89" s="250" t="s">
        <v>246</v>
      </c>
      <c r="C89" s="239" t="s">
        <v>349</v>
      </c>
      <c r="D89" s="67" t="s">
        <v>207</v>
      </c>
      <c r="E89" s="205">
        <f>E90</f>
        <v>253.5</v>
      </c>
      <c r="F89" s="148"/>
      <c r="G89" s="213"/>
      <c r="H89" s="217"/>
      <c r="I89" s="217"/>
      <c r="J89" s="217"/>
      <c r="K89" s="75">
        <f t="shared" si="13"/>
        <v>0</v>
      </c>
      <c r="L89" s="76">
        <f t="shared" si="14"/>
        <v>0</v>
      </c>
      <c r="M89" s="75">
        <f t="shared" si="15"/>
        <v>0</v>
      </c>
      <c r="N89" s="75">
        <f t="shared" si="16"/>
        <v>0</v>
      </c>
      <c r="O89" s="75">
        <f t="shared" si="17"/>
        <v>0</v>
      </c>
      <c r="P89" s="77">
        <f t="shared" si="18"/>
        <v>0</v>
      </c>
    </row>
    <row r="90" spans="1:16" s="61" customFormat="1" x14ac:dyDescent="0.2">
      <c r="A90" s="218">
        <v>23</v>
      </c>
      <c r="B90" s="250" t="s">
        <v>229</v>
      </c>
      <c r="C90" s="220" t="s">
        <v>350</v>
      </c>
      <c r="D90" s="67" t="s">
        <v>207</v>
      </c>
      <c r="E90" s="205">
        <v>253.5</v>
      </c>
      <c r="F90" s="213"/>
      <c r="G90" s="148"/>
      <c r="H90" s="221"/>
      <c r="I90" s="221"/>
      <c r="J90" s="222"/>
      <c r="K90" s="75">
        <f t="shared" si="13"/>
        <v>0</v>
      </c>
      <c r="L90" s="76">
        <f t="shared" si="14"/>
        <v>0</v>
      </c>
      <c r="M90" s="75">
        <f t="shared" si="15"/>
        <v>0</v>
      </c>
      <c r="N90" s="75">
        <f t="shared" si="16"/>
        <v>0</v>
      </c>
      <c r="O90" s="75">
        <f t="shared" si="17"/>
        <v>0</v>
      </c>
      <c r="P90" s="77">
        <f t="shared" si="18"/>
        <v>0</v>
      </c>
    </row>
    <row r="91" spans="1:16" s="61" customFormat="1" x14ac:dyDescent="0.2">
      <c r="A91" s="218">
        <v>0</v>
      </c>
      <c r="B91" s="250">
        <v>0</v>
      </c>
      <c r="C91" s="125" t="s">
        <v>351</v>
      </c>
      <c r="D91" s="67" t="s">
        <v>207</v>
      </c>
      <c r="E91" s="205">
        <f>1.1*E90/2</f>
        <v>139.42500000000001</v>
      </c>
      <c r="F91" s="213"/>
      <c r="G91" s="213"/>
      <c r="H91" s="221"/>
      <c r="I91" s="221"/>
      <c r="J91" s="222"/>
      <c r="K91" s="75">
        <f t="shared" si="13"/>
        <v>0</v>
      </c>
      <c r="L91" s="76">
        <f t="shared" si="14"/>
        <v>0</v>
      </c>
      <c r="M91" s="75">
        <f t="shared" si="15"/>
        <v>0</v>
      </c>
      <c r="N91" s="75">
        <f t="shared" si="16"/>
        <v>0</v>
      </c>
      <c r="O91" s="75">
        <f t="shared" si="17"/>
        <v>0</v>
      </c>
      <c r="P91" s="77">
        <f t="shared" si="18"/>
        <v>0</v>
      </c>
    </row>
    <row r="92" spans="1:16" s="61" customFormat="1" x14ac:dyDescent="0.2">
      <c r="A92" s="218">
        <v>0</v>
      </c>
      <c r="B92" s="250">
        <v>0</v>
      </c>
      <c r="C92" s="125" t="s">
        <v>352</v>
      </c>
      <c r="D92" s="67" t="s">
        <v>131</v>
      </c>
      <c r="E92" s="205">
        <f>0.25*E90</f>
        <v>63.375</v>
      </c>
      <c r="F92" s="213"/>
      <c r="G92" s="213"/>
      <c r="H92" s="221"/>
      <c r="I92" s="221"/>
      <c r="J92" s="222"/>
      <c r="K92" s="75">
        <f t="shared" si="13"/>
        <v>0</v>
      </c>
      <c r="L92" s="76">
        <f t="shared" si="14"/>
        <v>0</v>
      </c>
      <c r="M92" s="75">
        <f t="shared" si="15"/>
        <v>0</v>
      </c>
      <c r="N92" s="75">
        <f t="shared" si="16"/>
        <v>0</v>
      </c>
      <c r="O92" s="75">
        <f t="shared" si="17"/>
        <v>0</v>
      </c>
      <c r="P92" s="77">
        <f t="shared" si="18"/>
        <v>0</v>
      </c>
    </row>
    <row r="93" spans="1:16" s="61" customFormat="1" x14ac:dyDescent="0.2">
      <c r="A93" s="202">
        <v>0</v>
      </c>
      <c r="B93" s="144"/>
      <c r="C93" s="207" t="s">
        <v>353</v>
      </c>
      <c r="D93" s="204"/>
      <c r="E93" s="205"/>
      <c r="F93" s="148"/>
      <c r="G93" s="148"/>
      <c r="H93" s="217"/>
      <c r="I93" s="217"/>
      <c r="J93" s="217"/>
      <c r="K93" s="75">
        <f t="shared" si="13"/>
        <v>0</v>
      </c>
      <c r="L93" s="76">
        <f t="shared" si="14"/>
        <v>0</v>
      </c>
      <c r="M93" s="75">
        <f t="shared" si="15"/>
        <v>0</v>
      </c>
      <c r="N93" s="75">
        <f t="shared" si="16"/>
        <v>0</v>
      </c>
      <c r="O93" s="75">
        <f t="shared" si="17"/>
        <v>0</v>
      </c>
      <c r="P93" s="77">
        <f t="shared" si="18"/>
        <v>0</v>
      </c>
    </row>
    <row r="94" spans="1:16" s="61" customFormat="1" x14ac:dyDescent="0.2">
      <c r="A94" s="218">
        <v>24</v>
      </c>
      <c r="B94" s="250" t="s">
        <v>246</v>
      </c>
      <c r="C94" s="220" t="s">
        <v>345</v>
      </c>
      <c r="D94" s="67" t="s">
        <v>115</v>
      </c>
      <c r="E94" s="425">
        <f>0.4*E105*1.25</f>
        <v>377.85500000000008</v>
      </c>
      <c r="F94" s="213"/>
      <c r="G94" s="148"/>
      <c r="H94" s="221"/>
      <c r="I94" s="221"/>
      <c r="J94" s="222"/>
      <c r="K94" s="75">
        <f t="shared" si="13"/>
        <v>0</v>
      </c>
      <c r="L94" s="76">
        <f t="shared" si="14"/>
        <v>0</v>
      </c>
      <c r="M94" s="75">
        <f t="shared" si="15"/>
        <v>0</v>
      </c>
      <c r="N94" s="75">
        <f t="shared" si="16"/>
        <v>0</v>
      </c>
      <c r="O94" s="75">
        <f t="shared" si="17"/>
        <v>0</v>
      </c>
      <c r="P94" s="77">
        <f t="shared" si="18"/>
        <v>0</v>
      </c>
    </row>
    <row r="95" spans="1:16" s="61" customFormat="1" x14ac:dyDescent="0.2">
      <c r="A95" s="218">
        <v>0</v>
      </c>
      <c r="B95" s="250">
        <v>0</v>
      </c>
      <c r="C95" s="420" t="s">
        <v>787</v>
      </c>
      <c r="D95" s="67" t="s">
        <v>115</v>
      </c>
      <c r="E95" s="425">
        <f>1.1*E94</f>
        <v>415.64050000000009</v>
      </c>
      <c r="F95" s="213"/>
      <c r="G95" s="213"/>
      <c r="H95" s="221"/>
      <c r="I95" s="221"/>
      <c r="J95" s="222"/>
      <c r="K95" s="75">
        <f t="shared" si="13"/>
        <v>0</v>
      </c>
      <c r="L95" s="76">
        <f t="shared" si="14"/>
        <v>0</v>
      </c>
      <c r="M95" s="75">
        <f t="shared" si="15"/>
        <v>0</v>
      </c>
      <c r="N95" s="75">
        <f t="shared" si="16"/>
        <v>0</v>
      </c>
      <c r="O95" s="75">
        <f t="shared" si="17"/>
        <v>0</v>
      </c>
      <c r="P95" s="77">
        <f t="shared" si="18"/>
        <v>0</v>
      </c>
    </row>
    <row r="96" spans="1:16" s="61" customFormat="1" x14ac:dyDescent="0.2">
      <c r="A96" s="218">
        <v>25</v>
      </c>
      <c r="B96" s="219" t="s">
        <v>205</v>
      </c>
      <c r="C96" s="220" t="s">
        <v>354</v>
      </c>
      <c r="D96" s="67" t="s">
        <v>207</v>
      </c>
      <c r="E96" s="205">
        <f>E105</f>
        <v>755.71</v>
      </c>
      <c r="F96" s="213"/>
      <c r="G96" s="148"/>
      <c r="H96" s="221"/>
      <c r="I96" s="221"/>
      <c r="J96" s="222"/>
      <c r="K96" s="75">
        <f t="shared" si="13"/>
        <v>0</v>
      </c>
      <c r="L96" s="76">
        <f t="shared" si="14"/>
        <v>0</v>
      </c>
      <c r="M96" s="75">
        <f t="shared" si="15"/>
        <v>0</v>
      </c>
      <c r="N96" s="75">
        <f t="shared" si="16"/>
        <v>0</v>
      </c>
      <c r="O96" s="75">
        <f t="shared" si="17"/>
        <v>0</v>
      </c>
      <c r="P96" s="77">
        <f t="shared" si="18"/>
        <v>0</v>
      </c>
    </row>
    <row r="97" spans="1:16" s="61" customFormat="1" x14ac:dyDescent="0.2">
      <c r="A97" s="218">
        <v>0</v>
      </c>
      <c r="B97" s="219">
        <v>0</v>
      </c>
      <c r="C97" s="125" t="s">
        <v>355</v>
      </c>
      <c r="D97" s="67" t="s">
        <v>207</v>
      </c>
      <c r="E97" s="205">
        <f>1.1*E96</f>
        <v>831.28100000000006</v>
      </c>
      <c r="F97" s="213"/>
      <c r="G97" s="213"/>
      <c r="H97" s="221"/>
      <c r="I97" s="221"/>
      <c r="J97" s="222"/>
      <c r="K97" s="75">
        <f t="shared" si="13"/>
        <v>0</v>
      </c>
      <c r="L97" s="76">
        <f t="shared" si="14"/>
        <v>0</v>
      </c>
      <c r="M97" s="75">
        <f t="shared" si="15"/>
        <v>0</v>
      </c>
      <c r="N97" s="75">
        <f t="shared" si="16"/>
        <v>0</v>
      </c>
      <c r="O97" s="75">
        <f t="shared" si="17"/>
        <v>0</v>
      </c>
      <c r="P97" s="77">
        <f t="shared" si="18"/>
        <v>0</v>
      </c>
    </row>
    <row r="98" spans="1:16" s="61" customFormat="1" x14ac:dyDescent="0.2">
      <c r="A98" s="218">
        <v>0</v>
      </c>
      <c r="B98" s="219">
        <v>0</v>
      </c>
      <c r="C98" s="125" t="s">
        <v>356</v>
      </c>
      <c r="D98" s="67" t="s">
        <v>210</v>
      </c>
      <c r="E98" s="205">
        <f>0.08*E96</f>
        <v>60.456800000000001</v>
      </c>
      <c r="F98" s="213"/>
      <c r="G98" s="213"/>
      <c r="H98" s="221"/>
      <c r="I98" s="221"/>
      <c r="J98" s="222"/>
      <c r="K98" s="75">
        <f t="shared" si="13"/>
        <v>0</v>
      </c>
      <c r="L98" s="76">
        <f t="shared" si="14"/>
        <v>0</v>
      </c>
      <c r="M98" s="75">
        <f t="shared" si="15"/>
        <v>0</v>
      </c>
      <c r="N98" s="75">
        <f t="shared" si="16"/>
        <v>0</v>
      </c>
      <c r="O98" s="75">
        <f t="shared" si="17"/>
        <v>0</v>
      </c>
      <c r="P98" s="77">
        <f t="shared" si="18"/>
        <v>0</v>
      </c>
    </row>
    <row r="99" spans="1:16" s="61" customFormat="1" x14ac:dyDescent="0.2">
      <c r="A99" s="218">
        <v>26</v>
      </c>
      <c r="B99" s="250" t="s">
        <v>205</v>
      </c>
      <c r="C99" s="220" t="s">
        <v>357</v>
      </c>
      <c r="D99" s="67" t="s">
        <v>207</v>
      </c>
      <c r="E99" s="205">
        <f>E105</f>
        <v>755.71</v>
      </c>
      <c r="F99" s="213"/>
      <c r="G99" s="148"/>
      <c r="H99" s="221"/>
      <c r="I99" s="221"/>
      <c r="J99" s="222"/>
      <c r="K99" s="75">
        <f t="shared" si="13"/>
        <v>0</v>
      </c>
      <c r="L99" s="76">
        <f t="shared" si="14"/>
        <v>0</v>
      </c>
      <c r="M99" s="75">
        <f t="shared" si="15"/>
        <v>0</v>
      </c>
      <c r="N99" s="75">
        <f t="shared" si="16"/>
        <v>0</v>
      </c>
      <c r="O99" s="75">
        <f t="shared" si="17"/>
        <v>0</v>
      </c>
      <c r="P99" s="77">
        <f t="shared" si="18"/>
        <v>0</v>
      </c>
    </row>
    <row r="100" spans="1:16" s="61" customFormat="1" x14ac:dyDescent="0.2">
      <c r="A100" s="218">
        <v>0</v>
      </c>
      <c r="B100" s="250">
        <v>0</v>
      </c>
      <c r="C100" s="125" t="s">
        <v>358</v>
      </c>
      <c r="D100" s="67" t="s">
        <v>115</v>
      </c>
      <c r="E100" s="205">
        <f>0.05*0.05*2.6*E99</f>
        <v>4.9121150000000009</v>
      </c>
      <c r="F100" s="213"/>
      <c r="G100" s="213"/>
      <c r="H100" s="221"/>
      <c r="I100" s="221"/>
      <c r="J100" s="222"/>
      <c r="K100" s="75">
        <f t="shared" si="13"/>
        <v>0</v>
      </c>
      <c r="L100" s="76">
        <f t="shared" si="14"/>
        <v>0</v>
      </c>
      <c r="M100" s="75">
        <f t="shared" si="15"/>
        <v>0</v>
      </c>
      <c r="N100" s="75">
        <f t="shared" si="16"/>
        <v>0</v>
      </c>
      <c r="O100" s="75">
        <f t="shared" si="17"/>
        <v>0</v>
      </c>
      <c r="P100" s="77">
        <f t="shared" si="18"/>
        <v>0</v>
      </c>
    </row>
    <row r="101" spans="1:16" s="61" customFormat="1" x14ac:dyDescent="0.2">
      <c r="A101" s="218">
        <v>0</v>
      </c>
      <c r="B101" s="250">
        <v>0</v>
      </c>
      <c r="C101" s="125" t="s">
        <v>348</v>
      </c>
      <c r="D101" s="67" t="s">
        <v>210</v>
      </c>
      <c r="E101" s="205">
        <f>0.16*E99</f>
        <v>120.9136</v>
      </c>
      <c r="F101" s="213"/>
      <c r="G101" s="213"/>
      <c r="H101" s="221"/>
      <c r="I101" s="221"/>
      <c r="J101" s="222"/>
      <c r="K101" s="75">
        <f t="shared" si="13"/>
        <v>0</v>
      </c>
      <c r="L101" s="76">
        <f t="shared" si="14"/>
        <v>0</v>
      </c>
      <c r="M101" s="75">
        <f t="shared" si="15"/>
        <v>0</v>
      </c>
      <c r="N101" s="75">
        <f t="shared" si="16"/>
        <v>0</v>
      </c>
      <c r="O101" s="75">
        <f t="shared" si="17"/>
        <v>0</v>
      </c>
      <c r="P101" s="77">
        <f t="shared" si="18"/>
        <v>0</v>
      </c>
    </row>
    <row r="102" spans="1:16" s="61" customFormat="1" x14ac:dyDescent="0.2">
      <c r="A102" s="218">
        <v>27</v>
      </c>
      <c r="B102" s="250" t="s">
        <v>205</v>
      </c>
      <c r="C102" s="220" t="s">
        <v>359</v>
      </c>
      <c r="D102" s="67" t="s">
        <v>207</v>
      </c>
      <c r="E102" s="205">
        <f>E105</f>
        <v>755.71</v>
      </c>
      <c r="F102" s="213"/>
      <c r="G102" s="148"/>
      <c r="H102" s="221"/>
      <c r="I102" s="221"/>
      <c r="J102" s="222"/>
      <c r="K102" s="75">
        <f t="shared" si="13"/>
        <v>0</v>
      </c>
      <c r="L102" s="76">
        <f t="shared" si="14"/>
        <v>0</v>
      </c>
      <c r="M102" s="75">
        <f t="shared" si="15"/>
        <v>0</v>
      </c>
      <c r="N102" s="75">
        <f t="shared" si="16"/>
        <v>0</v>
      </c>
      <c r="O102" s="75">
        <f t="shared" si="17"/>
        <v>0</v>
      </c>
      <c r="P102" s="77">
        <f t="shared" si="18"/>
        <v>0</v>
      </c>
    </row>
    <row r="103" spans="1:16" s="61" customFormat="1" x14ac:dyDescent="0.2">
      <c r="A103" s="218">
        <v>0</v>
      </c>
      <c r="B103" s="250">
        <v>0</v>
      </c>
      <c r="C103" s="125" t="s">
        <v>358</v>
      </c>
      <c r="D103" s="67" t="s">
        <v>115</v>
      </c>
      <c r="E103" s="205">
        <f>0.05*0.05*2.6*E102</f>
        <v>4.9121150000000009</v>
      </c>
      <c r="F103" s="213"/>
      <c r="G103" s="213"/>
      <c r="H103" s="221"/>
      <c r="I103" s="221"/>
      <c r="J103" s="222"/>
      <c r="K103" s="75">
        <f t="shared" si="13"/>
        <v>0</v>
      </c>
      <c r="L103" s="76">
        <f t="shared" si="14"/>
        <v>0</v>
      </c>
      <c r="M103" s="75">
        <f t="shared" si="15"/>
        <v>0</v>
      </c>
      <c r="N103" s="75">
        <f t="shared" si="16"/>
        <v>0</v>
      </c>
      <c r="O103" s="75">
        <f t="shared" si="17"/>
        <v>0</v>
      </c>
      <c r="P103" s="77">
        <f t="shared" si="18"/>
        <v>0</v>
      </c>
    </row>
    <row r="104" spans="1:16" s="61" customFormat="1" x14ac:dyDescent="0.2">
      <c r="A104" s="218">
        <v>0</v>
      </c>
      <c r="B104" s="250">
        <v>0</v>
      </c>
      <c r="C104" s="125" t="s">
        <v>348</v>
      </c>
      <c r="D104" s="67" t="s">
        <v>210</v>
      </c>
      <c r="E104" s="205">
        <f>0.16*E102</f>
        <v>120.9136</v>
      </c>
      <c r="F104" s="213"/>
      <c r="G104" s="213"/>
      <c r="H104" s="221"/>
      <c r="I104" s="221"/>
      <c r="J104" s="222"/>
      <c r="K104" s="75">
        <f t="shared" si="13"/>
        <v>0</v>
      </c>
      <c r="L104" s="76">
        <f t="shared" si="14"/>
        <v>0</v>
      </c>
      <c r="M104" s="75">
        <f t="shared" si="15"/>
        <v>0</v>
      </c>
      <c r="N104" s="75">
        <f t="shared" si="16"/>
        <v>0</v>
      </c>
      <c r="O104" s="75">
        <f t="shared" si="17"/>
        <v>0</v>
      </c>
      <c r="P104" s="77">
        <f t="shared" si="18"/>
        <v>0</v>
      </c>
    </row>
    <row r="105" spans="1:16" s="61" customFormat="1" x14ac:dyDescent="0.2">
      <c r="A105" s="218">
        <v>28</v>
      </c>
      <c r="B105" s="219" t="s">
        <v>229</v>
      </c>
      <c r="C105" s="220" t="s">
        <v>249</v>
      </c>
      <c r="D105" s="67" t="s">
        <v>207</v>
      </c>
      <c r="E105" s="205">
        <v>755.71</v>
      </c>
      <c r="F105" s="213"/>
      <c r="G105" s="148"/>
      <c r="H105" s="221"/>
      <c r="I105" s="221"/>
      <c r="J105" s="222"/>
      <c r="K105" s="75">
        <f t="shared" si="13"/>
        <v>0</v>
      </c>
      <c r="L105" s="76">
        <f t="shared" si="14"/>
        <v>0</v>
      </c>
      <c r="M105" s="75">
        <f t="shared" si="15"/>
        <v>0</v>
      </c>
      <c r="N105" s="75">
        <f t="shared" si="16"/>
        <v>0</v>
      </c>
      <c r="O105" s="75">
        <f t="shared" si="17"/>
        <v>0</v>
      </c>
      <c r="P105" s="77">
        <f t="shared" si="18"/>
        <v>0</v>
      </c>
    </row>
    <row r="106" spans="1:16" s="61" customFormat="1" x14ac:dyDescent="0.2">
      <c r="A106" s="218">
        <v>0</v>
      </c>
      <c r="B106" s="219">
        <v>0</v>
      </c>
      <c r="C106" s="253" t="s">
        <v>250</v>
      </c>
      <c r="D106" s="67" t="s">
        <v>210</v>
      </c>
      <c r="E106" s="205">
        <f>0.15*E105</f>
        <v>113.3565</v>
      </c>
      <c r="F106" s="213"/>
      <c r="G106" s="213"/>
      <c r="H106" s="221"/>
      <c r="I106" s="221"/>
      <c r="J106" s="222"/>
      <c r="K106" s="75">
        <f t="shared" si="13"/>
        <v>0</v>
      </c>
      <c r="L106" s="76">
        <f t="shared" si="14"/>
        <v>0</v>
      </c>
      <c r="M106" s="75">
        <f t="shared" si="15"/>
        <v>0</v>
      </c>
      <c r="N106" s="75">
        <f t="shared" si="16"/>
        <v>0</v>
      </c>
      <c r="O106" s="75">
        <f t="shared" si="17"/>
        <v>0</v>
      </c>
      <c r="P106" s="77">
        <f t="shared" si="18"/>
        <v>0</v>
      </c>
    </row>
    <row r="107" spans="1:16" s="61" customFormat="1" x14ac:dyDescent="0.2">
      <c r="A107" s="218">
        <v>0</v>
      </c>
      <c r="B107" s="219">
        <v>0</v>
      </c>
      <c r="C107" s="253" t="s">
        <v>251</v>
      </c>
      <c r="D107" s="67" t="s">
        <v>210</v>
      </c>
      <c r="E107" s="205">
        <f>0.3*E105</f>
        <v>226.71299999999999</v>
      </c>
      <c r="F107" s="213"/>
      <c r="G107" s="213"/>
      <c r="H107" s="221"/>
      <c r="I107" s="221"/>
      <c r="J107" s="222"/>
      <c r="K107" s="75">
        <f t="shared" si="13"/>
        <v>0</v>
      </c>
      <c r="L107" s="76">
        <f t="shared" si="14"/>
        <v>0</v>
      </c>
      <c r="M107" s="75">
        <f t="shared" si="15"/>
        <v>0</v>
      </c>
      <c r="N107" s="75">
        <f t="shared" si="16"/>
        <v>0</v>
      </c>
      <c r="O107" s="75">
        <f t="shared" si="17"/>
        <v>0</v>
      </c>
      <c r="P107" s="77">
        <f t="shared" si="18"/>
        <v>0</v>
      </c>
    </row>
    <row r="108" spans="1:16" s="61" customFormat="1" x14ac:dyDescent="0.2">
      <c r="A108" s="218">
        <v>0</v>
      </c>
      <c r="B108" s="219">
        <v>0</v>
      </c>
      <c r="C108" s="253" t="s">
        <v>255</v>
      </c>
      <c r="D108" s="67" t="s">
        <v>207</v>
      </c>
      <c r="E108" s="205">
        <f>2.2*E105</f>
        <v>1662.5620000000001</v>
      </c>
      <c r="F108" s="213"/>
      <c r="G108" s="213"/>
      <c r="H108" s="221"/>
      <c r="I108" s="221"/>
      <c r="J108" s="222"/>
      <c r="K108" s="75">
        <f t="shared" si="13"/>
        <v>0</v>
      </c>
      <c r="L108" s="76">
        <f t="shared" si="14"/>
        <v>0</v>
      </c>
      <c r="M108" s="75">
        <f t="shared" si="15"/>
        <v>0</v>
      </c>
      <c r="N108" s="75">
        <f t="shared" si="16"/>
        <v>0</v>
      </c>
      <c r="O108" s="75">
        <f t="shared" si="17"/>
        <v>0</v>
      </c>
      <c r="P108" s="77">
        <f t="shared" si="18"/>
        <v>0</v>
      </c>
    </row>
    <row r="109" spans="1:16" x14ac:dyDescent="0.2">
      <c r="A109" s="78"/>
      <c r="B109" s="126"/>
      <c r="C109" s="80"/>
      <c r="D109" s="81"/>
      <c r="E109" s="82"/>
      <c r="F109" s="82">
        <v>0</v>
      </c>
      <c r="G109" s="82">
        <v>0</v>
      </c>
      <c r="H109" s="83"/>
      <c r="I109" s="83"/>
      <c r="J109" s="82"/>
      <c r="K109" s="82"/>
      <c r="L109" s="82"/>
      <c r="M109" s="82"/>
      <c r="N109" s="82"/>
      <c r="O109" s="82"/>
      <c r="P109" s="84"/>
    </row>
    <row r="110" spans="1:16" ht="15" customHeight="1" x14ac:dyDescent="0.2">
      <c r="A110" s="357"/>
      <c r="B110" s="85"/>
      <c r="C110" s="509" t="s">
        <v>74</v>
      </c>
      <c r="D110" s="510"/>
      <c r="E110" s="510"/>
      <c r="F110" s="510"/>
      <c r="G110" s="510"/>
      <c r="H110" s="510"/>
      <c r="I110" s="510"/>
      <c r="J110" s="510"/>
      <c r="K110" s="510"/>
      <c r="L110" s="87">
        <f>SUM(L13:L109)</f>
        <v>0</v>
      </c>
      <c r="M110" s="87">
        <f>SUM(M13:M109)</f>
        <v>0</v>
      </c>
      <c r="N110" s="87">
        <f>SUM(N13:N109)</f>
        <v>0</v>
      </c>
      <c r="O110" s="87">
        <f>SUM(O13:O109)</f>
        <v>0</v>
      </c>
      <c r="P110" s="87">
        <f>SUM(P13:P109)</f>
        <v>0</v>
      </c>
    </row>
    <row r="111" spans="1:16" s="88" customFormat="1" collapsed="1" x14ac:dyDescent="0.2">
      <c r="A111" s="364"/>
      <c r="I111" s="89"/>
    </row>
    <row r="112" spans="1:16" s="2" customFormat="1" ht="12.75" customHeight="1" x14ac:dyDescent="0.2">
      <c r="A112" s="365"/>
      <c r="B112" s="90" t="s">
        <v>75</v>
      </c>
    </row>
    <row r="113" spans="1:16" s="2" customFormat="1" ht="45" customHeight="1" x14ac:dyDescent="0.2">
      <c r="A113"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113" s="511"/>
      <c r="C113" s="511"/>
      <c r="D113" s="511"/>
      <c r="E113" s="511"/>
      <c r="F113" s="511"/>
      <c r="G113" s="511"/>
      <c r="H113" s="511"/>
      <c r="I113" s="511"/>
      <c r="J113" s="511"/>
      <c r="K113" s="511"/>
      <c r="L113" s="511"/>
      <c r="M113" s="511"/>
      <c r="N113" s="511"/>
      <c r="O113" s="511"/>
      <c r="P113" s="511"/>
    </row>
    <row r="114" spans="1:16" s="2" customFormat="1" ht="66.75" customHeight="1" x14ac:dyDescent="0.2">
      <c r="A114" s="512"/>
      <c r="B114" s="512"/>
      <c r="C114" s="512"/>
      <c r="D114" s="512"/>
      <c r="E114" s="512"/>
      <c r="F114" s="512"/>
      <c r="G114" s="512"/>
      <c r="H114" s="512"/>
      <c r="I114" s="512"/>
      <c r="J114" s="512"/>
      <c r="K114" s="512"/>
      <c r="L114" s="512"/>
      <c r="M114" s="512"/>
      <c r="N114" s="512"/>
      <c r="O114" s="512"/>
      <c r="P114" s="512"/>
    </row>
    <row r="115" spans="1:16" s="2" customFormat="1" ht="12.75" customHeight="1" x14ac:dyDescent="0.2">
      <c r="A115" s="365"/>
      <c r="B115" s="91"/>
    </row>
    <row r="116" spans="1:16" s="2" customFormat="1" ht="12.75" customHeight="1" x14ac:dyDescent="0.2">
      <c r="A116" s="365"/>
      <c r="B116" s="91"/>
    </row>
    <row r="117" spans="1:16" s="88" customFormat="1" x14ac:dyDescent="0.2">
      <c r="A117" s="364"/>
      <c r="B117" s="88" t="s">
        <v>36</v>
      </c>
      <c r="L117" s="92" t="s">
        <v>98</v>
      </c>
      <c r="M117" s="92"/>
      <c r="N117" s="92"/>
      <c r="O117" s="92"/>
      <c r="P117" s="92"/>
    </row>
    <row r="118" spans="1:16" s="88" customFormat="1" ht="14.25" customHeight="1" x14ac:dyDescent="0.2">
      <c r="A118" s="364"/>
      <c r="C118" s="36"/>
      <c r="L118" s="36"/>
      <c r="M118" s="513"/>
      <c r="N118" s="513"/>
      <c r="O118" s="92"/>
      <c r="P118" s="92"/>
    </row>
    <row r="119" spans="1:16" s="88" customFormat="1" x14ac:dyDescent="0.2">
      <c r="A119" s="364"/>
      <c r="C119" s="39"/>
      <c r="L119" s="39"/>
      <c r="M119" s="507"/>
      <c r="N119" s="507"/>
      <c r="O119" s="92"/>
      <c r="P119" s="92"/>
    </row>
    <row r="120" spans="1:16" s="88" customFormat="1" collapsed="1" x14ac:dyDescent="0.2">
      <c r="A120" s="364"/>
      <c r="B120" s="89"/>
      <c r="F120" s="89"/>
      <c r="G120" s="89"/>
    </row>
  </sheetData>
  <mergeCells count="17">
    <mergeCell ref="M119:N119"/>
    <mergeCell ref="F11:K11"/>
    <mergeCell ref="L11:P11"/>
    <mergeCell ref="C110:K110"/>
    <mergeCell ref="A113:P113"/>
    <mergeCell ref="A114:P114"/>
    <mergeCell ref="M118:N118"/>
    <mergeCell ref="A11:A12"/>
    <mergeCell ref="B11:B12"/>
    <mergeCell ref="C11:C12"/>
    <mergeCell ref="D11:D12"/>
    <mergeCell ref="E11:E12"/>
    <mergeCell ref="A2:P2"/>
    <mergeCell ref="D3:P3"/>
    <mergeCell ref="D4:P4"/>
    <mergeCell ref="D5:P5"/>
    <mergeCell ref="L9:O9"/>
  </mergeCells>
  <conditionalFormatting sqref="I80:I83">
    <cfRule type="expression" dxfId="549" priority="60">
      <formula>#REF!&gt;0</formula>
    </cfRule>
    <cfRule type="expression" dxfId="548" priority="61">
      <formula>#REF!=3</formula>
    </cfRule>
    <cfRule type="expression" dxfId="547" priority="62">
      <formula>#REF!=2</formula>
    </cfRule>
    <cfRule type="expression" dxfId="546" priority="63">
      <formula>#REF!=1</formula>
    </cfRule>
  </conditionalFormatting>
  <conditionalFormatting sqref="I80:I83">
    <cfRule type="expression" dxfId="545" priority="64" stopIfTrue="1">
      <formula>I80=#REF!=FALSE</formula>
    </cfRule>
  </conditionalFormatting>
  <conditionalFormatting sqref="I84">
    <cfRule type="expression" dxfId="544" priority="55">
      <formula>#REF!&gt;0</formula>
    </cfRule>
    <cfRule type="expression" dxfId="543" priority="56">
      <formula>#REF!=3</formula>
    </cfRule>
    <cfRule type="expression" dxfId="542" priority="57">
      <formula>#REF!=2</formula>
    </cfRule>
    <cfRule type="expression" dxfId="541" priority="58">
      <formula>#REF!=1</formula>
    </cfRule>
  </conditionalFormatting>
  <conditionalFormatting sqref="I84">
    <cfRule type="expression" dxfId="540" priority="59" stopIfTrue="1">
      <formula>I84=#REF!=FALSE</formula>
    </cfRule>
  </conditionalFormatting>
  <conditionalFormatting sqref="I86:I88">
    <cfRule type="expression" dxfId="539" priority="54" stopIfTrue="1">
      <formula>I86=#REF!=FALSE</formula>
    </cfRule>
  </conditionalFormatting>
  <conditionalFormatting sqref="I86:I88">
    <cfRule type="expression" dxfId="538" priority="50">
      <formula>#REF!&gt;0</formula>
    </cfRule>
    <cfRule type="expression" dxfId="537" priority="51">
      <formula>#REF!=3</formula>
    </cfRule>
    <cfRule type="expression" dxfId="536" priority="52">
      <formula>#REF!=2</formula>
    </cfRule>
    <cfRule type="expression" dxfId="535" priority="53">
      <formula>#REF!=1</formula>
    </cfRule>
  </conditionalFormatting>
  <conditionalFormatting sqref="I90:I92">
    <cfRule type="expression" dxfId="534" priority="40">
      <formula>#REF!&gt;0</formula>
    </cfRule>
    <cfRule type="expression" dxfId="533" priority="41">
      <formula>#REF!=3</formula>
    </cfRule>
    <cfRule type="expression" dxfId="532" priority="42">
      <formula>#REF!=2</formula>
    </cfRule>
    <cfRule type="expression" dxfId="531" priority="43">
      <formula>#REF!=1</formula>
    </cfRule>
  </conditionalFormatting>
  <conditionalFormatting sqref="I90:I92">
    <cfRule type="expression" dxfId="530" priority="44" stopIfTrue="1">
      <formula>I90=#REF!=FALSE</formula>
    </cfRule>
  </conditionalFormatting>
  <conditionalFormatting sqref="I94:I95">
    <cfRule type="expression" dxfId="529" priority="30">
      <formula>#REF!&gt;0</formula>
    </cfRule>
    <cfRule type="expression" dxfId="528" priority="31">
      <formula>#REF!=3</formula>
    </cfRule>
    <cfRule type="expression" dxfId="527" priority="32">
      <formula>#REF!=2</formula>
    </cfRule>
    <cfRule type="expression" dxfId="526" priority="33">
      <formula>#REF!=1</formula>
    </cfRule>
  </conditionalFormatting>
  <conditionalFormatting sqref="I94:I95">
    <cfRule type="expression" dxfId="525" priority="34" stopIfTrue="1">
      <formula>I94=#REF!=FALSE</formula>
    </cfRule>
  </conditionalFormatting>
  <conditionalFormatting sqref="I105:I108">
    <cfRule type="expression" dxfId="524" priority="29" stopIfTrue="1">
      <formula>I105=#REF!=FALSE</formula>
    </cfRule>
  </conditionalFormatting>
  <conditionalFormatting sqref="I105:I108">
    <cfRule type="expression" dxfId="523" priority="25">
      <formula>#REF!&gt;0</formula>
    </cfRule>
    <cfRule type="expression" dxfId="522" priority="26">
      <formula>#REF!=3</formula>
    </cfRule>
    <cfRule type="expression" dxfId="521" priority="27">
      <formula>#REF!=2</formula>
    </cfRule>
    <cfRule type="expression" dxfId="520" priority="28">
      <formula>#REF!=1</formula>
    </cfRule>
  </conditionalFormatting>
  <conditionalFormatting sqref="I102:I104">
    <cfRule type="expression" dxfId="519" priority="24" stopIfTrue="1">
      <formula>I102=#REF!=FALSE</formula>
    </cfRule>
  </conditionalFormatting>
  <conditionalFormatting sqref="I102:I104">
    <cfRule type="expression" dxfId="518" priority="20">
      <formula>#REF!&gt;0</formula>
    </cfRule>
    <cfRule type="expression" dxfId="517" priority="21">
      <formula>#REF!=3</formula>
    </cfRule>
    <cfRule type="expression" dxfId="516" priority="22">
      <formula>#REF!=2</formula>
    </cfRule>
    <cfRule type="expression" dxfId="515" priority="23">
      <formula>#REF!=1</formula>
    </cfRule>
  </conditionalFormatting>
  <conditionalFormatting sqref="I99:I101">
    <cfRule type="expression" dxfId="514" priority="19" stopIfTrue="1">
      <formula>I99=#REF!=FALSE</formula>
    </cfRule>
  </conditionalFormatting>
  <conditionalFormatting sqref="I99:I101">
    <cfRule type="expression" dxfId="513" priority="15">
      <formula>#REF!&gt;0</formula>
    </cfRule>
    <cfRule type="expression" dxfId="512" priority="16">
      <formula>#REF!=3</formula>
    </cfRule>
    <cfRule type="expression" dxfId="511" priority="17">
      <formula>#REF!=2</formula>
    </cfRule>
    <cfRule type="expression" dxfId="510" priority="18">
      <formula>#REF!=1</formula>
    </cfRule>
  </conditionalFormatting>
  <conditionalFormatting sqref="I96:I98">
    <cfRule type="expression" dxfId="509" priority="14" stopIfTrue="1">
      <formula>I96=#REF!=FALSE</formula>
    </cfRule>
  </conditionalFormatting>
  <conditionalFormatting sqref="I96:I98">
    <cfRule type="expression" dxfId="508" priority="10">
      <formula>#REF!&gt;0</formula>
    </cfRule>
    <cfRule type="expression" dxfId="507" priority="11">
      <formula>#REF!=3</formula>
    </cfRule>
    <cfRule type="expression" dxfId="506" priority="12">
      <formula>#REF!=2</formula>
    </cfRule>
    <cfRule type="expression" dxfId="505" priority="13">
      <formula>#REF!=1</formula>
    </cfRule>
  </conditionalFormatting>
  <conditionalFormatting sqref="I85">
    <cfRule type="expression" dxfId="504" priority="5">
      <formula>#REF!&gt;0</formula>
    </cfRule>
    <cfRule type="expression" dxfId="503" priority="6">
      <formula>#REF!=3</formula>
    </cfRule>
    <cfRule type="expression" dxfId="502" priority="7">
      <formula>#REF!=2</formula>
    </cfRule>
    <cfRule type="expression" dxfId="501" priority="8">
      <formula>#REF!=1</formula>
    </cfRule>
  </conditionalFormatting>
  <conditionalFormatting sqref="I85">
    <cfRule type="expression" dxfId="500" priority="9" stopIfTrue="1">
      <formula>I85=#REF!=FALSE</formula>
    </cfRule>
  </conditionalFormatting>
  <printOptions horizontalCentered="1"/>
  <pageMargins left="0.27559055118110237" right="0.27559055118110237" top="0.74803149606299213" bottom="0.74803149606299213" header="0.31496062992125984" footer="0.31496062992125984"/>
  <pageSetup paperSize="9" scale="72"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65" id="{D781D1C1-6C04-4F5B-9CD0-DAE71A55B284}">
            <xm:f>'\Dropbox\1MANI DOCUMENTI\2015_11novembris\1KAS_JAPILDA2015\2_DARBS_2015\[IZMAKSAS_2015_11.3(18.11.2015)(Baltex)JAUNAIS.xlsx]BAZE2015_EUR'!#REF!&gt;0</xm:f>
            <x14:dxf>
              <fill>
                <patternFill>
                  <bgColor rgb="FFFF0000"/>
                </patternFill>
              </fill>
            </x14:dxf>
          </x14:cfRule>
          <x14:cfRule type="expression" priority="66" id="{F20EAB56-3FAA-405E-AD0D-8386C543CF89}">
            <xm:f>'\Dropbox\1MANI DOCUMENTI\2015_11novembris\1KAS_JAPILDA2015\2_DARBS_2015\[IZMAKSAS_2015_11.3(18.11.2015)(Baltex)JAUNAIS.xlsx]BAZE2015_EUR'!#REF!=3</xm:f>
            <x14:dxf>
              <fill>
                <patternFill>
                  <bgColor rgb="FFFF0000"/>
                </patternFill>
              </fill>
            </x14:dxf>
          </x14:cfRule>
          <x14:cfRule type="expression" priority="67" id="{249DF02F-C7AA-4857-A098-DB1FE220D55D}">
            <xm:f>'\Dropbox\1MANI DOCUMENTI\2015_11novembris\1KAS_JAPILDA2015\2_DARBS_2015\[IZMAKSAS_2015_11.3(18.11.2015)(Baltex)JAUNAIS.xlsx]BAZE2015_EUR'!#REF!=2</xm:f>
            <x14:dxf>
              <fill>
                <patternFill>
                  <bgColor theme="6" tint="0.39994506668294322"/>
                </patternFill>
              </fill>
            </x14:dxf>
          </x14:cfRule>
          <x14:cfRule type="expression" priority="68" id="{9196E85F-D1DB-45B2-AF6D-4ECC44B6C372}">
            <xm:f>'\Dropbox\1MANI DOCUMENTI\2015_11novembris\1KAS_JAPILDA2015\2_DARBS_2015\[IZMAKSAS_2015_11.3(18.11.2015)(Baltex)JAUNAIS.xlsx]BAZE2015_EUR'!#REF!=1</xm:f>
            <x14:dxf>
              <fill>
                <patternFill>
                  <bgColor rgb="FFFFC000"/>
                </patternFill>
              </fill>
            </x14:dxf>
          </x14:cfRule>
          <xm:sqref>I78</xm:sqref>
        </x14:conditionalFormatting>
        <x14:conditionalFormatting xmlns:xm="http://schemas.microsoft.com/office/excel/2006/main">
          <x14:cfRule type="expression" priority="69" stopIfTrue="1" id="{7B5C3860-02D4-44FD-834A-A6457B3C8556}">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I78</xm:sqref>
        </x14:conditionalFormatting>
        <x14:conditionalFormatting xmlns:xm="http://schemas.microsoft.com/office/excel/2006/main">
          <x14:cfRule type="expression" priority="45" id="{D5F3151A-6013-4E2A-A7F8-520D81B2D20D}">
            <xm:f>'\Dropbox\1MANI DOCUMENTI\2015_11novembris\1KAS_JAPILDA2015\2_DARBS_2015\[IZMAKSAS_2015_11.3(18.11.2015)(Baltex)JAUNAIS.xlsx]BAZE2015_EUR'!#REF!&gt;0</xm:f>
            <x14:dxf>
              <fill>
                <patternFill>
                  <bgColor rgb="FFFF0000"/>
                </patternFill>
              </fill>
            </x14:dxf>
          </x14:cfRule>
          <x14:cfRule type="expression" priority="46" id="{E6863482-1DF0-4BF5-BFA6-5636EC335F71}">
            <xm:f>'\Dropbox\1MANI DOCUMENTI\2015_11novembris\1KAS_JAPILDA2015\2_DARBS_2015\[IZMAKSAS_2015_11.3(18.11.2015)(Baltex)JAUNAIS.xlsx]BAZE2015_EUR'!#REF!=3</xm:f>
            <x14:dxf>
              <fill>
                <patternFill>
                  <bgColor rgb="FFFF0000"/>
                </patternFill>
              </fill>
            </x14:dxf>
          </x14:cfRule>
          <x14:cfRule type="expression" priority="47" id="{D13A1FDC-C734-4F88-932B-C09DE207DCE0}">
            <xm:f>'\Dropbox\1MANI DOCUMENTI\2015_11novembris\1KAS_JAPILDA2015\2_DARBS_2015\[IZMAKSAS_2015_11.3(18.11.2015)(Baltex)JAUNAIS.xlsx]BAZE2015_EUR'!#REF!=2</xm:f>
            <x14:dxf>
              <fill>
                <patternFill>
                  <bgColor theme="6" tint="0.39994506668294322"/>
                </patternFill>
              </fill>
            </x14:dxf>
          </x14:cfRule>
          <x14:cfRule type="expression" priority="48" id="{AA07B97E-C25B-4124-8B9C-BAB7BFDAC51E}">
            <xm:f>'\Dropbox\1MANI DOCUMENTI\2015_11novembris\1KAS_JAPILDA2015\2_DARBS_2015\[IZMAKSAS_2015_11.3(18.11.2015)(Baltex)JAUNAIS.xlsx]BAZE2015_EUR'!#REF!=1</xm:f>
            <x14:dxf>
              <fill>
                <patternFill>
                  <bgColor rgb="FFFFC000"/>
                </patternFill>
              </fill>
            </x14:dxf>
          </x14:cfRule>
          <xm:sqref>I89</xm:sqref>
        </x14:conditionalFormatting>
        <x14:conditionalFormatting xmlns:xm="http://schemas.microsoft.com/office/excel/2006/main">
          <x14:cfRule type="expression" priority="49" stopIfTrue="1" id="{213D6500-33C8-48AD-875E-E3F3C0B093FC}">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I89</xm:sqref>
        </x14:conditionalFormatting>
        <x14:conditionalFormatting xmlns:xm="http://schemas.microsoft.com/office/excel/2006/main">
          <x14:cfRule type="expression" priority="35" id="{1080E92D-34A6-456B-83C8-B86CC4720066}">
            <xm:f>'\Dropbox\1MANI DOCUMENTI\2015_11novembris\1KAS_JAPILDA2015\2_DARBS_2015\[IZMAKSAS_2015_11.3(18.11.2015)(Baltex)JAUNAIS.xlsx]BAZE2015_EUR'!#REF!&gt;0</xm:f>
            <x14:dxf>
              <fill>
                <patternFill>
                  <bgColor rgb="FFFF0000"/>
                </patternFill>
              </fill>
            </x14:dxf>
          </x14:cfRule>
          <x14:cfRule type="expression" priority="36" id="{60F0A055-CFF6-4726-ABD1-6AD388111038}">
            <xm:f>'\Dropbox\1MANI DOCUMENTI\2015_11novembris\1KAS_JAPILDA2015\2_DARBS_2015\[IZMAKSAS_2015_11.3(18.11.2015)(Baltex)JAUNAIS.xlsx]BAZE2015_EUR'!#REF!=3</xm:f>
            <x14:dxf>
              <fill>
                <patternFill>
                  <bgColor rgb="FFFF0000"/>
                </patternFill>
              </fill>
            </x14:dxf>
          </x14:cfRule>
          <x14:cfRule type="expression" priority="37" id="{01E7B75E-EF74-43CD-9F72-4A42924E507C}">
            <xm:f>'\Dropbox\1MANI DOCUMENTI\2015_11novembris\1KAS_JAPILDA2015\2_DARBS_2015\[IZMAKSAS_2015_11.3(18.11.2015)(Baltex)JAUNAIS.xlsx]BAZE2015_EUR'!#REF!=2</xm:f>
            <x14:dxf>
              <fill>
                <patternFill>
                  <bgColor theme="6" tint="0.39994506668294322"/>
                </patternFill>
              </fill>
            </x14:dxf>
          </x14:cfRule>
          <x14:cfRule type="expression" priority="38" id="{14528A25-C986-4879-B3B5-71E460494D4E}">
            <xm:f>'\Dropbox\1MANI DOCUMENTI\2015_11novembris\1KAS_JAPILDA2015\2_DARBS_2015\[IZMAKSAS_2015_11.3(18.11.2015)(Baltex)JAUNAIS.xlsx]BAZE2015_EUR'!#REF!=1</xm:f>
            <x14:dxf>
              <fill>
                <patternFill>
                  <bgColor rgb="FFFFC000"/>
                </patternFill>
              </fill>
            </x14:dxf>
          </x14:cfRule>
          <xm:sqref>I93</xm:sqref>
        </x14:conditionalFormatting>
        <x14:conditionalFormatting xmlns:xm="http://schemas.microsoft.com/office/excel/2006/main">
          <x14:cfRule type="expression" priority="39" stopIfTrue="1" id="{FE812965-47DD-4B5F-93C6-64741ACBCC1B}">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I93</xm:sqref>
        </x14:conditionalFormatting>
        <x14:conditionalFormatting xmlns:xm="http://schemas.microsoft.com/office/excel/2006/main">
          <x14:cfRule type="expression" priority="4" stopIfTrue="1" id="{24E24CED-FD8E-43F1-8932-651972FBC113}">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I79</xm:sqref>
        </x14:conditionalFormatting>
        <x14:conditionalFormatting xmlns:xm="http://schemas.microsoft.com/office/excel/2006/main">
          <x14:cfRule type="expression" priority="1" stopIfTrue="1" id="{CC01C558-E00A-4324-9F95-50A8C8E3F671}">
            <xm:f>'\Dropbox\1MANI DOCUMENTI\2015_12decembris\Baltex_Group\Babite(AivarsMaurins)\[Baltex_Babite soc centrs_VCD4.xlsx]BK'!#REF!&gt;0</xm:f>
            <x14:dxf>
              <fill>
                <patternFill>
                  <bgColor indexed="10"/>
                </patternFill>
              </fill>
            </x14:dxf>
          </x14:cfRule>
          <x14:cfRule type="expression" priority="2" stopIfTrue="1" id="{40864C64-CF5C-4493-9843-038E94140F19}">
            <xm:f>'\Dropbox\1MANI DOCUMENTI\2015_12decembris\Baltex_Group\Babite(AivarsMaurins)\[Baltex_Babite soc centrs_VCD4.xlsx]BK'!#REF!=3</xm:f>
            <x14:dxf>
              <fill>
                <patternFill>
                  <bgColor indexed="10"/>
                </patternFill>
              </fill>
            </x14:dxf>
          </x14:cfRule>
          <x14:cfRule type="expression" priority="3" stopIfTrue="1" id="{928AA5AD-C7B0-48D3-9EFE-7FFC04A2B942}">
            <xm:f>'\Dropbox\1MANI DOCUMENTI\2015_12decembris\Baltex_Group\Babite(AivarsMaurins)\[Baltex_Babite soc centrs_VCD4.xlsx]BK'!#REF!=2</xm:f>
            <x14:dxf>
              <fill>
                <patternFill>
                  <bgColor indexed="11"/>
                </patternFill>
              </fill>
            </x14:dxf>
          </x14:cfRule>
          <xm:sqref>I79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195"/>
  <sheetViews>
    <sheetView showZeros="0" view="pageBreakPreview" topLeftCell="A58" zoomScale="90" zoomScaleNormal="100" zoomScaleSheetLayoutView="90" workbookViewId="0">
      <selection activeCell="B13" sqref="B13:E13"/>
    </sheetView>
  </sheetViews>
  <sheetFormatPr defaultRowHeight="14.25" x14ac:dyDescent="0.2"/>
  <cols>
    <col min="1" max="1" width="9" style="288" customWidth="1"/>
    <col min="2" max="2" width="9.42578125" style="49" customWidth="1"/>
    <col min="3" max="3" width="40.28515625" style="49" customWidth="1"/>
    <col min="4" max="4" width="8.140625" style="49" customWidth="1"/>
    <col min="5" max="11" width="9.140625" style="49"/>
    <col min="12" max="12" width="11.5703125" style="49" customWidth="1"/>
    <col min="13" max="13" width="12.28515625" style="49" customWidth="1"/>
    <col min="14" max="14" width="12.7109375" style="49" customWidth="1"/>
    <col min="15" max="15" width="11.5703125" style="49" customWidth="1"/>
    <col min="16" max="16" width="12.85546875" style="49" customWidth="1"/>
    <col min="17" max="16384" width="9.140625" style="49"/>
  </cols>
  <sheetData>
    <row r="1" spans="1:16" s="41" customFormat="1" ht="15" x14ac:dyDescent="0.25">
      <c r="A1" s="282"/>
      <c r="E1" s="43"/>
      <c r="F1" s="43"/>
      <c r="G1" s="95" t="s">
        <v>37</v>
      </c>
      <c r="H1" s="122" t="str">
        <f>kops1!B27</f>
        <v>1,7</v>
      </c>
    </row>
    <row r="2" spans="1:16" s="41" customFormat="1" ht="15" x14ac:dyDescent="0.25">
      <c r="A2" s="504" t="str">
        <f>C13</f>
        <v>Jumti</v>
      </c>
      <c r="B2" s="504"/>
      <c r="C2" s="504"/>
      <c r="D2" s="504"/>
      <c r="E2" s="504"/>
      <c r="F2" s="504"/>
      <c r="G2" s="504"/>
      <c r="H2" s="504"/>
      <c r="I2" s="504"/>
      <c r="J2" s="504"/>
      <c r="K2" s="504"/>
      <c r="L2" s="504"/>
      <c r="M2" s="504"/>
      <c r="N2" s="504"/>
      <c r="O2" s="504"/>
      <c r="P2" s="504"/>
    </row>
    <row r="3" spans="1:16" ht="15" x14ac:dyDescent="0.2">
      <c r="A3" s="283"/>
      <c r="B3" s="47"/>
      <c r="C3" s="47" t="s">
        <v>38</v>
      </c>
      <c r="D3" s="505" t="s">
        <v>94</v>
      </c>
      <c r="E3" s="505"/>
      <c r="F3" s="505"/>
      <c r="G3" s="505"/>
      <c r="H3" s="505"/>
      <c r="I3" s="505"/>
      <c r="J3" s="505"/>
      <c r="K3" s="505"/>
      <c r="L3" s="505"/>
      <c r="M3" s="505"/>
      <c r="N3" s="505"/>
      <c r="O3" s="505"/>
      <c r="P3" s="505"/>
    </row>
    <row r="4" spans="1:16" ht="15" x14ac:dyDescent="0.2">
      <c r="A4" s="283"/>
      <c r="B4" s="47"/>
      <c r="C4" s="47" t="s">
        <v>39</v>
      </c>
      <c r="D4" s="505" t="s">
        <v>95</v>
      </c>
      <c r="E4" s="505"/>
      <c r="F4" s="505"/>
      <c r="G4" s="505"/>
      <c r="H4" s="505"/>
      <c r="I4" s="505"/>
      <c r="J4" s="505"/>
      <c r="K4" s="505"/>
      <c r="L4" s="505"/>
      <c r="M4" s="505"/>
      <c r="N4" s="505"/>
      <c r="O4" s="505"/>
      <c r="P4" s="505"/>
    </row>
    <row r="5" spans="1:16" ht="15" x14ac:dyDescent="0.2">
      <c r="A5" s="283"/>
      <c r="B5" s="47"/>
      <c r="C5" s="47" t="s">
        <v>40</v>
      </c>
      <c r="D5" s="505" t="s">
        <v>96</v>
      </c>
      <c r="E5" s="505"/>
      <c r="F5" s="505"/>
      <c r="G5" s="505"/>
      <c r="H5" s="505"/>
      <c r="I5" s="505"/>
      <c r="J5" s="505"/>
      <c r="K5" s="505"/>
      <c r="L5" s="505"/>
      <c r="M5" s="505"/>
      <c r="N5" s="505"/>
      <c r="O5" s="505"/>
      <c r="P5" s="505"/>
    </row>
    <row r="6" spans="1:16" x14ac:dyDescent="0.2">
      <c r="A6" s="283"/>
      <c r="B6" s="47"/>
      <c r="C6" s="47" t="s">
        <v>100</v>
      </c>
      <c r="D6" s="50" t="s">
        <v>97</v>
      </c>
      <c r="E6" s="51"/>
      <c r="F6" s="51"/>
      <c r="G6" s="51"/>
      <c r="H6" s="51"/>
      <c r="I6" s="51"/>
      <c r="J6" s="51"/>
      <c r="K6" s="51"/>
      <c r="L6" s="51"/>
      <c r="M6" s="51"/>
      <c r="N6" s="51"/>
      <c r="O6" s="51"/>
      <c r="P6" s="53"/>
    </row>
    <row r="7" spans="1:16" x14ac:dyDescent="0.2">
      <c r="A7" s="356" t="s">
        <v>745</v>
      </c>
      <c r="B7" s="96"/>
      <c r="D7" s="50"/>
      <c r="E7" s="50"/>
      <c r="F7" s="50"/>
      <c r="G7" s="50"/>
      <c r="H7" s="50"/>
      <c r="I7" s="50"/>
      <c r="J7" s="50"/>
      <c r="K7" s="51"/>
      <c r="L7" s="51"/>
      <c r="M7" s="51"/>
      <c r="N7" s="51"/>
      <c r="O7" s="47" t="s">
        <v>41</v>
      </c>
      <c r="P7" s="56">
        <f>P185</f>
        <v>0</v>
      </c>
    </row>
    <row r="8" spans="1:16" x14ac:dyDescent="0.2">
      <c r="A8" s="284"/>
      <c r="B8" s="57"/>
      <c r="D8" s="58"/>
      <c r="E8" s="51"/>
      <c r="F8" s="51"/>
      <c r="G8" s="51"/>
      <c r="H8" s="51"/>
      <c r="I8" s="51"/>
      <c r="J8" s="51"/>
      <c r="K8" s="51"/>
      <c r="N8" s="51"/>
      <c r="O8" s="51"/>
      <c r="P8" s="53"/>
    </row>
    <row r="9" spans="1:16" ht="15" customHeight="1" x14ac:dyDescent="0.2">
      <c r="A9" s="285"/>
      <c r="B9" s="59"/>
      <c r="J9" s="62"/>
      <c r="K9" s="62"/>
      <c r="L9" s="506" t="s">
        <v>736</v>
      </c>
      <c r="M9" s="506"/>
      <c r="N9" s="506"/>
      <c r="O9" s="506"/>
      <c r="P9" s="62"/>
    </row>
    <row r="10" spans="1:16" ht="15" x14ac:dyDescent="0.2">
      <c r="A10" s="285"/>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64">
        <v>0</v>
      </c>
      <c r="B13" s="457"/>
      <c r="C13" s="458" t="str">
        <f>kops1!C27</f>
        <v>Jumti</v>
      </c>
      <c r="D13" s="459"/>
      <c r="E13" s="482"/>
      <c r="F13" s="71"/>
      <c r="G13" s="71"/>
      <c r="H13" s="69">
        <f t="shared" ref="H13" si="0">ROUND(G13*F13,2)</f>
        <v>0</v>
      </c>
      <c r="I13" s="70"/>
      <c r="J13" s="70"/>
      <c r="K13" s="70">
        <f t="shared" ref="K13" si="1">SUM(H13:J13)</f>
        <v>0</v>
      </c>
      <c r="L13" s="71">
        <f t="shared" ref="L13" si="2">ROUND(F13*E13,2)</f>
        <v>0</v>
      </c>
      <c r="M13" s="70">
        <f t="shared" ref="M13" si="3">ROUND(H13*E13,2)</f>
        <v>0</v>
      </c>
      <c r="N13" s="70">
        <f t="shared" ref="N13" si="4">ROUND(I13*E13,2)</f>
        <v>0</v>
      </c>
      <c r="O13" s="70">
        <f t="shared" ref="O13" si="5">ROUND(J13*E13,2)</f>
        <v>0</v>
      </c>
      <c r="P13" s="72">
        <f t="shared" ref="P13" si="6">SUM(M13:O13)</f>
        <v>0</v>
      </c>
    </row>
    <row r="14" spans="1:16" s="61" customFormat="1" x14ac:dyDescent="0.2">
      <c r="A14" s="202">
        <v>0</v>
      </c>
      <c r="B14" s="144"/>
      <c r="C14" s="203" t="s">
        <v>339</v>
      </c>
      <c r="D14" s="204"/>
      <c r="E14" s="205"/>
      <c r="F14" s="148">
        <v>0</v>
      </c>
      <c r="G14" s="148">
        <v>0</v>
      </c>
      <c r="H14" s="206"/>
      <c r="I14" s="206"/>
      <c r="J14" s="206"/>
      <c r="K14" s="75">
        <f>SUM(H14:J14)</f>
        <v>0</v>
      </c>
      <c r="L14" s="76">
        <f>ROUND(F14*E14,2)</f>
        <v>0</v>
      </c>
      <c r="M14" s="75">
        <f>ROUND(H14*E14,2)</f>
        <v>0</v>
      </c>
      <c r="N14" s="75">
        <f>ROUND(I14*E14,2)</f>
        <v>0</v>
      </c>
      <c r="O14" s="75">
        <f>ROUND(J14*E14,2)</f>
        <v>0</v>
      </c>
      <c r="P14" s="77">
        <f>SUM(M14:O14)</f>
        <v>0</v>
      </c>
    </row>
    <row r="15" spans="1:16" s="61" customFormat="1" ht="15.75" x14ac:dyDescent="0.2">
      <c r="A15" s="254">
        <v>0</v>
      </c>
      <c r="B15" s="231"/>
      <c r="C15" s="255" t="s">
        <v>360</v>
      </c>
      <c r="D15" s="256"/>
      <c r="E15" s="257"/>
      <c r="F15" s="212"/>
      <c r="G15" s="212"/>
      <c r="H15" s="258">
        <f t="shared" ref="H15" si="7">ROUND(F15*G15,2)</f>
        <v>0</v>
      </c>
      <c r="I15" s="258"/>
      <c r="J15" s="258"/>
      <c r="K15" s="75">
        <f t="shared" ref="K15:K78" si="8">SUM(H15:J15)</f>
        <v>0</v>
      </c>
      <c r="L15" s="76">
        <f t="shared" ref="L15:L78" si="9">ROUND(F15*E15,2)</f>
        <v>0</v>
      </c>
      <c r="M15" s="75">
        <f t="shared" ref="M15:M78" si="10">ROUND(H15*E15,2)</f>
        <v>0</v>
      </c>
      <c r="N15" s="75">
        <f t="shared" ref="N15:N78" si="11">ROUND(I15*E15,2)</f>
        <v>0</v>
      </c>
      <c r="O15" s="75">
        <f t="shared" ref="O15:O78" si="12">ROUND(J15*E15,2)</f>
        <v>0</v>
      </c>
      <c r="P15" s="77">
        <f t="shared" ref="P15:P78" si="13">SUM(M15:O15)</f>
        <v>0</v>
      </c>
    </row>
    <row r="16" spans="1:16" s="61" customFormat="1" x14ac:dyDescent="0.2">
      <c r="A16" s="202">
        <v>0</v>
      </c>
      <c r="B16" s="144"/>
      <c r="C16" s="207" t="s">
        <v>361</v>
      </c>
      <c r="D16" s="204"/>
      <c r="E16" s="205"/>
      <c r="F16" s="148"/>
      <c r="G16" s="148"/>
      <c r="H16" s="217"/>
      <c r="I16" s="217"/>
      <c r="J16" s="217"/>
      <c r="K16" s="75">
        <f t="shared" si="8"/>
        <v>0</v>
      </c>
      <c r="L16" s="76">
        <f t="shared" si="9"/>
        <v>0</v>
      </c>
      <c r="M16" s="75">
        <f t="shared" si="10"/>
        <v>0</v>
      </c>
      <c r="N16" s="75">
        <f t="shared" si="11"/>
        <v>0</v>
      </c>
      <c r="O16" s="75">
        <f t="shared" si="12"/>
        <v>0</v>
      </c>
      <c r="P16" s="77">
        <f t="shared" si="13"/>
        <v>0</v>
      </c>
    </row>
    <row r="17" spans="1:16" s="61" customFormat="1" x14ac:dyDescent="0.2">
      <c r="A17" s="208">
        <v>1</v>
      </c>
      <c r="B17" s="209" t="s">
        <v>246</v>
      </c>
      <c r="C17" s="259" t="s">
        <v>362</v>
      </c>
      <c r="D17" s="211" t="s">
        <v>207</v>
      </c>
      <c r="E17" s="205">
        <v>670.1</v>
      </c>
      <c r="F17" s="212"/>
      <c r="G17" s="212"/>
      <c r="H17" s="258"/>
      <c r="I17" s="258"/>
      <c r="J17" s="258"/>
      <c r="K17" s="75">
        <f t="shared" si="8"/>
        <v>0</v>
      </c>
      <c r="L17" s="76">
        <f t="shared" si="9"/>
        <v>0</v>
      </c>
      <c r="M17" s="75">
        <f t="shared" si="10"/>
        <v>0</v>
      </c>
      <c r="N17" s="75">
        <f t="shared" si="11"/>
        <v>0</v>
      </c>
      <c r="O17" s="75">
        <f t="shared" si="12"/>
        <v>0</v>
      </c>
      <c r="P17" s="77">
        <f t="shared" si="13"/>
        <v>0</v>
      </c>
    </row>
    <row r="18" spans="1:16" s="61" customFormat="1" ht="15" x14ac:dyDescent="0.2">
      <c r="A18" s="208">
        <v>0</v>
      </c>
      <c r="B18" s="209">
        <v>0</v>
      </c>
      <c r="C18" s="260" t="s">
        <v>363</v>
      </c>
      <c r="D18" s="211" t="s">
        <v>207</v>
      </c>
      <c r="E18" s="205">
        <f>1.1*E17</f>
        <v>737.11000000000013</v>
      </c>
      <c r="F18" s="212"/>
      <c r="G18" s="212"/>
      <c r="H18" s="258"/>
      <c r="I18" s="258"/>
      <c r="J18" s="258"/>
      <c r="K18" s="75">
        <f t="shared" si="8"/>
        <v>0</v>
      </c>
      <c r="L18" s="76">
        <f t="shared" si="9"/>
        <v>0</v>
      </c>
      <c r="M18" s="75">
        <f t="shared" si="10"/>
        <v>0</v>
      </c>
      <c r="N18" s="75">
        <f t="shared" si="11"/>
        <v>0</v>
      </c>
      <c r="O18" s="75">
        <f t="shared" si="12"/>
        <v>0</v>
      </c>
      <c r="P18" s="77">
        <f t="shared" si="13"/>
        <v>0</v>
      </c>
    </row>
    <row r="19" spans="1:16" s="61" customFormat="1" ht="15" x14ac:dyDescent="0.2">
      <c r="A19" s="208">
        <v>2</v>
      </c>
      <c r="B19" s="209" t="s">
        <v>246</v>
      </c>
      <c r="C19" s="230" t="s">
        <v>364</v>
      </c>
      <c r="D19" s="211" t="s">
        <v>207</v>
      </c>
      <c r="E19" s="205">
        <f>E17</f>
        <v>670.1</v>
      </c>
      <c r="F19" s="212"/>
      <c r="G19" s="212"/>
      <c r="H19" s="258"/>
      <c r="I19" s="258"/>
      <c r="J19" s="258"/>
      <c r="K19" s="75">
        <f t="shared" si="8"/>
        <v>0</v>
      </c>
      <c r="L19" s="76">
        <f t="shared" si="9"/>
        <v>0</v>
      </c>
      <c r="M19" s="75">
        <f t="shared" si="10"/>
        <v>0</v>
      </c>
      <c r="N19" s="75">
        <f t="shared" si="11"/>
        <v>0</v>
      </c>
      <c r="O19" s="75">
        <f t="shared" si="12"/>
        <v>0</v>
      </c>
      <c r="P19" s="77">
        <f t="shared" si="13"/>
        <v>0</v>
      </c>
    </row>
    <row r="20" spans="1:16" s="61" customFormat="1" ht="15" x14ac:dyDescent="0.2">
      <c r="A20" s="208">
        <v>0</v>
      </c>
      <c r="B20" s="209">
        <v>0</v>
      </c>
      <c r="C20" s="260" t="s">
        <v>365</v>
      </c>
      <c r="D20" s="211" t="s">
        <v>207</v>
      </c>
      <c r="E20" s="205">
        <f>1.05*E19</f>
        <v>703.60500000000002</v>
      </c>
      <c r="F20" s="212"/>
      <c r="G20" s="212"/>
      <c r="H20" s="261"/>
      <c r="I20" s="261"/>
      <c r="J20" s="261"/>
      <c r="K20" s="75">
        <f t="shared" si="8"/>
        <v>0</v>
      </c>
      <c r="L20" s="76">
        <f t="shared" si="9"/>
        <v>0</v>
      </c>
      <c r="M20" s="75">
        <f t="shared" si="10"/>
        <v>0</v>
      </c>
      <c r="N20" s="75">
        <f t="shared" si="11"/>
        <v>0</v>
      </c>
      <c r="O20" s="75">
        <f t="shared" si="12"/>
        <v>0</v>
      </c>
      <c r="P20" s="77">
        <f t="shared" si="13"/>
        <v>0</v>
      </c>
    </row>
    <row r="21" spans="1:16" s="61" customFormat="1" ht="15" x14ac:dyDescent="0.2">
      <c r="A21" s="208">
        <v>3</v>
      </c>
      <c r="B21" s="209" t="s">
        <v>246</v>
      </c>
      <c r="C21" s="230" t="s">
        <v>366</v>
      </c>
      <c r="D21" s="211" t="s">
        <v>207</v>
      </c>
      <c r="E21" s="205">
        <f>E17</f>
        <v>670.1</v>
      </c>
      <c r="F21" s="212"/>
      <c r="G21" s="212"/>
      <c r="H21" s="258"/>
      <c r="I21" s="258"/>
      <c r="J21" s="258"/>
      <c r="K21" s="75">
        <f t="shared" si="8"/>
        <v>0</v>
      </c>
      <c r="L21" s="76">
        <f t="shared" si="9"/>
        <v>0</v>
      </c>
      <c r="M21" s="75">
        <f t="shared" si="10"/>
        <v>0</v>
      </c>
      <c r="N21" s="75">
        <f t="shared" si="11"/>
        <v>0</v>
      </c>
      <c r="O21" s="75">
        <f t="shared" si="12"/>
        <v>0</v>
      </c>
      <c r="P21" s="77">
        <f t="shared" si="13"/>
        <v>0</v>
      </c>
    </row>
    <row r="22" spans="1:16" s="61" customFormat="1" ht="15" x14ac:dyDescent="0.2">
      <c r="A22" s="208">
        <v>0</v>
      </c>
      <c r="B22" s="209">
        <v>0</v>
      </c>
      <c r="C22" s="260" t="s">
        <v>367</v>
      </c>
      <c r="D22" s="211" t="s">
        <v>207</v>
      </c>
      <c r="E22" s="205">
        <f>1.05*E21</f>
        <v>703.60500000000002</v>
      </c>
      <c r="F22" s="212"/>
      <c r="G22" s="212"/>
      <c r="H22" s="261"/>
      <c r="I22" s="261"/>
      <c r="J22" s="261"/>
      <c r="K22" s="75">
        <f t="shared" si="8"/>
        <v>0</v>
      </c>
      <c r="L22" s="76">
        <f t="shared" si="9"/>
        <v>0</v>
      </c>
      <c r="M22" s="75">
        <f t="shared" si="10"/>
        <v>0</v>
      </c>
      <c r="N22" s="75">
        <f t="shared" si="11"/>
        <v>0</v>
      </c>
      <c r="O22" s="75">
        <f t="shared" si="12"/>
        <v>0</v>
      </c>
      <c r="P22" s="77">
        <f t="shared" si="13"/>
        <v>0</v>
      </c>
    </row>
    <row r="23" spans="1:16" s="61" customFormat="1" ht="15" x14ac:dyDescent="0.2">
      <c r="A23" s="208">
        <v>4</v>
      </c>
      <c r="B23" s="209" t="s">
        <v>246</v>
      </c>
      <c r="C23" s="230" t="s">
        <v>368</v>
      </c>
      <c r="D23" s="211" t="s">
        <v>207</v>
      </c>
      <c r="E23" s="205">
        <f>E19</f>
        <v>670.1</v>
      </c>
      <c r="F23" s="212"/>
      <c r="G23" s="212"/>
      <c r="H23" s="258"/>
      <c r="I23" s="258"/>
      <c r="J23" s="258"/>
      <c r="K23" s="75">
        <f t="shared" si="8"/>
        <v>0</v>
      </c>
      <c r="L23" s="76">
        <f t="shared" si="9"/>
        <v>0</v>
      </c>
      <c r="M23" s="75">
        <f t="shared" si="10"/>
        <v>0</v>
      </c>
      <c r="N23" s="75">
        <f t="shared" si="11"/>
        <v>0</v>
      </c>
      <c r="O23" s="75">
        <f t="shared" si="12"/>
        <v>0</v>
      </c>
      <c r="P23" s="77">
        <f t="shared" si="13"/>
        <v>0</v>
      </c>
    </row>
    <row r="24" spans="1:16" s="61" customFormat="1" ht="15" x14ac:dyDescent="0.2">
      <c r="A24" s="208">
        <v>0</v>
      </c>
      <c r="B24" s="209">
        <v>0</v>
      </c>
      <c r="C24" s="260" t="s">
        <v>367</v>
      </c>
      <c r="D24" s="211" t="s">
        <v>207</v>
      </c>
      <c r="E24" s="205">
        <f>1.05*E23</f>
        <v>703.60500000000002</v>
      </c>
      <c r="F24" s="212"/>
      <c r="G24" s="212"/>
      <c r="H24" s="261"/>
      <c r="I24" s="261"/>
      <c r="J24" s="261"/>
      <c r="K24" s="75">
        <f t="shared" si="8"/>
        <v>0</v>
      </c>
      <c r="L24" s="76">
        <f t="shared" si="9"/>
        <v>0</v>
      </c>
      <c r="M24" s="75">
        <f t="shared" si="10"/>
        <v>0</v>
      </c>
      <c r="N24" s="75">
        <f t="shared" si="11"/>
        <v>0</v>
      </c>
      <c r="O24" s="75">
        <f t="shared" si="12"/>
        <v>0</v>
      </c>
      <c r="P24" s="77">
        <f t="shared" si="13"/>
        <v>0</v>
      </c>
    </row>
    <row r="25" spans="1:16" s="61" customFormat="1" ht="30" x14ac:dyDescent="0.2">
      <c r="A25" s="208">
        <v>5</v>
      </c>
      <c r="B25" s="209" t="s">
        <v>246</v>
      </c>
      <c r="C25" s="230" t="s">
        <v>369</v>
      </c>
      <c r="D25" s="211" t="s">
        <v>207</v>
      </c>
      <c r="E25" s="205">
        <f>E21</f>
        <v>670.1</v>
      </c>
      <c r="F25" s="212"/>
      <c r="G25" s="212"/>
      <c r="H25" s="258"/>
      <c r="I25" s="258"/>
      <c r="J25" s="258"/>
      <c r="K25" s="75">
        <f t="shared" si="8"/>
        <v>0</v>
      </c>
      <c r="L25" s="76">
        <f t="shared" si="9"/>
        <v>0</v>
      </c>
      <c r="M25" s="75">
        <f t="shared" si="10"/>
        <v>0</v>
      </c>
      <c r="N25" s="75">
        <f t="shared" si="11"/>
        <v>0</v>
      </c>
      <c r="O25" s="75">
        <f t="shared" si="12"/>
        <v>0</v>
      </c>
      <c r="P25" s="77">
        <f t="shared" si="13"/>
        <v>0</v>
      </c>
    </row>
    <row r="26" spans="1:16" s="61" customFormat="1" ht="15" x14ac:dyDescent="0.2">
      <c r="A26" s="208">
        <v>0</v>
      </c>
      <c r="B26" s="209">
        <v>0</v>
      </c>
      <c r="C26" s="260" t="s">
        <v>370</v>
      </c>
      <c r="D26" s="211" t="s">
        <v>207</v>
      </c>
      <c r="E26" s="205">
        <f>1.05*E25</f>
        <v>703.60500000000002</v>
      </c>
      <c r="F26" s="212"/>
      <c r="G26" s="212"/>
      <c r="H26" s="258"/>
      <c r="I26" s="258"/>
      <c r="J26" s="258"/>
      <c r="K26" s="75">
        <f t="shared" si="8"/>
        <v>0</v>
      </c>
      <c r="L26" s="76">
        <f t="shared" si="9"/>
        <v>0</v>
      </c>
      <c r="M26" s="75">
        <f t="shared" si="10"/>
        <v>0</v>
      </c>
      <c r="N26" s="75">
        <f t="shared" si="11"/>
        <v>0</v>
      </c>
      <c r="O26" s="75">
        <f t="shared" si="12"/>
        <v>0</v>
      </c>
      <c r="P26" s="77">
        <f t="shared" si="13"/>
        <v>0</v>
      </c>
    </row>
    <row r="27" spans="1:16" s="61" customFormat="1" ht="15" x14ac:dyDescent="0.2">
      <c r="A27" s="208">
        <v>6</v>
      </c>
      <c r="B27" s="209" t="s">
        <v>371</v>
      </c>
      <c r="C27" s="230" t="s">
        <v>372</v>
      </c>
      <c r="D27" s="211" t="s">
        <v>207</v>
      </c>
      <c r="E27" s="205">
        <f>E17</f>
        <v>670.1</v>
      </c>
      <c r="F27" s="212"/>
      <c r="G27" s="212"/>
      <c r="H27" s="258"/>
      <c r="I27" s="258"/>
      <c r="J27" s="258"/>
      <c r="K27" s="75">
        <f t="shared" si="8"/>
        <v>0</v>
      </c>
      <c r="L27" s="76">
        <f t="shared" si="9"/>
        <v>0</v>
      </c>
      <c r="M27" s="75">
        <f t="shared" si="10"/>
        <v>0</v>
      </c>
      <c r="N27" s="75">
        <f t="shared" si="11"/>
        <v>0</v>
      </c>
      <c r="O27" s="75">
        <f t="shared" si="12"/>
        <v>0</v>
      </c>
      <c r="P27" s="77">
        <f t="shared" si="13"/>
        <v>0</v>
      </c>
    </row>
    <row r="28" spans="1:16" s="61" customFormat="1" ht="15" x14ac:dyDescent="0.2">
      <c r="A28" s="208">
        <v>0</v>
      </c>
      <c r="B28" s="209">
        <v>0</v>
      </c>
      <c r="C28" s="260" t="s">
        <v>373</v>
      </c>
      <c r="D28" s="211" t="s">
        <v>207</v>
      </c>
      <c r="E28" s="205">
        <f>1.17*E27</f>
        <v>784.01699999999994</v>
      </c>
      <c r="F28" s="212"/>
      <c r="G28" s="212"/>
      <c r="H28" s="258"/>
      <c r="I28" s="258"/>
      <c r="J28" s="258"/>
      <c r="K28" s="75">
        <f t="shared" si="8"/>
        <v>0</v>
      </c>
      <c r="L28" s="76">
        <f t="shared" si="9"/>
        <v>0</v>
      </c>
      <c r="M28" s="75">
        <f t="shared" si="10"/>
        <v>0</v>
      </c>
      <c r="N28" s="75">
        <f t="shared" si="11"/>
        <v>0</v>
      </c>
      <c r="O28" s="75">
        <f t="shared" si="12"/>
        <v>0</v>
      </c>
      <c r="P28" s="77">
        <f t="shared" si="13"/>
        <v>0</v>
      </c>
    </row>
    <row r="29" spans="1:16" s="61" customFormat="1" x14ac:dyDescent="0.2">
      <c r="A29" s="208">
        <v>7</v>
      </c>
      <c r="B29" s="209" t="s">
        <v>371</v>
      </c>
      <c r="C29" s="259" t="s">
        <v>374</v>
      </c>
      <c r="D29" s="211" t="s">
        <v>207</v>
      </c>
      <c r="E29" s="205">
        <f>187*0.5</f>
        <v>93.5</v>
      </c>
      <c r="F29" s="212"/>
      <c r="G29" s="212"/>
      <c r="H29" s="258"/>
      <c r="I29" s="258"/>
      <c r="J29" s="258"/>
      <c r="K29" s="75">
        <f t="shared" si="8"/>
        <v>0</v>
      </c>
      <c r="L29" s="76">
        <f t="shared" si="9"/>
        <v>0</v>
      </c>
      <c r="M29" s="75">
        <f t="shared" si="10"/>
        <v>0</v>
      </c>
      <c r="N29" s="75">
        <f t="shared" si="11"/>
        <v>0</v>
      </c>
      <c r="O29" s="75">
        <f t="shared" si="12"/>
        <v>0</v>
      </c>
      <c r="P29" s="77">
        <f t="shared" si="13"/>
        <v>0</v>
      </c>
    </row>
    <row r="30" spans="1:16" s="61" customFormat="1" ht="15" x14ac:dyDescent="0.2">
      <c r="A30" s="208">
        <v>0</v>
      </c>
      <c r="B30" s="209">
        <v>0</v>
      </c>
      <c r="C30" s="260" t="s">
        <v>373</v>
      </c>
      <c r="D30" s="211" t="s">
        <v>207</v>
      </c>
      <c r="E30" s="205">
        <f>1.17*E29</f>
        <v>109.395</v>
      </c>
      <c r="F30" s="212"/>
      <c r="G30" s="212"/>
      <c r="H30" s="258"/>
      <c r="I30" s="258"/>
      <c r="J30" s="258"/>
      <c r="K30" s="75">
        <f t="shared" si="8"/>
        <v>0</v>
      </c>
      <c r="L30" s="76">
        <f t="shared" si="9"/>
        <v>0</v>
      </c>
      <c r="M30" s="75">
        <f t="shared" si="10"/>
        <v>0</v>
      </c>
      <c r="N30" s="75">
        <f t="shared" si="11"/>
        <v>0</v>
      </c>
      <c r="O30" s="75">
        <f t="shared" si="12"/>
        <v>0</v>
      </c>
      <c r="P30" s="77">
        <f t="shared" si="13"/>
        <v>0</v>
      </c>
    </row>
    <row r="31" spans="1:16" s="61" customFormat="1" x14ac:dyDescent="0.2">
      <c r="A31" s="208">
        <v>8</v>
      </c>
      <c r="B31" s="209" t="s">
        <v>371</v>
      </c>
      <c r="C31" s="259" t="s">
        <v>375</v>
      </c>
      <c r="D31" s="211" t="s">
        <v>62</v>
      </c>
      <c r="E31" s="205">
        <v>8</v>
      </c>
      <c r="F31" s="212"/>
      <c r="G31" s="212"/>
      <c r="H31" s="258"/>
      <c r="I31" s="258"/>
      <c r="J31" s="258"/>
      <c r="K31" s="75">
        <f t="shared" si="8"/>
        <v>0</v>
      </c>
      <c r="L31" s="76">
        <f t="shared" si="9"/>
        <v>0</v>
      </c>
      <c r="M31" s="75">
        <f t="shared" si="10"/>
        <v>0</v>
      </c>
      <c r="N31" s="75">
        <f t="shared" si="11"/>
        <v>0</v>
      </c>
      <c r="O31" s="75">
        <f t="shared" si="12"/>
        <v>0</v>
      </c>
      <c r="P31" s="77">
        <f t="shared" si="13"/>
        <v>0</v>
      </c>
    </row>
    <row r="32" spans="1:16" s="61" customFormat="1" x14ac:dyDescent="0.2">
      <c r="A32" s="208">
        <v>0</v>
      </c>
      <c r="B32" s="209">
        <v>0</v>
      </c>
      <c r="C32" s="262" t="s">
        <v>376</v>
      </c>
      <c r="D32" s="211" t="s">
        <v>62</v>
      </c>
      <c r="E32" s="205">
        <f>E31</f>
        <v>8</v>
      </c>
      <c r="F32" s="212"/>
      <c r="G32" s="212"/>
      <c r="H32" s="258"/>
      <c r="I32" s="258"/>
      <c r="J32" s="258"/>
      <c r="K32" s="75">
        <f t="shared" si="8"/>
        <v>0</v>
      </c>
      <c r="L32" s="76">
        <f t="shared" si="9"/>
        <v>0</v>
      </c>
      <c r="M32" s="75">
        <f t="shared" si="10"/>
        <v>0</v>
      </c>
      <c r="N32" s="75">
        <f t="shared" si="11"/>
        <v>0</v>
      </c>
      <c r="O32" s="75">
        <f t="shared" si="12"/>
        <v>0</v>
      </c>
      <c r="P32" s="77">
        <f t="shared" si="13"/>
        <v>0</v>
      </c>
    </row>
    <row r="33" spans="1:16" s="61" customFormat="1" ht="25.5" x14ac:dyDescent="0.2">
      <c r="A33" s="208">
        <v>9</v>
      </c>
      <c r="B33" s="209" t="s">
        <v>371</v>
      </c>
      <c r="C33" s="259" t="s">
        <v>377</v>
      </c>
      <c r="D33" s="211" t="s">
        <v>62</v>
      </c>
      <c r="E33" s="205">
        <v>8</v>
      </c>
      <c r="F33" s="212"/>
      <c r="G33" s="212"/>
      <c r="H33" s="258"/>
      <c r="I33" s="258"/>
      <c r="J33" s="258"/>
      <c r="K33" s="75">
        <f t="shared" si="8"/>
        <v>0</v>
      </c>
      <c r="L33" s="76">
        <f t="shared" si="9"/>
        <v>0</v>
      </c>
      <c r="M33" s="75">
        <f t="shared" si="10"/>
        <v>0</v>
      </c>
      <c r="N33" s="75">
        <f t="shared" si="11"/>
        <v>0</v>
      </c>
      <c r="O33" s="75">
        <f t="shared" si="12"/>
        <v>0</v>
      </c>
      <c r="P33" s="77">
        <f t="shared" si="13"/>
        <v>0</v>
      </c>
    </row>
    <row r="34" spans="1:16" s="61" customFormat="1" ht="15" x14ac:dyDescent="0.2">
      <c r="A34" s="208">
        <v>0</v>
      </c>
      <c r="B34" s="209">
        <v>0</v>
      </c>
      <c r="C34" s="260" t="s">
        <v>378</v>
      </c>
      <c r="D34" s="211" t="s">
        <v>62</v>
      </c>
      <c r="E34" s="205">
        <f>E33</f>
        <v>8</v>
      </c>
      <c r="F34" s="212"/>
      <c r="G34" s="212"/>
      <c r="H34" s="258"/>
      <c r="I34" s="258"/>
      <c r="J34" s="258"/>
      <c r="K34" s="75">
        <f t="shared" si="8"/>
        <v>0</v>
      </c>
      <c r="L34" s="76">
        <f t="shared" si="9"/>
        <v>0</v>
      </c>
      <c r="M34" s="75">
        <f t="shared" si="10"/>
        <v>0</v>
      </c>
      <c r="N34" s="75">
        <f t="shared" si="11"/>
        <v>0</v>
      </c>
      <c r="O34" s="75">
        <f t="shared" si="12"/>
        <v>0</v>
      </c>
      <c r="P34" s="77">
        <f t="shared" si="13"/>
        <v>0</v>
      </c>
    </row>
    <row r="35" spans="1:16" s="61" customFormat="1" x14ac:dyDescent="0.2">
      <c r="A35" s="202">
        <v>0</v>
      </c>
      <c r="B35" s="144"/>
      <c r="C35" s="207" t="s">
        <v>379</v>
      </c>
      <c r="D35" s="204"/>
      <c r="E35" s="205"/>
      <c r="F35" s="148"/>
      <c r="G35" s="148"/>
      <c r="H35" s="217"/>
      <c r="I35" s="217"/>
      <c r="J35" s="217"/>
      <c r="K35" s="75">
        <f t="shared" si="8"/>
        <v>0</v>
      </c>
      <c r="L35" s="76">
        <f t="shared" si="9"/>
        <v>0</v>
      </c>
      <c r="M35" s="75">
        <f t="shared" si="10"/>
        <v>0</v>
      </c>
      <c r="N35" s="75">
        <f t="shared" si="11"/>
        <v>0</v>
      </c>
      <c r="O35" s="75">
        <f t="shared" si="12"/>
        <v>0</v>
      </c>
      <c r="P35" s="77">
        <f t="shared" si="13"/>
        <v>0</v>
      </c>
    </row>
    <row r="36" spans="1:16" s="61" customFormat="1" x14ac:dyDescent="0.2">
      <c r="A36" s="208">
        <v>10</v>
      </c>
      <c r="B36" s="209" t="s">
        <v>371</v>
      </c>
      <c r="C36" s="259" t="s">
        <v>380</v>
      </c>
      <c r="D36" s="211" t="s">
        <v>199</v>
      </c>
      <c r="E36" s="205">
        <v>187</v>
      </c>
      <c r="F36" s="212"/>
      <c r="G36" s="212"/>
      <c r="H36" s="214"/>
      <c r="I36" s="214"/>
      <c r="J36" s="214"/>
      <c r="K36" s="75">
        <f t="shared" si="8"/>
        <v>0</v>
      </c>
      <c r="L36" s="76">
        <f t="shared" si="9"/>
        <v>0</v>
      </c>
      <c r="M36" s="75">
        <f t="shared" si="10"/>
        <v>0</v>
      </c>
      <c r="N36" s="75">
        <f t="shared" si="11"/>
        <v>0</v>
      </c>
      <c r="O36" s="75">
        <f t="shared" si="12"/>
        <v>0</v>
      </c>
      <c r="P36" s="77">
        <f t="shared" si="13"/>
        <v>0</v>
      </c>
    </row>
    <row r="37" spans="1:16" s="61" customFormat="1" x14ac:dyDescent="0.2">
      <c r="A37" s="208">
        <v>0</v>
      </c>
      <c r="B37" s="209">
        <v>0</v>
      </c>
      <c r="C37" s="262" t="s">
        <v>381</v>
      </c>
      <c r="D37" s="211" t="s">
        <v>207</v>
      </c>
      <c r="E37" s="205">
        <f>0.9*E36</f>
        <v>168.3</v>
      </c>
      <c r="F37" s="212"/>
      <c r="G37" s="212"/>
      <c r="H37" s="214"/>
      <c r="I37" s="214"/>
      <c r="J37" s="214"/>
      <c r="K37" s="75">
        <f t="shared" si="8"/>
        <v>0</v>
      </c>
      <c r="L37" s="76">
        <f t="shared" si="9"/>
        <v>0</v>
      </c>
      <c r="M37" s="75">
        <f t="shared" si="10"/>
        <v>0</v>
      </c>
      <c r="N37" s="75">
        <f t="shared" si="11"/>
        <v>0</v>
      </c>
      <c r="O37" s="75">
        <f t="shared" si="12"/>
        <v>0</v>
      </c>
      <c r="P37" s="77">
        <f t="shared" si="13"/>
        <v>0</v>
      </c>
    </row>
    <row r="38" spans="1:16" s="61" customFormat="1" ht="45" x14ac:dyDescent="0.2">
      <c r="A38" s="208">
        <v>0</v>
      </c>
      <c r="B38" s="209">
        <v>0</v>
      </c>
      <c r="C38" s="260" t="s">
        <v>382</v>
      </c>
      <c r="D38" s="233" t="s">
        <v>199</v>
      </c>
      <c r="E38" s="205">
        <f>E36</f>
        <v>187</v>
      </c>
      <c r="F38" s="212"/>
      <c r="G38" s="212"/>
      <c r="H38" s="214"/>
      <c r="I38" s="214"/>
      <c r="J38" s="214"/>
      <c r="K38" s="75">
        <f t="shared" si="8"/>
        <v>0</v>
      </c>
      <c r="L38" s="76">
        <f t="shared" si="9"/>
        <v>0</v>
      </c>
      <c r="M38" s="75">
        <f t="shared" si="10"/>
        <v>0</v>
      </c>
      <c r="N38" s="75">
        <f t="shared" si="11"/>
        <v>0</v>
      </c>
      <c r="O38" s="75">
        <f t="shared" si="12"/>
        <v>0</v>
      </c>
      <c r="P38" s="77">
        <f t="shared" si="13"/>
        <v>0</v>
      </c>
    </row>
    <row r="39" spans="1:16" s="61" customFormat="1" x14ac:dyDescent="0.2">
      <c r="A39" s="202">
        <v>0</v>
      </c>
      <c r="B39" s="144"/>
      <c r="C39" s="207" t="s">
        <v>383</v>
      </c>
      <c r="D39" s="204"/>
      <c r="E39" s="205"/>
      <c r="F39" s="148"/>
      <c r="G39" s="148"/>
      <c r="H39" s="217"/>
      <c r="I39" s="217"/>
      <c r="J39" s="217"/>
      <c r="K39" s="75">
        <f t="shared" si="8"/>
        <v>0</v>
      </c>
      <c r="L39" s="76">
        <f t="shared" si="9"/>
        <v>0</v>
      </c>
      <c r="M39" s="75">
        <f t="shared" si="10"/>
        <v>0</v>
      </c>
      <c r="N39" s="75">
        <f t="shared" si="11"/>
        <v>0</v>
      </c>
      <c r="O39" s="75">
        <f t="shared" si="12"/>
        <v>0</v>
      </c>
      <c r="P39" s="77">
        <f t="shared" si="13"/>
        <v>0</v>
      </c>
    </row>
    <row r="40" spans="1:16" s="61" customFormat="1" x14ac:dyDescent="0.2">
      <c r="A40" s="208">
        <v>11</v>
      </c>
      <c r="B40" s="209" t="s">
        <v>246</v>
      </c>
      <c r="C40" s="259" t="s">
        <v>362</v>
      </c>
      <c r="D40" s="211" t="s">
        <v>207</v>
      </c>
      <c r="E40" s="205">
        <v>460</v>
      </c>
      <c r="F40" s="212"/>
      <c r="G40" s="212"/>
      <c r="H40" s="214"/>
      <c r="I40" s="214"/>
      <c r="J40" s="214"/>
      <c r="K40" s="75">
        <f t="shared" si="8"/>
        <v>0</v>
      </c>
      <c r="L40" s="76">
        <f t="shared" si="9"/>
        <v>0</v>
      </c>
      <c r="M40" s="75">
        <f t="shared" si="10"/>
        <v>0</v>
      </c>
      <c r="N40" s="75">
        <f t="shared" si="11"/>
        <v>0</v>
      </c>
      <c r="O40" s="75">
        <f t="shared" si="12"/>
        <v>0</v>
      </c>
      <c r="P40" s="77">
        <f t="shared" si="13"/>
        <v>0</v>
      </c>
    </row>
    <row r="41" spans="1:16" s="61" customFormat="1" ht="15" x14ac:dyDescent="0.2">
      <c r="A41" s="208">
        <v>0</v>
      </c>
      <c r="B41" s="209">
        <v>0</v>
      </c>
      <c r="C41" s="260" t="s">
        <v>363</v>
      </c>
      <c r="D41" s="211" t="s">
        <v>207</v>
      </c>
      <c r="E41" s="205">
        <f>1.1*E40</f>
        <v>506.00000000000006</v>
      </c>
      <c r="F41" s="212"/>
      <c r="G41" s="212"/>
      <c r="H41" s="214"/>
      <c r="I41" s="214"/>
      <c r="J41" s="214"/>
      <c r="K41" s="75">
        <f t="shared" si="8"/>
        <v>0</v>
      </c>
      <c r="L41" s="76">
        <f t="shared" si="9"/>
        <v>0</v>
      </c>
      <c r="M41" s="75">
        <f t="shared" si="10"/>
        <v>0</v>
      </c>
      <c r="N41" s="75">
        <f t="shared" si="11"/>
        <v>0</v>
      </c>
      <c r="O41" s="75">
        <f t="shared" si="12"/>
        <v>0</v>
      </c>
      <c r="P41" s="77">
        <f t="shared" si="13"/>
        <v>0</v>
      </c>
    </row>
    <row r="42" spans="1:16" s="61" customFormat="1" ht="15" x14ac:dyDescent="0.2">
      <c r="A42" s="208">
        <v>12</v>
      </c>
      <c r="B42" s="209" t="s">
        <v>246</v>
      </c>
      <c r="C42" s="230" t="s">
        <v>364</v>
      </c>
      <c r="D42" s="211" t="s">
        <v>207</v>
      </c>
      <c r="E42" s="205">
        <f>E40</f>
        <v>460</v>
      </c>
      <c r="F42" s="212"/>
      <c r="G42" s="212"/>
      <c r="H42" s="258"/>
      <c r="I42" s="258"/>
      <c r="J42" s="258"/>
      <c r="K42" s="75">
        <f t="shared" si="8"/>
        <v>0</v>
      </c>
      <c r="L42" s="76">
        <f t="shared" si="9"/>
        <v>0</v>
      </c>
      <c r="M42" s="75">
        <f t="shared" si="10"/>
        <v>0</v>
      </c>
      <c r="N42" s="75">
        <f t="shared" si="11"/>
        <v>0</v>
      </c>
      <c r="O42" s="75">
        <f t="shared" si="12"/>
        <v>0</v>
      </c>
      <c r="P42" s="77">
        <f t="shared" si="13"/>
        <v>0</v>
      </c>
    </row>
    <row r="43" spans="1:16" s="61" customFormat="1" ht="15" x14ac:dyDescent="0.2">
      <c r="A43" s="208">
        <v>0</v>
      </c>
      <c r="B43" s="209">
        <v>0</v>
      </c>
      <c r="C43" s="260" t="s">
        <v>365</v>
      </c>
      <c r="D43" s="211" t="s">
        <v>207</v>
      </c>
      <c r="E43" s="205">
        <f>1.05*E42</f>
        <v>483</v>
      </c>
      <c r="F43" s="212"/>
      <c r="G43" s="212"/>
      <c r="H43" s="261"/>
      <c r="I43" s="261"/>
      <c r="J43" s="261"/>
      <c r="K43" s="75">
        <f t="shared" si="8"/>
        <v>0</v>
      </c>
      <c r="L43" s="76">
        <f t="shared" si="9"/>
        <v>0</v>
      </c>
      <c r="M43" s="75">
        <f t="shared" si="10"/>
        <v>0</v>
      </c>
      <c r="N43" s="75">
        <f t="shared" si="11"/>
        <v>0</v>
      </c>
      <c r="O43" s="75">
        <f t="shared" si="12"/>
        <v>0</v>
      </c>
      <c r="P43" s="77">
        <f t="shared" si="13"/>
        <v>0</v>
      </c>
    </row>
    <row r="44" spans="1:16" s="61" customFormat="1" ht="15" x14ac:dyDescent="0.2">
      <c r="A44" s="208">
        <v>13</v>
      </c>
      <c r="B44" s="209" t="s">
        <v>246</v>
      </c>
      <c r="C44" s="230" t="s">
        <v>366</v>
      </c>
      <c r="D44" s="211" t="s">
        <v>207</v>
      </c>
      <c r="E44" s="205">
        <f>E40</f>
        <v>460</v>
      </c>
      <c r="F44" s="212"/>
      <c r="G44" s="212"/>
      <c r="H44" s="258"/>
      <c r="I44" s="258"/>
      <c r="J44" s="258"/>
      <c r="K44" s="75">
        <f t="shared" si="8"/>
        <v>0</v>
      </c>
      <c r="L44" s="76">
        <f t="shared" si="9"/>
        <v>0</v>
      </c>
      <c r="M44" s="75">
        <f t="shared" si="10"/>
        <v>0</v>
      </c>
      <c r="N44" s="75">
        <f t="shared" si="11"/>
        <v>0</v>
      </c>
      <c r="O44" s="75">
        <f t="shared" si="12"/>
        <v>0</v>
      </c>
      <c r="P44" s="77">
        <f t="shared" si="13"/>
        <v>0</v>
      </c>
    </row>
    <row r="45" spans="1:16" s="61" customFormat="1" ht="15" x14ac:dyDescent="0.2">
      <c r="A45" s="208">
        <v>0</v>
      </c>
      <c r="B45" s="209">
        <v>0</v>
      </c>
      <c r="C45" s="260" t="s">
        <v>367</v>
      </c>
      <c r="D45" s="211" t="s">
        <v>207</v>
      </c>
      <c r="E45" s="205">
        <f>1.05*E44</f>
        <v>483</v>
      </c>
      <c r="F45" s="212"/>
      <c r="G45" s="212"/>
      <c r="H45" s="261"/>
      <c r="I45" s="261"/>
      <c r="J45" s="261"/>
      <c r="K45" s="75">
        <f t="shared" si="8"/>
        <v>0</v>
      </c>
      <c r="L45" s="76">
        <f t="shared" si="9"/>
        <v>0</v>
      </c>
      <c r="M45" s="75">
        <f t="shared" si="10"/>
        <v>0</v>
      </c>
      <c r="N45" s="75">
        <f t="shared" si="11"/>
        <v>0</v>
      </c>
      <c r="O45" s="75">
        <f t="shared" si="12"/>
        <v>0</v>
      </c>
      <c r="P45" s="77">
        <f t="shared" si="13"/>
        <v>0</v>
      </c>
    </row>
    <row r="46" spans="1:16" s="61" customFormat="1" ht="15" x14ac:dyDescent="0.2">
      <c r="A46" s="208">
        <v>14</v>
      </c>
      <c r="B46" s="209" t="s">
        <v>246</v>
      </c>
      <c r="C46" s="230" t="s">
        <v>368</v>
      </c>
      <c r="D46" s="211" t="s">
        <v>207</v>
      </c>
      <c r="E46" s="205">
        <f>E42</f>
        <v>460</v>
      </c>
      <c r="F46" s="212"/>
      <c r="G46" s="212"/>
      <c r="H46" s="258"/>
      <c r="I46" s="258"/>
      <c r="J46" s="258"/>
      <c r="K46" s="75">
        <f t="shared" si="8"/>
        <v>0</v>
      </c>
      <c r="L46" s="76">
        <f t="shared" si="9"/>
        <v>0</v>
      </c>
      <c r="M46" s="75">
        <f t="shared" si="10"/>
        <v>0</v>
      </c>
      <c r="N46" s="75">
        <f t="shared" si="11"/>
        <v>0</v>
      </c>
      <c r="O46" s="75">
        <f t="shared" si="12"/>
        <v>0</v>
      </c>
      <c r="P46" s="77">
        <f t="shared" si="13"/>
        <v>0</v>
      </c>
    </row>
    <row r="47" spans="1:16" s="61" customFormat="1" ht="15" x14ac:dyDescent="0.2">
      <c r="A47" s="208">
        <v>0</v>
      </c>
      <c r="B47" s="209">
        <v>0</v>
      </c>
      <c r="C47" s="260" t="s">
        <v>367</v>
      </c>
      <c r="D47" s="211" t="s">
        <v>207</v>
      </c>
      <c r="E47" s="205">
        <f>1.05*E46</f>
        <v>483</v>
      </c>
      <c r="F47" s="212"/>
      <c r="G47" s="212"/>
      <c r="H47" s="261"/>
      <c r="I47" s="261"/>
      <c r="J47" s="261"/>
      <c r="K47" s="75">
        <f t="shared" si="8"/>
        <v>0</v>
      </c>
      <c r="L47" s="76">
        <f t="shared" si="9"/>
        <v>0</v>
      </c>
      <c r="M47" s="75">
        <f t="shared" si="10"/>
        <v>0</v>
      </c>
      <c r="N47" s="75">
        <f t="shared" si="11"/>
        <v>0</v>
      </c>
      <c r="O47" s="75">
        <f t="shared" si="12"/>
        <v>0</v>
      </c>
      <c r="P47" s="77">
        <f t="shared" si="13"/>
        <v>0</v>
      </c>
    </row>
    <row r="48" spans="1:16" s="61" customFormat="1" ht="30" x14ac:dyDescent="0.2">
      <c r="A48" s="208">
        <v>15</v>
      </c>
      <c r="B48" s="209" t="s">
        <v>246</v>
      </c>
      <c r="C48" s="230" t="s">
        <v>369</v>
      </c>
      <c r="D48" s="211" t="s">
        <v>207</v>
      </c>
      <c r="E48" s="205">
        <f>E44</f>
        <v>460</v>
      </c>
      <c r="F48" s="212"/>
      <c r="G48" s="212"/>
      <c r="H48" s="258"/>
      <c r="I48" s="258"/>
      <c r="J48" s="258"/>
      <c r="K48" s="75">
        <f t="shared" si="8"/>
        <v>0</v>
      </c>
      <c r="L48" s="76">
        <f t="shared" si="9"/>
        <v>0</v>
      </c>
      <c r="M48" s="75">
        <f t="shared" si="10"/>
        <v>0</v>
      </c>
      <c r="N48" s="75">
        <f t="shared" si="11"/>
        <v>0</v>
      </c>
      <c r="O48" s="75">
        <f t="shared" si="12"/>
        <v>0</v>
      </c>
      <c r="P48" s="77">
        <f t="shared" si="13"/>
        <v>0</v>
      </c>
    </row>
    <row r="49" spans="1:16" s="61" customFormat="1" ht="15" x14ac:dyDescent="0.2">
      <c r="A49" s="208">
        <v>0</v>
      </c>
      <c r="B49" s="209">
        <v>0</v>
      </c>
      <c r="C49" s="260" t="s">
        <v>370</v>
      </c>
      <c r="D49" s="211" t="s">
        <v>207</v>
      </c>
      <c r="E49" s="205">
        <f>1.05*E48</f>
        <v>483</v>
      </c>
      <c r="F49" s="212"/>
      <c r="G49" s="212"/>
      <c r="H49" s="258"/>
      <c r="I49" s="258"/>
      <c r="J49" s="258"/>
      <c r="K49" s="75">
        <f t="shared" si="8"/>
        <v>0</v>
      </c>
      <c r="L49" s="76">
        <f t="shared" si="9"/>
        <v>0</v>
      </c>
      <c r="M49" s="75">
        <f t="shared" si="10"/>
        <v>0</v>
      </c>
      <c r="N49" s="75">
        <f t="shared" si="11"/>
        <v>0</v>
      </c>
      <c r="O49" s="75">
        <f t="shared" si="12"/>
        <v>0</v>
      </c>
      <c r="P49" s="77">
        <f t="shared" si="13"/>
        <v>0</v>
      </c>
    </row>
    <row r="50" spans="1:16" s="61" customFormat="1" ht="25.5" x14ac:dyDescent="0.2">
      <c r="A50" s="234">
        <v>16</v>
      </c>
      <c r="B50" s="238" t="s">
        <v>205</v>
      </c>
      <c r="C50" s="263" t="s">
        <v>384</v>
      </c>
      <c r="D50" s="67" t="s">
        <v>207</v>
      </c>
      <c r="E50" s="205">
        <v>460</v>
      </c>
      <c r="F50" s="226"/>
      <c r="G50" s="226"/>
      <c r="H50" s="227"/>
      <c r="I50" s="227"/>
      <c r="J50" s="227"/>
      <c r="K50" s="75">
        <f t="shared" si="8"/>
        <v>0</v>
      </c>
      <c r="L50" s="76">
        <f t="shared" si="9"/>
        <v>0</v>
      </c>
      <c r="M50" s="75">
        <f t="shared" si="10"/>
        <v>0</v>
      </c>
      <c r="N50" s="75">
        <f t="shared" si="11"/>
        <v>0</v>
      </c>
      <c r="O50" s="75">
        <f t="shared" si="12"/>
        <v>0</v>
      </c>
      <c r="P50" s="77">
        <f t="shared" si="13"/>
        <v>0</v>
      </c>
    </row>
    <row r="51" spans="1:16" s="61" customFormat="1" x14ac:dyDescent="0.2">
      <c r="A51" s="234">
        <v>0</v>
      </c>
      <c r="B51" s="238">
        <v>0</v>
      </c>
      <c r="C51" s="241" t="s">
        <v>385</v>
      </c>
      <c r="D51" s="67" t="s">
        <v>115</v>
      </c>
      <c r="E51" s="205">
        <f>0.025*0.1*1.05*E50/0.14</f>
        <v>8.6250000000000018</v>
      </c>
      <c r="F51" s="226"/>
      <c r="G51" s="226"/>
      <c r="H51" s="227"/>
      <c r="I51" s="227"/>
      <c r="J51" s="227"/>
      <c r="K51" s="75">
        <f t="shared" si="8"/>
        <v>0</v>
      </c>
      <c r="L51" s="76">
        <f t="shared" si="9"/>
        <v>0</v>
      </c>
      <c r="M51" s="75">
        <f t="shared" si="10"/>
        <v>0</v>
      </c>
      <c r="N51" s="75">
        <f t="shared" si="11"/>
        <v>0</v>
      </c>
      <c r="O51" s="75">
        <f t="shared" si="12"/>
        <v>0</v>
      </c>
      <c r="P51" s="77">
        <f t="shared" si="13"/>
        <v>0</v>
      </c>
    </row>
    <row r="52" spans="1:16" s="61" customFormat="1" x14ac:dyDescent="0.2">
      <c r="A52" s="234">
        <v>0</v>
      </c>
      <c r="B52" s="238">
        <v>0</v>
      </c>
      <c r="C52" s="241" t="s">
        <v>356</v>
      </c>
      <c r="D52" s="67" t="s">
        <v>210</v>
      </c>
      <c r="E52" s="205">
        <f>0.08*E50</f>
        <v>36.800000000000004</v>
      </c>
      <c r="F52" s="226"/>
      <c r="G52" s="226"/>
      <c r="H52" s="227"/>
      <c r="I52" s="227"/>
      <c r="J52" s="227"/>
      <c r="K52" s="75">
        <f t="shared" si="8"/>
        <v>0</v>
      </c>
      <c r="L52" s="76">
        <f t="shared" si="9"/>
        <v>0</v>
      </c>
      <c r="M52" s="75">
        <f t="shared" si="10"/>
        <v>0</v>
      </c>
      <c r="N52" s="75">
        <f t="shared" si="11"/>
        <v>0</v>
      </c>
      <c r="O52" s="75">
        <f t="shared" si="12"/>
        <v>0</v>
      </c>
      <c r="P52" s="77">
        <f t="shared" si="13"/>
        <v>0</v>
      </c>
    </row>
    <row r="53" spans="1:16" s="61" customFormat="1" x14ac:dyDescent="0.2">
      <c r="A53" s="234">
        <v>17</v>
      </c>
      <c r="B53" s="238" t="s">
        <v>371</v>
      </c>
      <c r="C53" s="263" t="s">
        <v>386</v>
      </c>
      <c r="D53" s="67" t="s">
        <v>207</v>
      </c>
      <c r="E53" s="205">
        <v>460</v>
      </c>
      <c r="F53" s="226"/>
      <c r="G53" s="226"/>
      <c r="H53" s="227"/>
      <c r="I53" s="227"/>
      <c r="J53" s="227"/>
      <c r="K53" s="75">
        <f t="shared" si="8"/>
        <v>0</v>
      </c>
      <c r="L53" s="76">
        <f t="shared" si="9"/>
        <v>0</v>
      </c>
      <c r="M53" s="75">
        <f t="shared" si="10"/>
        <v>0</v>
      </c>
      <c r="N53" s="75">
        <f t="shared" si="11"/>
        <v>0</v>
      </c>
      <c r="O53" s="75">
        <f t="shared" si="12"/>
        <v>0</v>
      </c>
      <c r="P53" s="77">
        <f t="shared" si="13"/>
        <v>0</v>
      </c>
    </row>
    <row r="54" spans="1:16" s="61" customFormat="1" ht="15" x14ac:dyDescent="0.2">
      <c r="A54" s="234">
        <v>0</v>
      </c>
      <c r="B54" s="238">
        <v>0</v>
      </c>
      <c r="C54" s="264" t="s">
        <v>387</v>
      </c>
      <c r="D54" s="67" t="s">
        <v>207</v>
      </c>
      <c r="E54" s="205">
        <f>1.1*E53</f>
        <v>506.00000000000006</v>
      </c>
      <c r="F54" s="226"/>
      <c r="G54" s="226"/>
      <c r="H54" s="227"/>
      <c r="I54" s="227"/>
      <c r="J54" s="227"/>
      <c r="K54" s="75">
        <f t="shared" si="8"/>
        <v>0</v>
      </c>
      <c r="L54" s="76">
        <f t="shared" si="9"/>
        <v>0</v>
      </c>
      <c r="M54" s="75">
        <f t="shared" si="10"/>
        <v>0</v>
      </c>
      <c r="N54" s="75">
        <f t="shared" si="11"/>
        <v>0</v>
      </c>
      <c r="O54" s="75">
        <f t="shared" si="12"/>
        <v>0</v>
      </c>
      <c r="P54" s="77">
        <f t="shared" si="13"/>
        <v>0</v>
      </c>
    </row>
    <row r="55" spans="1:16" s="61" customFormat="1" x14ac:dyDescent="0.2">
      <c r="A55" s="234">
        <v>0</v>
      </c>
      <c r="B55" s="238">
        <v>0</v>
      </c>
      <c r="C55" s="241" t="s">
        <v>388</v>
      </c>
      <c r="D55" s="211" t="s">
        <v>62</v>
      </c>
      <c r="E55" s="205">
        <f>7*E53</f>
        <v>3220</v>
      </c>
      <c r="F55" s="226"/>
      <c r="G55" s="226"/>
      <c r="H55" s="227"/>
      <c r="I55" s="227"/>
      <c r="J55" s="227"/>
      <c r="K55" s="75">
        <f t="shared" si="8"/>
        <v>0</v>
      </c>
      <c r="L55" s="76">
        <f t="shared" si="9"/>
        <v>0</v>
      </c>
      <c r="M55" s="75">
        <f t="shared" si="10"/>
        <v>0</v>
      </c>
      <c r="N55" s="75">
        <f t="shared" si="11"/>
        <v>0</v>
      </c>
      <c r="O55" s="75">
        <f t="shared" si="12"/>
        <v>0</v>
      </c>
      <c r="P55" s="77">
        <f t="shared" si="13"/>
        <v>0</v>
      </c>
    </row>
    <row r="56" spans="1:16" s="61" customFormat="1" x14ac:dyDescent="0.2">
      <c r="A56" s="234">
        <v>0</v>
      </c>
      <c r="B56" s="238">
        <v>0</v>
      </c>
      <c r="C56" s="241" t="s">
        <v>389</v>
      </c>
      <c r="D56" s="211" t="s">
        <v>73</v>
      </c>
      <c r="E56" s="205">
        <v>1</v>
      </c>
      <c r="F56" s="226"/>
      <c r="G56" s="226"/>
      <c r="H56" s="227"/>
      <c r="I56" s="227"/>
      <c r="J56" s="227"/>
      <c r="K56" s="75">
        <f t="shared" si="8"/>
        <v>0</v>
      </c>
      <c r="L56" s="76">
        <f t="shared" si="9"/>
        <v>0</v>
      </c>
      <c r="M56" s="75">
        <f t="shared" si="10"/>
        <v>0</v>
      </c>
      <c r="N56" s="75">
        <f t="shared" si="11"/>
        <v>0</v>
      </c>
      <c r="O56" s="75">
        <f t="shared" si="12"/>
        <v>0</v>
      </c>
      <c r="P56" s="77">
        <f t="shared" si="13"/>
        <v>0</v>
      </c>
    </row>
    <row r="57" spans="1:16" s="61" customFormat="1" x14ac:dyDescent="0.2">
      <c r="A57" s="202">
        <v>0</v>
      </c>
      <c r="B57" s="144"/>
      <c r="C57" s="207" t="s">
        <v>390</v>
      </c>
      <c r="D57" s="204"/>
      <c r="E57" s="205"/>
      <c r="F57" s="148"/>
      <c r="G57" s="148"/>
      <c r="H57" s="217"/>
      <c r="I57" s="217"/>
      <c r="J57" s="217"/>
      <c r="K57" s="75">
        <f t="shared" si="8"/>
        <v>0</v>
      </c>
      <c r="L57" s="76">
        <f t="shared" si="9"/>
        <v>0</v>
      </c>
      <c r="M57" s="75">
        <f t="shared" si="10"/>
        <v>0</v>
      </c>
      <c r="N57" s="75">
        <f t="shared" si="11"/>
        <v>0</v>
      </c>
      <c r="O57" s="75">
        <f t="shared" si="12"/>
        <v>0</v>
      </c>
      <c r="P57" s="77">
        <f t="shared" si="13"/>
        <v>0</v>
      </c>
    </row>
    <row r="58" spans="1:16" s="61" customFormat="1" x14ac:dyDescent="0.2">
      <c r="A58" s="234">
        <v>18</v>
      </c>
      <c r="B58" s="238" t="s">
        <v>205</v>
      </c>
      <c r="C58" s="263" t="s">
        <v>391</v>
      </c>
      <c r="D58" s="67" t="s">
        <v>207</v>
      </c>
      <c r="E58" s="205">
        <f>1750-460</f>
        <v>1290</v>
      </c>
      <c r="F58" s="226"/>
      <c r="G58" s="226"/>
      <c r="H58" s="227"/>
      <c r="I58" s="227"/>
      <c r="J58" s="227"/>
      <c r="K58" s="75">
        <f t="shared" si="8"/>
        <v>0</v>
      </c>
      <c r="L58" s="76">
        <f t="shared" si="9"/>
        <v>0</v>
      </c>
      <c r="M58" s="75">
        <f t="shared" si="10"/>
        <v>0</v>
      </c>
      <c r="N58" s="75">
        <f t="shared" si="11"/>
        <v>0</v>
      </c>
      <c r="O58" s="75">
        <f t="shared" si="12"/>
        <v>0</v>
      </c>
      <c r="P58" s="77">
        <f t="shared" si="13"/>
        <v>0</v>
      </c>
    </row>
    <row r="59" spans="1:16" s="61" customFormat="1" x14ac:dyDescent="0.2">
      <c r="A59" s="234">
        <v>0</v>
      </c>
      <c r="B59" s="238">
        <v>0</v>
      </c>
      <c r="C59" s="241" t="s">
        <v>392</v>
      </c>
      <c r="D59" s="67" t="s">
        <v>207</v>
      </c>
      <c r="E59" s="205">
        <f>1.05*E58</f>
        <v>1354.5</v>
      </c>
      <c r="F59" s="226"/>
      <c r="G59" s="226"/>
      <c r="H59" s="227"/>
      <c r="I59" s="227"/>
      <c r="J59" s="227"/>
      <c r="K59" s="75">
        <f t="shared" si="8"/>
        <v>0</v>
      </c>
      <c r="L59" s="76">
        <f t="shared" si="9"/>
        <v>0</v>
      </c>
      <c r="M59" s="75">
        <f t="shared" si="10"/>
        <v>0</v>
      </c>
      <c r="N59" s="75">
        <f t="shared" si="11"/>
        <v>0</v>
      </c>
      <c r="O59" s="75">
        <f t="shared" si="12"/>
        <v>0</v>
      </c>
      <c r="P59" s="77">
        <f t="shared" si="13"/>
        <v>0</v>
      </c>
    </row>
    <row r="60" spans="1:16" s="61" customFormat="1" x14ac:dyDescent="0.2">
      <c r="A60" s="234">
        <v>19</v>
      </c>
      <c r="B60" s="238" t="s">
        <v>205</v>
      </c>
      <c r="C60" s="263" t="s">
        <v>393</v>
      </c>
      <c r="D60" s="67" t="s">
        <v>207</v>
      </c>
      <c r="E60" s="205">
        <v>1290</v>
      </c>
      <c r="F60" s="226"/>
      <c r="G60" s="226"/>
      <c r="H60" s="227"/>
      <c r="I60" s="227"/>
      <c r="J60" s="227"/>
      <c r="K60" s="75">
        <f t="shared" si="8"/>
        <v>0</v>
      </c>
      <c r="L60" s="76">
        <f t="shared" si="9"/>
        <v>0</v>
      </c>
      <c r="M60" s="75">
        <f t="shared" si="10"/>
        <v>0</v>
      </c>
      <c r="N60" s="75">
        <f t="shared" si="11"/>
        <v>0</v>
      </c>
      <c r="O60" s="75">
        <f t="shared" si="12"/>
        <v>0</v>
      </c>
      <c r="P60" s="77">
        <f t="shared" si="13"/>
        <v>0</v>
      </c>
    </row>
    <row r="61" spans="1:16" s="61" customFormat="1" ht="15" x14ac:dyDescent="0.2">
      <c r="A61" s="234">
        <v>0</v>
      </c>
      <c r="B61" s="238">
        <v>0</v>
      </c>
      <c r="C61" s="264" t="s">
        <v>394</v>
      </c>
      <c r="D61" s="67" t="s">
        <v>115</v>
      </c>
      <c r="E61" s="205">
        <f>0.05*0.05*1.05*E60/0.3</f>
        <v>11.287500000000003</v>
      </c>
      <c r="F61" s="226"/>
      <c r="G61" s="226"/>
      <c r="H61" s="227"/>
      <c r="I61" s="227"/>
      <c r="J61" s="227"/>
      <c r="K61" s="75">
        <f t="shared" si="8"/>
        <v>0</v>
      </c>
      <c r="L61" s="76">
        <f t="shared" si="9"/>
        <v>0</v>
      </c>
      <c r="M61" s="75">
        <f t="shared" si="10"/>
        <v>0</v>
      </c>
      <c r="N61" s="75">
        <f t="shared" si="11"/>
        <v>0</v>
      </c>
      <c r="O61" s="75">
        <f t="shared" si="12"/>
        <v>0</v>
      </c>
      <c r="P61" s="77">
        <f t="shared" si="13"/>
        <v>0</v>
      </c>
    </row>
    <row r="62" spans="1:16" s="61" customFormat="1" x14ac:dyDescent="0.2">
      <c r="A62" s="234">
        <v>0</v>
      </c>
      <c r="B62" s="238">
        <v>0</v>
      </c>
      <c r="C62" s="241" t="s">
        <v>356</v>
      </c>
      <c r="D62" s="67" t="s">
        <v>210</v>
      </c>
      <c r="E62" s="205">
        <f>0.08*E60</f>
        <v>103.2</v>
      </c>
      <c r="F62" s="226"/>
      <c r="G62" s="226"/>
      <c r="H62" s="227"/>
      <c r="I62" s="227"/>
      <c r="J62" s="227"/>
      <c r="K62" s="75">
        <f t="shared" si="8"/>
        <v>0</v>
      </c>
      <c r="L62" s="76">
        <f t="shared" si="9"/>
        <v>0</v>
      </c>
      <c r="M62" s="75">
        <f t="shared" si="10"/>
        <v>0</v>
      </c>
      <c r="N62" s="75">
        <f t="shared" si="11"/>
        <v>0</v>
      </c>
      <c r="O62" s="75">
        <f t="shared" si="12"/>
        <v>0</v>
      </c>
      <c r="P62" s="77">
        <f t="shared" si="13"/>
        <v>0</v>
      </c>
    </row>
    <row r="63" spans="1:16" s="61" customFormat="1" ht="25.5" x14ac:dyDescent="0.2">
      <c r="A63" s="234">
        <v>20</v>
      </c>
      <c r="B63" s="238" t="s">
        <v>205</v>
      </c>
      <c r="C63" s="263" t="s">
        <v>384</v>
      </c>
      <c r="D63" s="67" t="s">
        <v>207</v>
      </c>
      <c r="E63" s="205">
        <v>1290</v>
      </c>
      <c r="F63" s="226"/>
      <c r="G63" s="226"/>
      <c r="H63" s="227"/>
      <c r="I63" s="227"/>
      <c r="J63" s="227"/>
      <c r="K63" s="75">
        <f t="shared" si="8"/>
        <v>0</v>
      </c>
      <c r="L63" s="76">
        <f t="shared" si="9"/>
        <v>0</v>
      </c>
      <c r="M63" s="75">
        <f t="shared" si="10"/>
        <v>0</v>
      </c>
      <c r="N63" s="75">
        <f t="shared" si="11"/>
        <v>0</v>
      </c>
      <c r="O63" s="75">
        <f t="shared" si="12"/>
        <v>0</v>
      </c>
      <c r="P63" s="77">
        <f t="shared" si="13"/>
        <v>0</v>
      </c>
    </row>
    <row r="64" spans="1:16" s="61" customFormat="1" x14ac:dyDescent="0.2">
      <c r="A64" s="234">
        <v>0</v>
      </c>
      <c r="B64" s="238">
        <v>0</v>
      </c>
      <c r="C64" s="241" t="s">
        <v>385</v>
      </c>
      <c r="D64" s="67" t="s">
        <v>115</v>
      </c>
      <c r="E64" s="205">
        <f>0.025*0.1*1.05*E63/0.14</f>
        <v>24.187500000000004</v>
      </c>
      <c r="F64" s="226"/>
      <c r="G64" s="226"/>
      <c r="H64" s="227"/>
      <c r="I64" s="227"/>
      <c r="J64" s="227"/>
      <c r="K64" s="75">
        <f t="shared" si="8"/>
        <v>0</v>
      </c>
      <c r="L64" s="76">
        <f t="shared" si="9"/>
        <v>0</v>
      </c>
      <c r="M64" s="75">
        <f t="shared" si="10"/>
        <v>0</v>
      </c>
      <c r="N64" s="75">
        <f t="shared" si="11"/>
        <v>0</v>
      </c>
      <c r="O64" s="75">
        <f t="shared" si="12"/>
        <v>0</v>
      </c>
      <c r="P64" s="77">
        <f t="shared" si="13"/>
        <v>0</v>
      </c>
    </row>
    <row r="65" spans="1:16" s="61" customFormat="1" x14ac:dyDescent="0.2">
      <c r="A65" s="234">
        <v>0</v>
      </c>
      <c r="B65" s="238">
        <v>0</v>
      </c>
      <c r="C65" s="241" t="s">
        <v>356</v>
      </c>
      <c r="D65" s="67" t="s">
        <v>210</v>
      </c>
      <c r="E65" s="205">
        <f>0.08*E63</f>
        <v>103.2</v>
      </c>
      <c r="F65" s="226"/>
      <c r="G65" s="226"/>
      <c r="H65" s="227"/>
      <c r="I65" s="227"/>
      <c r="J65" s="227"/>
      <c r="K65" s="75">
        <f t="shared" si="8"/>
        <v>0</v>
      </c>
      <c r="L65" s="76">
        <f t="shared" si="9"/>
        <v>0</v>
      </c>
      <c r="M65" s="75">
        <f t="shared" si="10"/>
        <v>0</v>
      </c>
      <c r="N65" s="75">
        <f t="shared" si="11"/>
        <v>0</v>
      </c>
      <c r="O65" s="75">
        <f t="shared" si="12"/>
        <v>0</v>
      </c>
      <c r="P65" s="77">
        <f t="shared" si="13"/>
        <v>0</v>
      </c>
    </row>
    <row r="66" spans="1:16" s="61" customFormat="1" x14ac:dyDescent="0.2">
      <c r="A66" s="234">
        <v>21</v>
      </c>
      <c r="B66" s="238" t="s">
        <v>371</v>
      </c>
      <c r="C66" s="263" t="s">
        <v>386</v>
      </c>
      <c r="D66" s="67" t="s">
        <v>207</v>
      </c>
      <c r="E66" s="205">
        <v>1290</v>
      </c>
      <c r="F66" s="226"/>
      <c r="G66" s="226"/>
      <c r="H66" s="227"/>
      <c r="I66" s="227"/>
      <c r="J66" s="227"/>
      <c r="K66" s="75">
        <f t="shared" si="8"/>
        <v>0</v>
      </c>
      <c r="L66" s="76">
        <f t="shared" si="9"/>
        <v>0</v>
      </c>
      <c r="M66" s="75">
        <f t="shared" si="10"/>
        <v>0</v>
      </c>
      <c r="N66" s="75">
        <f t="shared" si="11"/>
        <v>0</v>
      </c>
      <c r="O66" s="75">
        <f t="shared" si="12"/>
        <v>0</v>
      </c>
      <c r="P66" s="77">
        <f t="shared" si="13"/>
        <v>0</v>
      </c>
    </row>
    <row r="67" spans="1:16" s="61" customFormat="1" ht="15" x14ac:dyDescent="0.2">
      <c r="A67" s="234">
        <v>0</v>
      </c>
      <c r="B67" s="238">
        <v>0</v>
      </c>
      <c r="C67" s="264" t="s">
        <v>387</v>
      </c>
      <c r="D67" s="67" t="s">
        <v>207</v>
      </c>
      <c r="E67" s="205">
        <f>1.1*E66</f>
        <v>1419.0000000000002</v>
      </c>
      <c r="F67" s="226"/>
      <c r="G67" s="226"/>
      <c r="H67" s="227"/>
      <c r="I67" s="227"/>
      <c r="J67" s="227"/>
      <c r="K67" s="75">
        <f t="shared" si="8"/>
        <v>0</v>
      </c>
      <c r="L67" s="76">
        <f t="shared" si="9"/>
        <v>0</v>
      </c>
      <c r="M67" s="75">
        <f t="shared" si="10"/>
        <v>0</v>
      </c>
      <c r="N67" s="75">
        <f t="shared" si="11"/>
        <v>0</v>
      </c>
      <c r="O67" s="75">
        <f t="shared" si="12"/>
        <v>0</v>
      </c>
      <c r="P67" s="77">
        <f t="shared" si="13"/>
        <v>0</v>
      </c>
    </row>
    <row r="68" spans="1:16" s="61" customFormat="1" x14ac:dyDescent="0.2">
      <c r="A68" s="234">
        <v>0</v>
      </c>
      <c r="B68" s="238">
        <v>0</v>
      </c>
      <c r="C68" s="241" t="s">
        <v>388</v>
      </c>
      <c r="D68" s="211" t="s">
        <v>62</v>
      </c>
      <c r="E68" s="205">
        <f>7*E66</f>
        <v>9030</v>
      </c>
      <c r="F68" s="226"/>
      <c r="G68" s="226"/>
      <c r="H68" s="227"/>
      <c r="I68" s="227"/>
      <c r="J68" s="227"/>
      <c r="K68" s="75">
        <f t="shared" si="8"/>
        <v>0</v>
      </c>
      <c r="L68" s="76">
        <f t="shared" si="9"/>
        <v>0</v>
      </c>
      <c r="M68" s="75">
        <f t="shared" si="10"/>
        <v>0</v>
      </c>
      <c r="N68" s="75">
        <f t="shared" si="11"/>
        <v>0</v>
      </c>
      <c r="O68" s="75">
        <f t="shared" si="12"/>
        <v>0</v>
      </c>
      <c r="P68" s="77">
        <f t="shared" si="13"/>
        <v>0</v>
      </c>
    </row>
    <row r="69" spans="1:16" s="61" customFormat="1" x14ac:dyDescent="0.2">
      <c r="A69" s="234">
        <v>0</v>
      </c>
      <c r="B69" s="238">
        <v>0</v>
      </c>
      <c r="C69" s="241" t="s">
        <v>389</v>
      </c>
      <c r="D69" s="211" t="s">
        <v>73</v>
      </c>
      <c r="E69" s="205">
        <v>1</v>
      </c>
      <c r="F69" s="226"/>
      <c r="G69" s="226"/>
      <c r="H69" s="227"/>
      <c r="I69" s="227"/>
      <c r="J69" s="227"/>
      <c r="K69" s="75">
        <f t="shared" si="8"/>
        <v>0</v>
      </c>
      <c r="L69" s="76">
        <f t="shared" si="9"/>
        <v>0</v>
      </c>
      <c r="M69" s="75">
        <f t="shared" si="10"/>
        <v>0</v>
      </c>
      <c r="N69" s="75">
        <f t="shared" si="11"/>
        <v>0</v>
      </c>
      <c r="O69" s="75">
        <f t="shared" si="12"/>
        <v>0</v>
      </c>
      <c r="P69" s="77">
        <f t="shared" si="13"/>
        <v>0</v>
      </c>
    </row>
    <row r="70" spans="1:16" s="61" customFormat="1" ht="15" x14ac:dyDescent="0.2">
      <c r="A70" s="208">
        <v>22</v>
      </c>
      <c r="B70" s="265" t="s">
        <v>229</v>
      </c>
      <c r="C70" s="230" t="s">
        <v>395</v>
      </c>
      <c r="D70" s="233" t="s">
        <v>199</v>
      </c>
      <c r="E70" s="333">
        <v>175</v>
      </c>
      <c r="F70" s="212"/>
      <c r="G70" s="212"/>
      <c r="H70" s="214"/>
      <c r="I70" s="214"/>
      <c r="J70" s="214"/>
      <c r="K70" s="75">
        <f t="shared" si="8"/>
        <v>0</v>
      </c>
      <c r="L70" s="76">
        <f t="shared" si="9"/>
        <v>0</v>
      </c>
      <c r="M70" s="75">
        <f t="shared" si="10"/>
        <v>0</v>
      </c>
      <c r="N70" s="75">
        <f t="shared" si="11"/>
        <v>0</v>
      </c>
      <c r="O70" s="75">
        <f t="shared" si="12"/>
        <v>0</v>
      </c>
      <c r="P70" s="77">
        <f t="shared" si="13"/>
        <v>0</v>
      </c>
    </row>
    <row r="71" spans="1:16" s="61" customFormat="1" x14ac:dyDescent="0.2">
      <c r="A71" s="202">
        <v>0</v>
      </c>
      <c r="B71" s="144"/>
      <c r="C71" s="207" t="s">
        <v>111</v>
      </c>
      <c r="D71" s="204"/>
      <c r="E71" s="205"/>
      <c r="F71" s="148"/>
      <c r="G71" s="148"/>
      <c r="H71" s="217"/>
      <c r="I71" s="217"/>
      <c r="J71" s="217"/>
      <c r="K71" s="75">
        <f t="shared" si="8"/>
        <v>0</v>
      </c>
      <c r="L71" s="76">
        <f t="shared" si="9"/>
        <v>0</v>
      </c>
      <c r="M71" s="75">
        <f t="shared" si="10"/>
        <v>0</v>
      </c>
      <c r="N71" s="75">
        <f t="shared" si="11"/>
        <v>0</v>
      </c>
      <c r="O71" s="75">
        <f t="shared" si="12"/>
        <v>0</v>
      </c>
      <c r="P71" s="77">
        <f t="shared" si="13"/>
        <v>0</v>
      </c>
    </row>
    <row r="72" spans="1:16" s="61" customFormat="1" ht="75" x14ac:dyDescent="0.25">
      <c r="A72" s="208">
        <v>23</v>
      </c>
      <c r="B72" s="266" t="s">
        <v>396</v>
      </c>
      <c r="C72" s="267" t="s">
        <v>397</v>
      </c>
      <c r="D72" s="268" t="s">
        <v>57</v>
      </c>
      <c r="E72" s="205">
        <v>165</v>
      </c>
      <c r="F72" s="212"/>
      <c r="G72" s="212"/>
      <c r="H72" s="214"/>
      <c r="I72" s="214"/>
      <c r="J72" s="214"/>
      <c r="K72" s="75">
        <f t="shared" si="8"/>
        <v>0</v>
      </c>
      <c r="L72" s="76">
        <f t="shared" si="9"/>
        <v>0</v>
      </c>
      <c r="M72" s="75">
        <f t="shared" si="10"/>
        <v>0</v>
      </c>
      <c r="N72" s="75">
        <f t="shared" si="11"/>
        <v>0</v>
      </c>
      <c r="O72" s="75">
        <f t="shared" si="12"/>
        <v>0</v>
      </c>
      <c r="P72" s="77">
        <f t="shared" si="13"/>
        <v>0</v>
      </c>
    </row>
    <row r="73" spans="1:16" s="61" customFormat="1" ht="75" x14ac:dyDescent="0.25">
      <c r="A73" s="208">
        <v>24</v>
      </c>
      <c r="B73" s="266" t="s">
        <v>396</v>
      </c>
      <c r="C73" s="267" t="s">
        <v>398</v>
      </c>
      <c r="D73" s="268" t="s">
        <v>57</v>
      </c>
      <c r="E73" s="205">
        <v>175</v>
      </c>
      <c r="F73" s="212"/>
      <c r="G73" s="212"/>
      <c r="H73" s="214"/>
      <c r="I73" s="214"/>
      <c r="J73" s="214"/>
      <c r="K73" s="75">
        <f t="shared" si="8"/>
        <v>0</v>
      </c>
      <c r="L73" s="76">
        <f t="shared" si="9"/>
        <v>0</v>
      </c>
      <c r="M73" s="75">
        <f t="shared" si="10"/>
        <v>0</v>
      </c>
      <c r="N73" s="75">
        <f t="shared" si="11"/>
        <v>0</v>
      </c>
      <c r="O73" s="75">
        <f t="shared" si="12"/>
        <v>0</v>
      </c>
      <c r="P73" s="77">
        <f t="shared" si="13"/>
        <v>0</v>
      </c>
    </row>
    <row r="74" spans="1:16" s="61" customFormat="1" ht="25.5" x14ac:dyDescent="0.2">
      <c r="A74" s="269">
        <v>25</v>
      </c>
      <c r="B74" s="270" t="s">
        <v>211</v>
      </c>
      <c r="C74" s="271" t="s">
        <v>399</v>
      </c>
      <c r="D74" s="204" t="s">
        <v>73</v>
      </c>
      <c r="E74" s="334">
        <v>7</v>
      </c>
      <c r="F74" s="212"/>
      <c r="G74" s="212"/>
      <c r="H74" s="214"/>
      <c r="I74" s="214"/>
      <c r="J74" s="214"/>
      <c r="K74" s="75">
        <f t="shared" si="8"/>
        <v>0</v>
      </c>
      <c r="L74" s="76">
        <f t="shared" si="9"/>
        <v>0</v>
      </c>
      <c r="M74" s="75">
        <f t="shared" si="10"/>
        <v>0</v>
      </c>
      <c r="N74" s="75">
        <f t="shared" si="11"/>
        <v>0</v>
      </c>
      <c r="O74" s="75">
        <f t="shared" si="12"/>
        <v>0</v>
      </c>
      <c r="P74" s="77">
        <f t="shared" si="13"/>
        <v>0</v>
      </c>
    </row>
    <row r="75" spans="1:16" s="61" customFormat="1" x14ac:dyDescent="0.2">
      <c r="A75" s="234">
        <v>26</v>
      </c>
      <c r="B75" s="238" t="s">
        <v>205</v>
      </c>
      <c r="C75" s="263" t="s">
        <v>400</v>
      </c>
      <c r="D75" s="211" t="s">
        <v>62</v>
      </c>
      <c r="E75" s="205">
        <v>5</v>
      </c>
      <c r="F75" s="226"/>
      <c r="G75" s="226"/>
      <c r="H75" s="227"/>
      <c r="I75" s="227"/>
      <c r="J75" s="227"/>
      <c r="K75" s="75">
        <f t="shared" si="8"/>
        <v>0</v>
      </c>
      <c r="L75" s="76">
        <f t="shared" si="9"/>
        <v>0</v>
      </c>
      <c r="M75" s="75">
        <f t="shared" si="10"/>
        <v>0</v>
      </c>
      <c r="N75" s="75">
        <f t="shared" si="11"/>
        <v>0</v>
      </c>
      <c r="O75" s="75">
        <f t="shared" si="12"/>
        <v>0</v>
      </c>
      <c r="P75" s="77">
        <f t="shared" si="13"/>
        <v>0</v>
      </c>
    </row>
    <row r="76" spans="1:16" s="61" customFormat="1" x14ac:dyDescent="0.2">
      <c r="A76" s="234">
        <v>0</v>
      </c>
      <c r="B76" s="238">
        <v>0</v>
      </c>
      <c r="C76" s="241" t="s">
        <v>401</v>
      </c>
      <c r="D76" s="211" t="s">
        <v>62</v>
      </c>
      <c r="E76" s="205">
        <f>E75</f>
        <v>5</v>
      </c>
      <c r="F76" s="226"/>
      <c r="G76" s="226"/>
      <c r="H76" s="227"/>
      <c r="I76" s="227"/>
      <c r="J76" s="227"/>
      <c r="K76" s="75">
        <f t="shared" si="8"/>
        <v>0</v>
      </c>
      <c r="L76" s="76">
        <f t="shared" si="9"/>
        <v>0</v>
      </c>
      <c r="M76" s="75">
        <f t="shared" si="10"/>
        <v>0</v>
      </c>
      <c r="N76" s="75">
        <f t="shared" si="11"/>
        <v>0</v>
      </c>
      <c r="O76" s="75">
        <f t="shared" si="12"/>
        <v>0</v>
      </c>
      <c r="P76" s="77">
        <f t="shared" si="13"/>
        <v>0</v>
      </c>
    </row>
    <row r="77" spans="1:16" s="61" customFormat="1" ht="15" x14ac:dyDescent="0.25">
      <c r="A77" s="208">
        <v>27</v>
      </c>
      <c r="B77" s="266" t="s">
        <v>396</v>
      </c>
      <c r="C77" s="267" t="s">
        <v>402</v>
      </c>
      <c r="D77" s="268" t="s">
        <v>57</v>
      </c>
      <c r="E77" s="205">
        <v>163.4</v>
      </c>
      <c r="F77" s="212"/>
      <c r="G77" s="212"/>
      <c r="H77" s="214"/>
      <c r="I77" s="214"/>
      <c r="J77" s="214"/>
      <c r="K77" s="75">
        <f t="shared" si="8"/>
        <v>0</v>
      </c>
      <c r="L77" s="76">
        <f t="shared" si="9"/>
        <v>0</v>
      </c>
      <c r="M77" s="75">
        <f t="shared" si="10"/>
        <v>0</v>
      </c>
      <c r="N77" s="75">
        <f t="shared" si="11"/>
        <v>0</v>
      </c>
      <c r="O77" s="75">
        <f t="shared" si="12"/>
        <v>0</v>
      </c>
      <c r="P77" s="77">
        <f t="shared" si="13"/>
        <v>0</v>
      </c>
    </row>
    <row r="78" spans="1:16" s="61" customFormat="1" ht="25.5" x14ac:dyDescent="0.2">
      <c r="A78" s="218">
        <v>28</v>
      </c>
      <c r="B78" s="250" t="s">
        <v>194</v>
      </c>
      <c r="C78" s="236" t="s">
        <v>403</v>
      </c>
      <c r="D78" s="233" t="s">
        <v>73</v>
      </c>
      <c r="E78" s="205">
        <v>1</v>
      </c>
      <c r="F78" s="212"/>
      <c r="G78" s="212"/>
      <c r="H78" s="214"/>
      <c r="I78" s="214"/>
      <c r="J78" s="214"/>
      <c r="K78" s="75">
        <f t="shared" si="8"/>
        <v>0</v>
      </c>
      <c r="L78" s="76">
        <f t="shared" si="9"/>
        <v>0</v>
      </c>
      <c r="M78" s="75">
        <f t="shared" si="10"/>
        <v>0</v>
      </c>
      <c r="N78" s="75">
        <f t="shared" si="11"/>
        <v>0</v>
      </c>
      <c r="O78" s="75">
        <f t="shared" si="12"/>
        <v>0</v>
      </c>
      <c r="P78" s="77">
        <f t="shared" si="13"/>
        <v>0</v>
      </c>
    </row>
    <row r="79" spans="1:16" s="61" customFormat="1" ht="45" x14ac:dyDescent="0.2">
      <c r="A79" s="208">
        <v>29</v>
      </c>
      <c r="B79" s="209" t="s">
        <v>404</v>
      </c>
      <c r="C79" s="230" t="s">
        <v>405</v>
      </c>
      <c r="D79" s="272" t="s">
        <v>207</v>
      </c>
      <c r="E79" s="205">
        <v>85</v>
      </c>
      <c r="F79" s="212"/>
      <c r="G79" s="212"/>
      <c r="H79" s="214"/>
      <c r="I79" s="214"/>
      <c r="J79" s="214"/>
      <c r="K79" s="75">
        <f t="shared" ref="K79:K147" si="14">SUM(H79:J79)</f>
        <v>0</v>
      </c>
      <c r="L79" s="76">
        <f t="shared" ref="L79:L147" si="15">ROUND(F79*E79,2)</f>
        <v>0</v>
      </c>
      <c r="M79" s="75">
        <f t="shared" ref="M79:M147" si="16">ROUND(H79*E79,2)</f>
        <v>0</v>
      </c>
      <c r="N79" s="75">
        <f t="shared" ref="N79:N147" si="17">ROUND(I79*E79,2)</f>
        <v>0</v>
      </c>
      <c r="O79" s="75">
        <f t="shared" ref="O79:O147" si="18">ROUND(J79*E79,2)</f>
        <v>0</v>
      </c>
      <c r="P79" s="77">
        <f t="shared" ref="P79:P147" si="19">SUM(M79:O79)</f>
        <v>0</v>
      </c>
    </row>
    <row r="80" spans="1:16" s="61" customFormat="1" ht="25.5" x14ac:dyDescent="0.2">
      <c r="A80" s="208">
        <v>0</v>
      </c>
      <c r="B80" s="209">
        <v>0</v>
      </c>
      <c r="C80" s="262" t="s">
        <v>406</v>
      </c>
      <c r="D80" s="272" t="s">
        <v>207</v>
      </c>
      <c r="E80" s="205">
        <f>E79</f>
        <v>85</v>
      </c>
      <c r="F80" s="212"/>
      <c r="G80" s="212"/>
      <c r="H80" s="214"/>
      <c r="I80" s="214"/>
      <c r="J80" s="214"/>
      <c r="K80" s="75">
        <f t="shared" si="14"/>
        <v>0</v>
      </c>
      <c r="L80" s="76">
        <f t="shared" si="15"/>
        <v>0</v>
      </c>
      <c r="M80" s="75">
        <f t="shared" si="16"/>
        <v>0</v>
      </c>
      <c r="N80" s="75">
        <f t="shared" si="17"/>
        <v>0</v>
      </c>
      <c r="O80" s="75">
        <f t="shared" si="18"/>
        <v>0</v>
      </c>
      <c r="P80" s="77">
        <f t="shared" si="19"/>
        <v>0</v>
      </c>
    </row>
    <row r="81" spans="1:16" s="61" customFormat="1" ht="30" x14ac:dyDescent="0.2">
      <c r="A81" s="208">
        <v>30</v>
      </c>
      <c r="B81" s="209" t="s">
        <v>229</v>
      </c>
      <c r="C81" s="230" t="s">
        <v>407</v>
      </c>
      <c r="D81" s="272" t="s">
        <v>207</v>
      </c>
      <c r="E81" s="205">
        <v>170</v>
      </c>
      <c r="F81" s="212"/>
      <c r="G81" s="212"/>
      <c r="H81" s="214"/>
      <c r="I81" s="214"/>
      <c r="J81" s="214"/>
      <c r="K81" s="75">
        <f t="shared" si="14"/>
        <v>0</v>
      </c>
      <c r="L81" s="76">
        <f t="shared" si="15"/>
        <v>0</v>
      </c>
      <c r="M81" s="75">
        <f t="shared" si="16"/>
        <v>0</v>
      </c>
      <c r="N81" s="75">
        <f t="shared" si="17"/>
        <v>0</v>
      </c>
      <c r="O81" s="75">
        <f t="shared" si="18"/>
        <v>0</v>
      </c>
      <c r="P81" s="77">
        <f t="shared" si="19"/>
        <v>0</v>
      </c>
    </row>
    <row r="82" spans="1:16" s="61" customFormat="1" ht="45" x14ac:dyDescent="0.2">
      <c r="A82" s="208">
        <v>31</v>
      </c>
      <c r="B82" s="209" t="s">
        <v>229</v>
      </c>
      <c r="C82" s="230" t="s">
        <v>408</v>
      </c>
      <c r="D82" s="273" t="s">
        <v>73</v>
      </c>
      <c r="E82" s="205">
        <v>1</v>
      </c>
      <c r="F82" s="213"/>
      <c r="G82" s="213"/>
      <c r="H82" s="214"/>
      <c r="I82" s="214"/>
      <c r="J82" s="214"/>
      <c r="K82" s="75">
        <f t="shared" si="14"/>
        <v>0</v>
      </c>
      <c r="L82" s="76">
        <f t="shared" si="15"/>
        <v>0</v>
      </c>
      <c r="M82" s="75">
        <f t="shared" si="16"/>
        <v>0</v>
      </c>
      <c r="N82" s="75">
        <f t="shared" si="17"/>
        <v>0</v>
      </c>
      <c r="O82" s="75">
        <f t="shared" si="18"/>
        <v>0</v>
      </c>
      <c r="P82" s="77">
        <f t="shared" si="19"/>
        <v>0</v>
      </c>
    </row>
    <row r="83" spans="1:16" s="61" customFormat="1" x14ac:dyDescent="0.2">
      <c r="A83" s="202">
        <v>0</v>
      </c>
      <c r="B83" s="144"/>
      <c r="C83" s="203" t="s">
        <v>281</v>
      </c>
      <c r="D83" s="204"/>
      <c r="E83" s="205"/>
      <c r="F83" s="148"/>
      <c r="G83" s="148"/>
      <c r="H83" s="206"/>
      <c r="I83" s="206"/>
      <c r="J83" s="206"/>
      <c r="K83" s="75">
        <f t="shared" si="14"/>
        <v>0</v>
      </c>
      <c r="L83" s="76">
        <f t="shared" si="15"/>
        <v>0</v>
      </c>
      <c r="M83" s="75">
        <f t="shared" si="16"/>
        <v>0</v>
      </c>
      <c r="N83" s="75">
        <f t="shared" si="17"/>
        <v>0</v>
      </c>
      <c r="O83" s="75">
        <f t="shared" si="18"/>
        <v>0</v>
      </c>
      <c r="P83" s="77">
        <f t="shared" si="19"/>
        <v>0</v>
      </c>
    </row>
    <row r="84" spans="1:16" s="61" customFormat="1" ht="31.5" x14ac:dyDescent="0.2">
      <c r="A84" s="143">
        <v>0</v>
      </c>
      <c r="B84" s="144"/>
      <c r="C84" s="145" t="s">
        <v>409</v>
      </c>
      <c r="D84" s="146"/>
      <c r="E84" s="147"/>
      <c r="F84" s="148"/>
      <c r="G84" s="148"/>
      <c r="H84" s="149"/>
      <c r="I84" s="149"/>
      <c r="J84" s="149"/>
      <c r="K84" s="75">
        <f t="shared" si="14"/>
        <v>0</v>
      </c>
      <c r="L84" s="76">
        <f t="shared" si="15"/>
        <v>0</v>
      </c>
      <c r="M84" s="75">
        <f t="shared" si="16"/>
        <v>0</v>
      </c>
      <c r="N84" s="75">
        <f t="shared" si="17"/>
        <v>0</v>
      </c>
      <c r="O84" s="75">
        <f t="shared" si="18"/>
        <v>0</v>
      </c>
      <c r="P84" s="77">
        <f t="shared" si="19"/>
        <v>0</v>
      </c>
    </row>
    <row r="85" spans="1:16" s="61" customFormat="1" x14ac:dyDescent="0.2">
      <c r="A85" s="155">
        <v>0</v>
      </c>
      <c r="B85" s="156"/>
      <c r="C85" s="197" t="s">
        <v>410</v>
      </c>
      <c r="D85" s="158"/>
      <c r="E85" s="158"/>
      <c r="F85" s="159"/>
      <c r="G85" s="159"/>
      <c r="H85" s="161"/>
      <c r="I85" s="161"/>
      <c r="J85" s="161"/>
      <c r="K85" s="75">
        <f t="shared" si="14"/>
        <v>0</v>
      </c>
      <c r="L85" s="76">
        <f t="shared" si="15"/>
        <v>0</v>
      </c>
      <c r="M85" s="75">
        <f t="shared" si="16"/>
        <v>0</v>
      </c>
      <c r="N85" s="75">
        <f t="shared" si="17"/>
        <v>0</v>
      </c>
      <c r="O85" s="75">
        <f t="shared" si="18"/>
        <v>0</v>
      </c>
      <c r="P85" s="77">
        <f t="shared" si="19"/>
        <v>0</v>
      </c>
    </row>
    <row r="86" spans="1:16" s="61" customFormat="1" ht="114.75" x14ac:dyDescent="0.2">
      <c r="A86" s="155">
        <v>32</v>
      </c>
      <c r="B86" s="366" t="str">
        <f t="shared" ref="B86:B154" si="20">IF(A86&gt;0,"L.c.",0)</f>
        <v>L.c.</v>
      </c>
      <c r="C86" s="186" t="s">
        <v>411</v>
      </c>
      <c r="D86" s="158" t="s">
        <v>131</v>
      </c>
      <c r="E86" s="182">
        <f>2379+6623.6+2225.1+324.2+978+681.6+1139+440+1479</f>
        <v>16269.500000000002</v>
      </c>
      <c r="F86" s="158"/>
      <c r="G86" s="159"/>
      <c r="H86" s="161"/>
      <c r="I86" s="161"/>
      <c r="J86" s="161"/>
      <c r="K86" s="75">
        <f t="shared" si="14"/>
        <v>0</v>
      </c>
      <c r="L86" s="76">
        <f t="shared" si="15"/>
        <v>0</v>
      </c>
      <c r="M86" s="75">
        <f t="shared" si="16"/>
        <v>0</v>
      </c>
      <c r="N86" s="75">
        <f t="shared" si="17"/>
        <v>0</v>
      </c>
      <c r="O86" s="75">
        <f t="shared" si="18"/>
        <v>0</v>
      </c>
      <c r="P86" s="77">
        <f t="shared" si="19"/>
        <v>0</v>
      </c>
    </row>
    <row r="87" spans="1:16" s="61" customFormat="1" x14ac:dyDescent="0.2">
      <c r="A87" s="155">
        <v>0</v>
      </c>
      <c r="B87" s="366">
        <f t="shared" si="20"/>
        <v>0</v>
      </c>
      <c r="C87" s="189" t="s">
        <v>188</v>
      </c>
      <c r="D87" s="158" t="s">
        <v>131</v>
      </c>
      <c r="E87" s="179">
        <f>E86*1.1</f>
        <v>17896.450000000004</v>
      </c>
      <c r="F87" s="190"/>
      <c r="G87" s="159"/>
      <c r="H87" s="161"/>
      <c r="I87" s="161"/>
      <c r="J87" s="161"/>
      <c r="K87" s="75">
        <f t="shared" si="14"/>
        <v>0</v>
      </c>
      <c r="L87" s="76">
        <f t="shared" si="15"/>
        <v>0</v>
      </c>
      <c r="M87" s="75">
        <f t="shared" si="16"/>
        <v>0</v>
      </c>
      <c r="N87" s="75">
        <f t="shared" si="17"/>
        <v>0</v>
      </c>
      <c r="O87" s="75">
        <f t="shared" si="18"/>
        <v>0</v>
      </c>
      <c r="P87" s="77">
        <f t="shared" si="19"/>
        <v>0</v>
      </c>
    </row>
    <row r="88" spans="1:16" s="61" customFormat="1" x14ac:dyDescent="0.2">
      <c r="A88" s="155">
        <v>0</v>
      </c>
      <c r="B88" s="366">
        <f t="shared" si="20"/>
        <v>0</v>
      </c>
      <c r="C88" s="192" t="s">
        <v>189</v>
      </c>
      <c r="D88" s="158" t="s">
        <v>66</v>
      </c>
      <c r="E88" s="179">
        <v>1</v>
      </c>
      <c r="F88" s="190"/>
      <c r="G88" s="159"/>
      <c r="H88" s="161"/>
      <c r="I88" s="161"/>
      <c r="J88" s="161"/>
      <c r="K88" s="75">
        <f t="shared" si="14"/>
        <v>0</v>
      </c>
      <c r="L88" s="76">
        <f t="shared" si="15"/>
        <v>0</v>
      </c>
      <c r="M88" s="75">
        <f t="shared" si="16"/>
        <v>0</v>
      </c>
      <c r="N88" s="75">
        <f t="shared" si="17"/>
        <v>0</v>
      </c>
      <c r="O88" s="75">
        <f t="shared" si="18"/>
        <v>0</v>
      </c>
      <c r="P88" s="77">
        <f t="shared" si="19"/>
        <v>0</v>
      </c>
    </row>
    <row r="89" spans="1:16" s="61" customFormat="1" x14ac:dyDescent="0.2">
      <c r="A89" s="155">
        <v>33</v>
      </c>
      <c r="B89" s="366" t="str">
        <f t="shared" si="20"/>
        <v>L.c.</v>
      </c>
      <c r="C89" s="274" t="s">
        <v>412</v>
      </c>
      <c r="D89" s="158" t="s">
        <v>83</v>
      </c>
      <c r="E89" s="179">
        <v>410</v>
      </c>
      <c r="F89" s="190"/>
      <c r="G89" s="159"/>
      <c r="H89" s="161"/>
      <c r="I89" s="161"/>
      <c r="J89" s="161"/>
      <c r="K89" s="75">
        <f t="shared" si="14"/>
        <v>0</v>
      </c>
      <c r="L89" s="76">
        <f t="shared" si="15"/>
        <v>0</v>
      </c>
      <c r="M89" s="75">
        <f t="shared" si="16"/>
        <v>0</v>
      </c>
      <c r="N89" s="75">
        <f t="shared" si="17"/>
        <v>0</v>
      </c>
      <c r="O89" s="75">
        <f t="shared" si="18"/>
        <v>0</v>
      </c>
      <c r="P89" s="77">
        <f t="shared" si="19"/>
        <v>0</v>
      </c>
    </row>
    <row r="90" spans="1:16" s="61" customFormat="1" x14ac:dyDescent="0.2">
      <c r="A90" s="155">
        <v>0</v>
      </c>
      <c r="B90" s="366">
        <f t="shared" si="20"/>
        <v>0</v>
      </c>
      <c r="C90" s="192" t="s">
        <v>413</v>
      </c>
      <c r="D90" s="158" t="s">
        <v>83</v>
      </c>
      <c r="E90" s="179">
        <f>E89*1.1</f>
        <v>451.00000000000006</v>
      </c>
      <c r="F90" s="190"/>
      <c r="G90" s="159"/>
      <c r="H90" s="161"/>
      <c r="I90" s="161"/>
      <c r="J90" s="161"/>
      <c r="K90" s="75">
        <f t="shared" si="14"/>
        <v>0</v>
      </c>
      <c r="L90" s="76">
        <f t="shared" si="15"/>
        <v>0</v>
      </c>
      <c r="M90" s="75">
        <f t="shared" si="16"/>
        <v>0</v>
      </c>
      <c r="N90" s="75">
        <f t="shared" si="17"/>
        <v>0</v>
      </c>
      <c r="O90" s="75">
        <f t="shared" si="18"/>
        <v>0</v>
      </c>
      <c r="P90" s="77">
        <f t="shared" si="19"/>
        <v>0</v>
      </c>
    </row>
    <row r="91" spans="1:16" s="61" customFormat="1" x14ac:dyDescent="0.2">
      <c r="A91" s="155">
        <v>0</v>
      </c>
      <c r="B91" s="366">
        <f t="shared" si="20"/>
        <v>0</v>
      </c>
      <c r="C91" s="192" t="s">
        <v>209</v>
      </c>
      <c r="D91" s="158" t="s">
        <v>59</v>
      </c>
      <c r="E91" s="179">
        <f>E89*8</f>
        <v>3280</v>
      </c>
      <c r="F91" s="190"/>
      <c r="G91" s="159"/>
      <c r="H91" s="161"/>
      <c r="I91" s="161"/>
      <c r="J91" s="161"/>
      <c r="K91" s="75">
        <f t="shared" si="14"/>
        <v>0</v>
      </c>
      <c r="L91" s="76">
        <f t="shared" si="15"/>
        <v>0</v>
      </c>
      <c r="M91" s="75">
        <f t="shared" si="16"/>
        <v>0</v>
      </c>
      <c r="N91" s="75">
        <f t="shared" si="17"/>
        <v>0</v>
      </c>
      <c r="O91" s="75">
        <f t="shared" si="18"/>
        <v>0</v>
      </c>
      <c r="P91" s="77">
        <f t="shared" si="19"/>
        <v>0</v>
      </c>
    </row>
    <row r="92" spans="1:16" s="61" customFormat="1" x14ac:dyDescent="0.2">
      <c r="A92" s="155">
        <v>34</v>
      </c>
      <c r="B92" s="366" t="str">
        <f t="shared" si="20"/>
        <v>L.c.</v>
      </c>
      <c r="C92" s="173" t="s">
        <v>184</v>
      </c>
      <c r="D92" s="158" t="s">
        <v>83</v>
      </c>
      <c r="E92" s="164">
        <v>1.5</v>
      </c>
      <c r="F92" s="161"/>
      <c r="G92" s="159"/>
      <c r="H92" s="161"/>
      <c r="I92" s="161"/>
      <c r="J92" s="161"/>
      <c r="K92" s="75">
        <f t="shared" si="14"/>
        <v>0</v>
      </c>
      <c r="L92" s="76">
        <f t="shared" si="15"/>
        <v>0</v>
      </c>
      <c r="M92" s="75">
        <f t="shared" si="16"/>
        <v>0</v>
      </c>
      <c r="N92" s="75">
        <f t="shared" si="17"/>
        <v>0</v>
      </c>
      <c r="O92" s="75">
        <f t="shared" si="18"/>
        <v>0</v>
      </c>
      <c r="P92" s="77">
        <f t="shared" si="19"/>
        <v>0</v>
      </c>
    </row>
    <row r="93" spans="1:16" s="61" customFormat="1" ht="89.25" x14ac:dyDescent="0.2">
      <c r="A93" s="155">
        <v>35</v>
      </c>
      <c r="B93" s="366" t="str">
        <f t="shared" si="20"/>
        <v>L.c.</v>
      </c>
      <c r="C93" s="312" t="s">
        <v>185</v>
      </c>
      <c r="D93" s="308" t="s">
        <v>131</v>
      </c>
      <c r="E93" s="309">
        <v>70.8</v>
      </c>
      <c r="F93" s="177"/>
      <c r="G93" s="159"/>
      <c r="H93" s="161"/>
      <c r="I93" s="161"/>
      <c r="J93" s="161"/>
      <c r="K93" s="75">
        <f t="shared" si="14"/>
        <v>0</v>
      </c>
      <c r="L93" s="76">
        <f t="shared" si="15"/>
        <v>0</v>
      </c>
      <c r="M93" s="75">
        <f t="shared" si="16"/>
        <v>0</v>
      </c>
      <c r="N93" s="75">
        <f t="shared" si="17"/>
        <v>0</v>
      </c>
      <c r="O93" s="75">
        <f t="shared" si="18"/>
        <v>0</v>
      </c>
      <c r="P93" s="77">
        <f t="shared" si="19"/>
        <v>0</v>
      </c>
    </row>
    <row r="94" spans="1:16" s="61" customFormat="1" x14ac:dyDescent="0.2">
      <c r="A94" s="155">
        <v>0</v>
      </c>
      <c r="B94" s="366">
        <f t="shared" si="20"/>
        <v>0</v>
      </c>
      <c r="C94" s="314" t="s">
        <v>132</v>
      </c>
      <c r="D94" s="315" t="s">
        <v>131</v>
      </c>
      <c r="E94" s="316">
        <f>E93*1.15</f>
        <v>81.419999999999987</v>
      </c>
      <c r="F94" s="159"/>
      <c r="G94" s="159"/>
      <c r="H94" s="161"/>
      <c r="I94" s="161"/>
      <c r="J94" s="161"/>
      <c r="K94" s="75">
        <f t="shared" si="14"/>
        <v>0</v>
      </c>
      <c r="L94" s="76">
        <f t="shared" si="15"/>
        <v>0</v>
      </c>
      <c r="M94" s="75">
        <f t="shared" si="16"/>
        <v>0</v>
      </c>
      <c r="N94" s="75">
        <f t="shared" si="17"/>
        <v>0</v>
      </c>
      <c r="O94" s="75">
        <f t="shared" si="18"/>
        <v>0</v>
      </c>
      <c r="P94" s="77">
        <f t="shared" si="19"/>
        <v>0</v>
      </c>
    </row>
    <row r="95" spans="1:16" s="61" customFormat="1" x14ac:dyDescent="0.2">
      <c r="A95" s="155"/>
      <c r="B95" s="366"/>
      <c r="C95" s="314" t="s">
        <v>774</v>
      </c>
      <c r="D95" s="315" t="s">
        <v>59</v>
      </c>
      <c r="E95" s="316">
        <v>3</v>
      </c>
      <c r="F95" s="159"/>
      <c r="G95" s="159"/>
      <c r="H95" s="161"/>
      <c r="I95" s="161"/>
      <c r="J95" s="161"/>
      <c r="K95" s="75">
        <f t="shared" si="14"/>
        <v>0</v>
      </c>
      <c r="L95" s="76"/>
      <c r="M95" s="75"/>
      <c r="N95" s="75"/>
      <c r="O95" s="75"/>
      <c r="P95" s="77"/>
    </row>
    <row r="96" spans="1:16" s="61" customFormat="1" x14ac:dyDescent="0.2">
      <c r="A96" s="155"/>
      <c r="B96" s="366"/>
      <c r="C96" s="314" t="s">
        <v>775</v>
      </c>
      <c r="D96" s="315" t="s">
        <v>59</v>
      </c>
      <c r="E96" s="316">
        <v>1</v>
      </c>
      <c r="F96" s="159"/>
      <c r="G96" s="159"/>
      <c r="H96" s="161"/>
      <c r="I96" s="161"/>
      <c r="J96" s="161"/>
      <c r="K96" s="75">
        <f t="shared" si="14"/>
        <v>0</v>
      </c>
      <c r="L96" s="76"/>
      <c r="M96" s="75"/>
      <c r="N96" s="75"/>
      <c r="O96" s="75"/>
      <c r="P96" s="77"/>
    </row>
    <row r="97" spans="1:16" s="61" customFormat="1" x14ac:dyDescent="0.2">
      <c r="A97" s="155"/>
      <c r="B97" s="366"/>
      <c r="C97" s="314" t="s">
        <v>776</v>
      </c>
      <c r="D97" s="315" t="s">
        <v>59</v>
      </c>
      <c r="E97" s="316">
        <v>6</v>
      </c>
      <c r="F97" s="159"/>
      <c r="G97" s="159"/>
      <c r="H97" s="161"/>
      <c r="I97" s="161"/>
      <c r="J97" s="161"/>
      <c r="K97" s="75">
        <f t="shared" si="14"/>
        <v>0</v>
      </c>
      <c r="L97" s="76"/>
      <c r="M97" s="75"/>
      <c r="N97" s="75"/>
      <c r="O97" s="75"/>
      <c r="P97" s="77"/>
    </row>
    <row r="98" spans="1:16" s="61" customFormat="1" ht="25.5" x14ac:dyDescent="0.2">
      <c r="A98" s="155">
        <v>0</v>
      </c>
      <c r="B98" s="366">
        <f t="shared" si="20"/>
        <v>0</v>
      </c>
      <c r="C98" s="317" t="s">
        <v>133</v>
      </c>
      <c r="D98" s="308" t="s">
        <v>66</v>
      </c>
      <c r="E98" s="308">
        <v>1</v>
      </c>
      <c r="F98" s="159"/>
      <c r="G98" s="159"/>
      <c r="H98" s="161"/>
      <c r="I98" s="161"/>
      <c r="J98" s="161"/>
      <c r="K98" s="75">
        <f t="shared" si="14"/>
        <v>0</v>
      </c>
      <c r="L98" s="76">
        <f t="shared" si="15"/>
        <v>0</v>
      </c>
      <c r="M98" s="75">
        <f t="shared" si="16"/>
        <v>0</v>
      </c>
      <c r="N98" s="75">
        <f t="shared" si="17"/>
        <v>0</v>
      </c>
      <c r="O98" s="75">
        <f t="shared" si="18"/>
        <v>0</v>
      </c>
      <c r="P98" s="77">
        <f t="shared" si="19"/>
        <v>0</v>
      </c>
    </row>
    <row r="99" spans="1:16" s="61" customFormat="1" ht="38.25" x14ac:dyDescent="0.2">
      <c r="A99" s="155">
        <v>36</v>
      </c>
      <c r="B99" s="366" t="str">
        <f t="shared" si="20"/>
        <v>L.c.</v>
      </c>
      <c r="C99" s="312" t="s">
        <v>414</v>
      </c>
      <c r="D99" s="315" t="s">
        <v>78</v>
      </c>
      <c r="E99" s="309">
        <v>0.56000000000000005</v>
      </c>
      <c r="F99" s="159"/>
      <c r="G99" s="159"/>
      <c r="H99" s="161"/>
      <c r="I99" s="161"/>
      <c r="J99" s="161"/>
      <c r="K99" s="75">
        <f t="shared" si="14"/>
        <v>0</v>
      </c>
      <c r="L99" s="76">
        <f t="shared" si="15"/>
        <v>0</v>
      </c>
      <c r="M99" s="75">
        <f t="shared" si="16"/>
        <v>0</v>
      </c>
      <c r="N99" s="75">
        <f t="shared" si="17"/>
        <v>0</v>
      </c>
      <c r="O99" s="75">
        <f t="shared" si="18"/>
        <v>0</v>
      </c>
      <c r="P99" s="77">
        <f t="shared" si="19"/>
        <v>0</v>
      </c>
    </row>
    <row r="100" spans="1:16" s="61" customFormat="1" x14ac:dyDescent="0.2">
      <c r="A100" s="155">
        <v>0</v>
      </c>
      <c r="B100" s="366">
        <f t="shared" si="20"/>
        <v>0</v>
      </c>
      <c r="C100" s="318" t="s">
        <v>158</v>
      </c>
      <c r="D100" s="315" t="s">
        <v>78</v>
      </c>
      <c r="E100" s="319">
        <f>E99*1.05</f>
        <v>0.58800000000000008</v>
      </c>
      <c r="F100" s="195"/>
      <c r="G100" s="164"/>
      <c r="H100" s="167"/>
      <c r="I100" s="167"/>
      <c r="J100" s="167"/>
      <c r="K100" s="410">
        <f t="shared" si="14"/>
        <v>0</v>
      </c>
      <c r="L100" s="411">
        <f t="shared" si="15"/>
        <v>0</v>
      </c>
      <c r="M100" s="410">
        <f t="shared" si="16"/>
        <v>0</v>
      </c>
      <c r="N100" s="410">
        <f t="shared" si="17"/>
        <v>0</v>
      </c>
      <c r="O100" s="410">
        <f t="shared" si="18"/>
        <v>0</v>
      </c>
      <c r="P100" s="412">
        <f t="shared" si="19"/>
        <v>0</v>
      </c>
    </row>
    <row r="101" spans="1:16" s="61" customFormat="1" ht="38.25" x14ac:dyDescent="0.2">
      <c r="A101" s="155"/>
      <c r="B101" s="366"/>
      <c r="C101" s="408" t="s">
        <v>777</v>
      </c>
      <c r="D101" s="315" t="s">
        <v>59</v>
      </c>
      <c r="E101" s="319">
        <v>3</v>
      </c>
      <c r="F101" s="164"/>
      <c r="G101" s="164"/>
      <c r="H101" s="167"/>
      <c r="I101" s="167"/>
      <c r="J101" s="167"/>
      <c r="K101" s="410">
        <f t="shared" ref="K101" si="21">SUM(H101:J101)</f>
        <v>0</v>
      </c>
      <c r="L101" s="411">
        <f t="shared" ref="L101" si="22">ROUND(F101*E101,2)</f>
        <v>0</v>
      </c>
      <c r="M101" s="410">
        <f t="shared" ref="M101" si="23">ROUND(H101*E101,2)</f>
        <v>0</v>
      </c>
      <c r="N101" s="410">
        <f t="shared" ref="N101" si="24">ROUND(I101*E101,2)</f>
        <v>0</v>
      </c>
      <c r="O101" s="410">
        <f t="shared" ref="O101" si="25">ROUND(J101*E101,2)</f>
        <v>0</v>
      </c>
      <c r="P101" s="412">
        <f t="shared" ref="P101" si="26">SUM(M101:O101)</f>
        <v>0</v>
      </c>
    </row>
    <row r="102" spans="1:16" s="61" customFormat="1" ht="38.25" x14ac:dyDescent="0.2">
      <c r="A102" s="155"/>
      <c r="B102" s="366"/>
      <c r="C102" s="408" t="s">
        <v>778</v>
      </c>
      <c r="D102" s="315" t="s">
        <v>59</v>
      </c>
      <c r="E102" s="319">
        <v>6</v>
      </c>
      <c r="F102" s="164"/>
      <c r="G102" s="164"/>
      <c r="H102" s="167"/>
      <c r="I102" s="167"/>
      <c r="J102" s="167"/>
      <c r="K102" s="410">
        <f t="shared" ref="K102" si="27">SUM(H102:J102)</f>
        <v>0</v>
      </c>
      <c r="L102" s="411">
        <f t="shared" ref="L102" si="28">ROUND(F102*E102,2)</f>
        <v>0</v>
      </c>
      <c r="M102" s="410">
        <f t="shared" ref="M102" si="29">ROUND(H102*E102,2)</f>
        <v>0</v>
      </c>
      <c r="N102" s="410">
        <f t="shared" ref="N102" si="30">ROUND(I102*E102,2)</f>
        <v>0</v>
      </c>
      <c r="O102" s="410">
        <f t="shared" ref="O102" si="31">ROUND(J102*E102,2)</f>
        <v>0</v>
      </c>
      <c r="P102" s="412">
        <f t="shared" ref="P102" si="32">SUM(M102:O102)</f>
        <v>0</v>
      </c>
    </row>
    <row r="103" spans="1:16" s="61" customFormat="1" x14ac:dyDescent="0.2">
      <c r="A103" s="155">
        <v>0</v>
      </c>
      <c r="B103" s="366">
        <f t="shared" si="20"/>
        <v>0</v>
      </c>
      <c r="C103" s="186"/>
      <c r="D103" s="158"/>
      <c r="E103" s="158"/>
      <c r="F103" s="159"/>
      <c r="G103" s="159"/>
      <c r="H103" s="161"/>
      <c r="I103" s="161"/>
      <c r="J103" s="161"/>
      <c r="K103" s="75">
        <f t="shared" si="14"/>
        <v>0</v>
      </c>
      <c r="L103" s="76">
        <f t="shared" si="15"/>
        <v>0</v>
      </c>
      <c r="M103" s="75">
        <f t="shared" si="16"/>
        <v>0</v>
      </c>
      <c r="N103" s="75">
        <f t="shared" si="17"/>
        <v>0</v>
      </c>
      <c r="O103" s="75">
        <f t="shared" si="18"/>
        <v>0</v>
      </c>
      <c r="P103" s="77">
        <f t="shared" si="19"/>
        <v>0</v>
      </c>
    </row>
    <row r="104" spans="1:16" s="61" customFormat="1" x14ac:dyDescent="0.2">
      <c r="A104" s="155">
        <v>0</v>
      </c>
      <c r="B104" s="366">
        <f t="shared" si="20"/>
        <v>0</v>
      </c>
      <c r="C104" s="197" t="s">
        <v>415</v>
      </c>
      <c r="D104" s="158"/>
      <c r="E104" s="158"/>
      <c r="F104" s="159"/>
      <c r="G104" s="159"/>
      <c r="H104" s="161"/>
      <c r="I104" s="161"/>
      <c r="J104" s="161"/>
      <c r="K104" s="75">
        <f t="shared" si="14"/>
        <v>0</v>
      </c>
      <c r="L104" s="76">
        <f t="shared" si="15"/>
        <v>0</v>
      </c>
      <c r="M104" s="75">
        <f t="shared" si="16"/>
        <v>0</v>
      </c>
      <c r="N104" s="75">
        <f t="shared" si="17"/>
        <v>0</v>
      </c>
      <c r="O104" s="75">
        <f t="shared" si="18"/>
        <v>0</v>
      </c>
      <c r="P104" s="77">
        <f t="shared" si="19"/>
        <v>0</v>
      </c>
    </row>
    <row r="105" spans="1:16" s="61" customFormat="1" ht="102" x14ac:dyDescent="0.2">
      <c r="A105" s="155">
        <v>37</v>
      </c>
      <c r="B105" s="366" t="str">
        <f t="shared" si="20"/>
        <v>L.c.</v>
      </c>
      <c r="C105" s="186" t="s">
        <v>295</v>
      </c>
      <c r="D105" s="158" t="s">
        <v>131</v>
      </c>
      <c r="E105" s="182">
        <f>668.3+472.2</f>
        <v>1140.5</v>
      </c>
      <c r="F105" s="158"/>
      <c r="G105" s="159"/>
      <c r="H105" s="161"/>
      <c r="I105" s="161"/>
      <c r="J105" s="161"/>
      <c r="K105" s="75">
        <f t="shared" si="14"/>
        <v>0</v>
      </c>
      <c r="L105" s="76">
        <f t="shared" si="15"/>
        <v>0</v>
      </c>
      <c r="M105" s="75">
        <f t="shared" si="16"/>
        <v>0</v>
      </c>
      <c r="N105" s="75">
        <f t="shared" si="17"/>
        <v>0</v>
      </c>
      <c r="O105" s="75">
        <f t="shared" si="18"/>
        <v>0</v>
      </c>
      <c r="P105" s="77">
        <f t="shared" si="19"/>
        <v>0</v>
      </c>
    </row>
    <row r="106" spans="1:16" s="61" customFormat="1" x14ac:dyDescent="0.2">
      <c r="A106" s="155">
        <v>0</v>
      </c>
      <c r="B106" s="366">
        <f t="shared" si="20"/>
        <v>0</v>
      </c>
      <c r="C106" s="189" t="s">
        <v>188</v>
      </c>
      <c r="D106" s="158" t="s">
        <v>131</v>
      </c>
      <c r="E106" s="179">
        <f>E105*1.1</f>
        <v>1254.5500000000002</v>
      </c>
      <c r="F106" s="190"/>
      <c r="G106" s="159"/>
      <c r="H106" s="161"/>
      <c r="I106" s="161"/>
      <c r="J106" s="161"/>
      <c r="K106" s="75">
        <f t="shared" si="14"/>
        <v>0</v>
      </c>
      <c r="L106" s="76">
        <f t="shared" si="15"/>
        <v>0</v>
      </c>
      <c r="M106" s="75">
        <f t="shared" si="16"/>
        <v>0</v>
      </c>
      <c r="N106" s="75">
        <f t="shared" si="17"/>
        <v>0</v>
      </c>
      <c r="O106" s="75">
        <f t="shared" si="18"/>
        <v>0</v>
      </c>
      <c r="P106" s="77">
        <f t="shared" si="19"/>
        <v>0</v>
      </c>
    </row>
    <row r="107" spans="1:16" s="61" customFormat="1" x14ac:dyDescent="0.2">
      <c r="A107" s="155">
        <v>0</v>
      </c>
      <c r="B107" s="366">
        <f t="shared" si="20"/>
        <v>0</v>
      </c>
      <c r="C107" s="192" t="s">
        <v>189</v>
      </c>
      <c r="D107" s="158" t="s">
        <v>66</v>
      </c>
      <c r="E107" s="179">
        <v>1</v>
      </c>
      <c r="F107" s="190"/>
      <c r="G107" s="159"/>
      <c r="H107" s="161"/>
      <c r="I107" s="161"/>
      <c r="J107" s="161"/>
      <c r="K107" s="75">
        <f t="shared" si="14"/>
        <v>0</v>
      </c>
      <c r="L107" s="76">
        <f t="shared" si="15"/>
        <v>0</v>
      </c>
      <c r="M107" s="75">
        <f t="shared" si="16"/>
        <v>0</v>
      </c>
      <c r="N107" s="75">
        <f t="shared" si="17"/>
        <v>0</v>
      </c>
      <c r="O107" s="75">
        <f t="shared" si="18"/>
        <v>0</v>
      </c>
      <c r="P107" s="77">
        <f t="shared" si="19"/>
        <v>0</v>
      </c>
    </row>
    <row r="108" spans="1:16" s="61" customFormat="1" x14ac:dyDescent="0.2">
      <c r="A108" s="155">
        <v>38</v>
      </c>
      <c r="B108" s="366" t="str">
        <f t="shared" si="20"/>
        <v>L.c.</v>
      </c>
      <c r="C108" s="274" t="s">
        <v>416</v>
      </c>
      <c r="D108" s="158" t="s">
        <v>83</v>
      </c>
      <c r="E108" s="179">
        <v>10.7</v>
      </c>
      <c r="F108" s="190"/>
      <c r="G108" s="159"/>
      <c r="H108" s="161"/>
      <c r="I108" s="161"/>
      <c r="J108" s="161"/>
      <c r="K108" s="75">
        <f t="shared" si="14"/>
        <v>0</v>
      </c>
      <c r="L108" s="76">
        <f t="shared" si="15"/>
        <v>0</v>
      </c>
      <c r="M108" s="75">
        <f t="shared" si="16"/>
        <v>0</v>
      </c>
      <c r="N108" s="75">
        <f t="shared" si="17"/>
        <v>0</v>
      </c>
      <c r="O108" s="75">
        <f t="shared" si="18"/>
        <v>0</v>
      </c>
      <c r="P108" s="77">
        <f t="shared" si="19"/>
        <v>0</v>
      </c>
    </row>
    <row r="109" spans="1:16" s="61" customFormat="1" x14ac:dyDescent="0.2">
      <c r="A109" s="155">
        <v>0</v>
      </c>
      <c r="B109" s="366">
        <f t="shared" si="20"/>
        <v>0</v>
      </c>
      <c r="C109" s="192" t="s">
        <v>417</v>
      </c>
      <c r="D109" s="158" t="s">
        <v>83</v>
      </c>
      <c r="E109" s="179">
        <f>E108*1.1</f>
        <v>11.77</v>
      </c>
      <c r="F109" s="190"/>
      <c r="G109" s="159"/>
      <c r="H109" s="161"/>
      <c r="I109" s="161"/>
      <c r="J109" s="161"/>
      <c r="K109" s="75">
        <f t="shared" si="14"/>
        <v>0</v>
      </c>
      <c r="L109" s="76">
        <f t="shared" si="15"/>
        <v>0</v>
      </c>
      <c r="M109" s="75">
        <f t="shared" si="16"/>
        <v>0</v>
      </c>
      <c r="N109" s="75">
        <f t="shared" si="17"/>
        <v>0</v>
      </c>
      <c r="O109" s="75">
        <f t="shared" si="18"/>
        <v>0</v>
      </c>
      <c r="P109" s="77">
        <f t="shared" si="19"/>
        <v>0</v>
      </c>
    </row>
    <row r="110" spans="1:16" s="61" customFormat="1" x14ac:dyDescent="0.2">
      <c r="A110" s="155">
        <v>0</v>
      </c>
      <c r="B110" s="366">
        <f t="shared" si="20"/>
        <v>0</v>
      </c>
      <c r="C110" s="192" t="s">
        <v>209</v>
      </c>
      <c r="D110" s="158" t="s">
        <v>59</v>
      </c>
      <c r="E110" s="179">
        <f>E108*8</f>
        <v>85.6</v>
      </c>
      <c r="F110" s="190"/>
      <c r="G110" s="159"/>
      <c r="H110" s="161"/>
      <c r="I110" s="161"/>
      <c r="J110" s="161"/>
      <c r="K110" s="75">
        <f t="shared" si="14"/>
        <v>0</v>
      </c>
      <c r="L110" s="76">
        <f t="shared" si="15"/>
        <v>0</v>
      </c>
      <c r="M110" s="75">
        <f t="shared" si="16"/>
        <v>0</v>
      </c>
      <c r="N110" s="75">
        <f t="shared" si="17"/>
        <v>0</v>
      </c>
      <c r="O110" s="75">
        <f t="shared" si="18"/>
        <v>0</v>
      </c>
      <c r="P110" s="77">
        <f t="shared" si="19"/>
        <v>0</v>
      </c>
    </row>
    <row r="111" spans="1:16" s="61" customFormat="1" x14ac:dyDescent="0.2">
      <c r="A111" s="155">
        <v>39</v>
      </c>
      <c r="B111" s="366" t="str">
        <f t="shared" si="20"/>
        <v>L.c.</v>
      </c>
      <c r="C111" s="173" t="s">
        <v>184</v>
      </c>
      <c r="D111" s="158" t="s">
        <v>83</v>
      </c>
      <c r="E111" s="164">
        <v>7</v>
      </c>
      <c r="F111" s="161"/>
      <c r="G111" s="159"/>
      <c r="H111" s="161"/>
      <c r="I111" s="161"/>
      <c r="J111" s="161"/>
      <c r="K111" s="75">
        <f t="shared" si="14"/>
        <v>0</v>
      </c>
      <c r="L111" s="76">
        <f t="shared" si="15"/>
        <v>0</v>
      </c>
      <c r="M111" s="75">
        <f t="shared" si="16"/>
        <v>0</v>
      </c>
      <c r="N111" s="75">
        <f t="shared" si="17"/>
        <v>0</v>
      </c>
      <c r="O111" s="75">
        <f t="shared" si="18"/>
        <v>0</v>
      </c>
      <c r="P111" s="77">
        <f t="shared" si="19"/>
        <v>0</v>
      </c>
    </row>
    <row r="112" spans="1:16" s="61" customFormat="1" ht="89.25" x14ac:dyDescent="0.2">
      <c r="A112" s="155">
        <v>40</v>
      </c>
      <c r="B112" s="366" t="str">
        <f t="shared" si="20"/>
        <v>L.c.</v>
      </c>
      <c r="C112" s="176" t="s">
        <v>185</v>
      </c>
      <c r="D112" s="158" t="s">
        <v>131</v>
      </c>
      <c r="E112" s="164">
        <f>32.5+70.4</f>
        <v>102.9</v>
      </c>
      <c r="F112" s="177"/>
      <c r="G112" s="159"/>
      <c r="H112" s="161"/>
      <c r="I112" s="161"/>
      <c r="J112" s="161"/>
      <c r="K112" s="75">
        <f t="shared" si="14"/>
        <v>0</v>
      </c>
      <c r="L112" s="76">
        <f t="shared" si="15"/>
        <v>0</v>
      </c>
      <c r="M112" s="75">
        <f t="shared" si="16"/>
        <v>0</v>
      </c>
      <c r="N112" s="75">
        <f t="shared" si="17"/>
        <v>0</v>
      </c>
      <c r="O112" s="75">
        <f t="shared" si="18"/>
        <v>0</v>
      </c>
      <c r="P112" s="77">
        <f t="shared" si="19"/>
        <v>0</v>
      </c>
    </row>
    <row r="113" spans="1:16" s="61" customFormat="1" x14ac:dyDescent="0.2">
      <c r="A113" s="155">
        <v>0</v>
      </c>
      <c r="B113" s="366">
        <f t="shared" si="20"/>
        <v>0</v>
      </c>
      <c r="C113" s="178" t="s">
        <v>132</v>
      </c>
      <c r="D113" s="179" t="s">
        <v>131</v>
      </c>
      <c r="E113" s="180">
        <f>E112*1.15</f>
        <v>118.33499999999999</v>
      </c>
      <c r="F113" s="159"/>
      <c r="G113" s="159"/>
      <c r="H113" s="161"/>
      <c r="I113" s="161"/>
      <c r="J113" s="161"/>
      <c r="K113" s="75">
        <f t="shared" si="14"/>
        <v>0</v>
      </c>
      <c r="L113" s="76">
        <f t="shared" si="15"/>
        <v>0</v>
      </c>
      <c r="M113" s="75">
        <f t="shared" si="16"/>
        <v>0</v>
      </c>
      <c r="N113" s="75">
        <f t="shared" si="17"/>
        <v>0</v>
      </c>
      <c r="O113" s="75">
        <f t="shared" si="18"/>
        <v>0</v>
      </c>
      <c r="P113" s="77">
        <f t="shared" si="19"/>
        <v>0</v>
      </c>
    </row>
    <row r="114" spans="1:16" s="61" customFormat="1" ht="25.5" x14ac:dyDescent="0.2">
      <c r="A114" s="155">
        <v>0</v>
      </c>
      <c r="B114" s="366">
        <f t="shared" si="20"/>
        <v>0</v>
      </c>
      <c r="C114" s="181" t="s">
        <v>133</v>
      </c>
      <c r="D114" s="158" t="s">
        <v>66</v>
      </c>
      <c r="E114" s="182">
        <v>1</v>
      </c>
      <c r="F114" s="159"/>
      <c r="G114" s="159"/>
      <c r="H114" s="161"/>
      <c r="I114" s="161"/>
      <c r="J114" s="161"/>
      <c r="K114" s="75">
        <f t="shared" si="14"/>
        <v>0</v>
      </c>
      <c r="L114" s="76">
        <f t="shared" si="15"/>
        <v>0</v>
      </c>
      <c r="M114" s="75">
        <f t="shared" si="16"/>
        <v>0</v>
      </c>
      <c r="N114" s="75">
        <f t="shared" si="17"/>
        <v>0</v>
      </c>
      <c r="O114" s="75">
        <f t="shared" si="18"/>
        <v>0</v>
      </c>
      <c r="P114" s="77">
        <f t="shared" si="19"/>
        <v>0</v>
      </c>
    </row>
    <row r="115" spans="1:16" s="61" customFormat="1" ht="25.5" x14ac:dyDescent="0.2">
      <c r="A115" s="155">
        <v>41</v>
      </c>
      <c r="B115" s="366" t="str">
        <f t="shared" si="20"/>
        <v>L.c.</v>
      </c>
      <c r="C115" s="176" t="s">
        <v>186</v>
      </c>
      <c r="D115" s="179" t="s">
        <v>78</v>
      </c>
      <c r="E115" s="164">
        <v>1.3</v>
      </c>
      <c r="F115" s="159"/>
      <c r="G115" s="159"/>
      <c r="H115" s="161"/>
      <c r="I115" s="161"/>
      <c r="J115" s="161"/>
      <c r="K115" s="75">
        <f t="shared" si="14"/>
        <v>0</v>
      </c>
      <c r="L115" s="76">
        <f t="shared" si="15"/>
        <v>0</v>
      </c>
      <c r="M115" s="75">
        <f t="shared" si="16"/>
        <v>0</v>
      </c>
      <c r="N115" s="75">
        <f t="shared" si="17"/>
        <v>0</v>
      </c>
      <c r="O115" s="75">
        <f t="shared" si="18"/>
        <v>0</v>
      </c>
      <c r="P115" s="77">
        <f t="shared" si="19"/>
        <v>0</v>
      </c>
    </row>
    <row r="116" spans="1:16" s="61" customFormat="1" x14ac:dyDescent="0.2">
      <c r="A116" s="155">
        <v>0</v>
      </c>
      <c r="B116" s="366">
        <f t="shared" si="20"/>
        <v>0</v>
      </c>
      <c r="C116" s="183" t="s">
        <v>135</v>
      </c>
      <c r="D116" s="179" t="s">
        <v>78</v>
      </c>
      <c r="E116" s="184">
        <f>E115*1.05</f>
        <v>1.3650000000000002</v>
      </c>
      <c r="F116" s="185"/>
      <c r="G116" s="159"/>
      <c r="H116" s="161"/>
      <c r="I116" s="161"/>
      <c r="J116" s="161"/>
      <c r="K116" s="75">
        <f t="shared" si="14"/>
        <v>0</v>
      </c>
      <c r="L116" s="76">
        <f t="shared" si="15"/>
        <v>0</v>
      </c>
      <c r="M116" s="75">
        <f t="shared" si="16"/>
        <v>0</v>
      </c>
      <c r="N116" s="75">
        <f t="shared" si="17"/>
        <v>0</v>
      </c>
      <c r="O116" s="75">
        <f t="shared" si="18"/>
        <v>0</v>
      </c>
      <c r="P116" s="77">
        <f t="shared" si="19"/>
        <v>0</v>
      </c>
    </row>
    <row r="117" spans="1:16" s="61" customFormat="1" x14ac:dyDescent="0.2">
      <c r="A117" s="155">
        <v>0</v>
      </c>
      <c r="B117" s="366">
        <f t="shared" si="20"/>
        <v>0</v>
      </c>
      <c r="C117" s="183" t="s">
        <v>136</v>
      </c>
      <c r="D117" s="179" t="s">
        <v>137</v>
      </c>
      <c r="E117" s="184">
        <f>E115*0.25</f>
        <v>0.32500000000000001</v>
      </c>
      <c r="F117" s="185"/>
      <c r="G117" s="159"/>
      <c r="H117" s="161"/>
      <c r="I117" s="154"/>
      <c r="J117" s="161"/>
      <c r="K117" s="75">
        <f t="shared" si="14"/>
        <v>0</v>
      </c>
      <c r="L117" s="76">
        <f t="shared" si="15"/>
        <v>0</v>
      </c>
      <c r="M117" s="75">
        <f t="shared" si="16"/>
        <v>0</v>
      </c>
      <c r="N117" s="75">
        <f t="shared" si="17"/>
        <v>0</v>
      </c>
      <c r="O117" s="75">
        <f t="shared" si="18"/>
        <v>0</v>
      </c>
      <c r="P117" s="77">
        <f t="shared" si="19"/>
        <v>0</v>
      </c>
    </row>
    <row r="118" spans="1:16" s="61" customFormat="1" ht="38.25" x14ac:dyDescent="0.2">
      <c r="A118" s="155">
        <v>42</v>
      </c>
      <c r="B118" s="366" t="str">
        <f t="shared" si="20"/>
        <v>L.c.</v>
      </c>
      <c r="C118" s="247" t="s">
        <v>289</v>
      </c>
      <c r="D118" s="158" t="s">
        <v>66</v>
      </c>
      <c r="E118" s="179">
        <v>1</v>
      </c>
      <c r="F118" s="190"/>
      <c r="G118" s="159"/>
      <c r="H118" s="184"/>
      <c r="I118" s="161"/>
      <c r="J118" s="161"/>
      <c r="K118" s="75">
        <f t="shared" si="14"/>
        <v>0</v>
      </c>
      <c r="L118" s="76">
        <f t="shared" si="15"/>
        <v>0</v>
      </c>
      <c r="M118" s="75">
        <f t="shared" si="16"/>
        <v>0</v>
      </c>
      <c r="N118" s="75">
        <f t="shared" si="17"/>
        <v>0</v>
      </c>
      <c r="O118" s="75">
        <f t="shared" si="18"/>
        <v>0</v>
      </c>
      <c r="P118" s="77">
        <f t="shared" si="19"/>
        <v>0</v>
      </c>
    </row>
    <row r="119" spans="1:16" s="61" customFormat="1" x14ac:dyDescent="0.2">
      <c r="A119" s="155">
        <v>0</v>
      </c>
      <c r="B119" s="366">
        <f t="shared" si="20"/>
        <v>0</v>
      </c>
      <c r="C119" s="186"/>
      <c r="D119" s="158"/>
      <c r="E119" s="158"/>
      <c r="F119" s="159"/>
      <c r="G119" s="159"/>
      <c r="H119" s="161"/>
      <c r="I119" s="161"/>
      <c r="J119" s="161"/>
      <c r="K119" s="75">
        <f t="shared" si="14"/>
        <v>0</v>
      </c>
      <c r="L119" s="76">
        <f t="shared" si="15"/>
        <v>0</v>
      </c>
      <c r="M119" s="75">
        <f t="shared" si="16"/>
        <v>0</v>
      </c>
      <c r="N119" s="75">
        <f t="shared" si="17"/>
        <v>0</v>
      </c>
      <c r="O119" s="75">
        <f t="shared" si="18"/>
        <v>0</v>
      </c>
      <c r="P119" s="77">
        <f t="shared" si="19"/>
        <v>0</v>
      </c>
    </row>
    <row r="120" spans="1:16" s="61" customFormat="1" ht="31.5" x14ac:dyDescent="0.2">
      <c r="A120" s="155">
        <v>0</v>
      </c>
      <c r="B120" s="366">
        <f t="shared" si="20"/>
        <v>0</v>
      </c>
      <c r="C120" s="331" t="s">
        <v>418</v>
      </c>
      <c r="D120" s="225"/>
      <c r="E120" s="332"/>
      <c r="F120" s="148"/>
      <c r="G120" s="148"/>
      <c r="H120" s="149"/>
      <c r="I120" s="149"/>
      <c r="J120" s="149"/>
      <c r="K120" s="75">
        <f t="shared" si="14"/>
        <v>0</v>
      </c>
      <c r="L120" s="76">
        <f t="shared" si="15"/>
        <v>0</v>
      </c>
      <c r="M120" s="75">
        <f t="shared" si="16"/>
        <v>0</v>
      </c>
      <c r="N120" s="75">
        <f t="shared" si="17"/>
        <v>0</v>
      </c>
      <c r="O120" s="75">
        <f t="shared" si="18"/>
        <v>0</v>
      </c>
      <c r="P120" s="77">
        <f t="shared" si="19"/>
        <v>0</v>
      </c>
    </row>
    <row r="121" spans="1:16" s="61" customFormat="1" x14ac:dyDescent="0.2">
      <c r="A121" s="155">
        <v>0</v>
      </c>
      <c r="B121" s="366">
        <f t="shared" si="20"/>
        <v>0</v>
      </c>
      <c r="C121" s="307" t="s">
        <v>419</v>
      </c>
      <c r="D121" s="308"/>
      <c r="E121" s="308"/>
      <c r="F121" s="309"/>
      <c r="G121" s="309"/>
      <c r="H121" s="310"/>
      <c r="I121" s="310"/>
      <c r="J121" s="310"/>
      <c r="K121" s="75">
        <f t="shared" si="14"/>
        <v>0</v>
      </c>
      <c r="L121" s="76">
        <f t="shared" si="15"/>
        <v>0</v>
      </c>
      <c r="M121" s="75">
        <f t="shared" si="16"/>
        <v>0</v>
      </c>
      <c r="N121" s="75">
        <f t="shared" si="17"/>
        <v>0</v>
      </c>
      <c r="O121" s="75">
        <f t="shared" si="18"/>
        <v>0</v>
      </c>
      <c r="P121" s="77">
        <f t="shared" si="19"/>
        <v>0</v>
      </c>
    </row>
    <row r="122" spans="1:16" s="61" customFormat="1" ht="54" customHeight="1" x14ac:dyDescent="0.2">
      <c r="A122" s="155">
        <v>43</v>
      </c>
      <c r="B122" s="413" t="str">
        <f t="shared" si="20"/>
        <v>L.c.</v>
      </c>
      <c r="C122" s="186" t="s">
        <v>334</v>
      </c>
      <c r="D122" s="182" t="s">
        <v>78</v>
      </c>
      <c r="E122" s="182">
        <f>11.8+0.96+2</f>
        <v>14.760000000000002</v>
      </c>
      <c r="F122" s="164"/>
      <c r="G122" s="309"/>
      <c r="H122" s="310"/>
      <c r="I122" s="310"/>
      <c r="J122" s="310"/>
      <c r="K122" s="75">
        <f t="shared" si="14"/>
        <v>0</v>
      </c>
      <c r="L122" s="76">
        <f t="shared" si="15"/>
        <v>0</v>
      </c>
      <c r="M122" s="75">
        <f t="shared" si="16"/>
        <v>0</v>
      </c>
      <c r="N122" s="75">
        <f t="shared" si="17"/>
        <v>0</v>
      </c>
      <c r="O122" s="75">
        <f t="shared" si="18"/>
        <v>0</v>
      </c>
      <c r="P122" s="77">
        <f t="shared" si="19"/>
        <v>0</v>
      </c>
    </row>
    <row r="123" spans="1:16" s="61" customFormat="1" x14ac:dyDescent="0.2">
      <c r="A123" s="155">
        <v>0</v>
      </c>
      <c r="B123" s="413">
        <f t="shared" si="20"/>
        <v>0</v>
      </c>
      <c r="C123" s="178" t="s">
        <v>330</v>
      </c>
      <c r="D123" s="182" t="s">
        <v>78</v>
      </c>
      <c r="E123" s="164">
        <f>E122*1.15</f>
        <v>16.974</v>
      </c>
      <c r="F123" s="164"/>
      <c r="G123" s="309"/>
      <c r="H123" s="310"/>
      <c r="I123" s="310"/>
      <c r="J123" s="310"/>
      <c r="K123" s="75">
        <f t="shared" si="14"/>
        <v>0</v>
      </c>
      <c r="L123" s="76">
        <f t="shared" si="15"/>
        <v>0</v>
      </c>
      <c r="M123" s="75">
        <f t="shared" si="16"/>
        <v>0</v>
      </c>
      <c r="N123" s="75">
        <f t="shared" si="17"/>
        <v>0</v>
      </c>
      <c r="O123" s="75">
        <f t="shared" si="18"/>
        <v>0</v>
      </c>
      <c r="P123" s="77">
        <f t="shared" si="19"/>
        <v>0</v>
      </c>
    </row>
    <row r="124" spans="1:16" s="61" customFormat="1" ht="25.5" x14ac:dyDescent="0.2">
      <c r="A124" s="155">
        <v>0</v>
      </c>
      <c r="B124" s="413">
        <f t="shared" si="20"/>
        <v>0</v>
      </c>
      <c r="C124" s="178" t="s">
        <v>331</v>
      </c>
      <c r="D124" s="182" t="s">
        <v>66</v>
      </c>
      <c r="E124" s="182">
        <v>1</v>
      </c>
      <c r="F124" s="164"/>
      <c r="G124" s="309"/>
      <c r="H124" s="310"/>
      <c r="I124" s="310"/>
      <c r="J124" s="310"/>
      <c r="K124" s="75">
        <f t="shared" si="14"/>
        <v>0</v>
      </c>
      <c r="L124" s="76">
        <f t="shared" si="15"/>
        <v>0</v>
      </c>
      <c r="M124" s="75">
        <f t="shared" si="16"/>
        <v>0</v>
      </c>
      <c r="N124" s="75">
        <f t="shared" si="17"/>
        <v>0</v>
      </c>
      <c r="O124" s="75">
        <f t="shared" si="18"/>
        <v>0</v>
      </c>
      <c r="P124" s="77">
        <f t="shared" si="19"/>
        <v>0</v>
      </c>
    </row>
    <row r="125" spans="1:16" s="61" customFormat="1" x14ac:dyDescent="0.2">
      <c r="A125" s="155">
        <v>44</v>
      </c>
      <c r="B125" s="413" t="str">
        <f t="shared" si="20"/>
        <v>L.c.</v>
      </c>
      <c r="C125" s="176" t="s">
        <v>184</v>
      </c>
      <c r="D125" s="182" t="s">
        <v>83</v>
      </c>
      <c r="E125" s="164">
        <v>12</v>
      </c>
      <c r="F125" s="167"/>
      <c r="G125" s="309"/>
      <c r="H125" s="310"/>
      <c r="I125" s="310"/>
      <c r="J125" s="310"/>
      <c r="K125" s="75">
        <f t="shared" si="14"/>
        <v>0</v>
      </c>
      <c r="L125" s="76">
        <f t="shared" si="15"/>
        <v>0</v>
      </c>
      <c r="M125" s="75">
        <f t="shared" si="16"/>
        <v>0</v>
      </c>
      <c r="N125" s="75">
        <f t="shared" si="17"/>
        <v>0</v>
      </c>
      <c r="O125" s="75">
        <f t="shared" si="18"/>
        <v>0</v>
      </c>
      <c r="P125" s="77">
        <f t="shared" si="19"/>
        <v>0</v>
      </c>
    </row>
    <row r="126" spans="1:16" s="61" customFormat="1" ht="89.25" x14ac:dyDescent="0.2">
      <c r="A126" s="155">
        <v>45</v>
      </c>
      <c r="B126" s="413" t="str">
        <f t="shared" si="20"/>
        <v>L.c.</v>
      </c>
      <c r="C126" s="176" t="s">
        <v>185</v>
      </c>
      <c r="D126" s="182" t="s">
        <v>131</v>
      </c>
      <c r="E126" s="164">
        <v>222.5</v>
      </c>
      <c r="F126" s="414"/>
      <c r="G126" s="309"/>
      <c r="H126" s="310"/>
      <c r="I126" s="310"/>
      <c r="J126" s="310"/>
      <c r="K126" s="75">
        <f t="shared" si="14"/>
        <v>0</v>
      </c>
      <c r="L126" s="76">
        <f t="shared" si="15"/>
        <v>0</v>
      </c>
      <c r="M126" s="75">
        <f t="shared" si="16"/>
        <v>0</v>
      </c>
      <c r="N126" s="75">
        <f t="shared" si="17"/>
        <v>0</v>
      </c>
      <c r="O126" s="75">
        <f t="shared" si="18"/>
        <v>0</v>
      </c>
      <c r="P126" s="77">
        <f t="shared" si="19"/>
        <v>0</v>
      </c>
    </row>
    <row r="127" spans="1:16" s="61" customFormat="1" x14ac:dyDescent="0.2">
      <c r="A127" s="155">
        <v>0</v>
      </c>
      <c r="B127" s="366">
        <f t="shared" si="20"/>
        <v>0</v>
      </c>
      <c r="C127" s="314" t="s">
        <v>132</v>
      </c>
      <c r="D127" s="315" t="s">
        <v>131</v>
      </c>
      <c r="E127" s="316">
        <f>E126*1.15</f>
        <v>255.87499999999997</v>
      </c>
      <c r="F127" s="309"/>
      <c r="G127" s="309"/>
      <c r="H127" s="310"/>
      <c r="I127" s="310"/>
      <c r="J127" s="310"/>
      <c r="K127" s="75">
        <f t="shared" si="14"/>
        <v>0</v>
      </c>
      <c r="L127" s="76">
        <f t="shared" si="15"/>
        <v>0</v>
      </c>
      <c r="M127" s="75">
        <f t="shared" si="16"/>
        <v>0</v>
      </c>
      <c r="N127" s="75">
        <f t="shared" si="17"/>
        <v>0</v>
      </c>
      <c r="O127" s="75">
        <f t="shared" si="18"/>
        <v>0</v>
      </c>
      <c r="P127" s="77">
        <f t="shared" si="19"/>
        <v>0</v>
      </c>
    </row>
    <row r="128" spans="1:16" s="61" customFormat="1" ht="25.5" x14ac:dyDescent="0.2">
      <c r="A128" s="155">
        <v>0</v>
      </c>
      <c r="B128" s="366">
        <f t="shared" si="20"/>
        <v>0</v>
      </c>
      <c r="C128" s="317" t="s">
        <v>133</v>
      </c>
      <c r="D128" s="308" t="s">
        <v>66</v>
      </c>
      <c r="E128" s="308">
        <v>1</v>
      </c>
      <c r="F128" s="309"/>
      <c r="G128" s="309"/>
      <c r="H128" s="310"/>
      <c r="I128" s="310"/>
      <c r="J128" s="310"/>
      <c r="K128" s="75">
        <f t="shared" si="14"/>
        <v>0</v>
      </c>
      <c r="L128" s="76">
        <f t="shared" si="15"/>
        <v>0</v>
      </c>
      <c r="M128" s="75">
        <f t="shared" si="16"/>
        <v>0</v>
      </c>
      <c r="N128" s="75">
        <f t="shared" si="17"/>
        <v>0</v>
      </c>
      <c r="O128" s="75">
        <f t="shared" si="18"/>
        <v>0</v>
      </c>
      <c r="P128" s="77">
        <f t="shared" si="19"/>
        <v>0</v>
      </c>
    </row>
    <row r="129" spans="1:16" s="61" customFormat="1" ht="25.5" x14ac:dyDescent="0.2">
      <c r="A129" s="155">
        <v>46</v>
      </c>
      <c r="B129" s="366" t="str">
        <f t="shared" si="20"/>
        <v>L.c.</v>
      </c>
      <c r="C129" s="312" t="s">
        <v>186</v>
      </c>
      <c r="D129" s="315" t="s">
        <v>78</v>
      </c>
      <c r="E129" s="309">
        <v>3.15</v>
      </c>
      <c r="F129" s="309"/>
      <c r="G129" s="309"/>
      <c r="H129" s="310"/>
      <c r="I129" s="310"/>
      <c r="J129" s="310"/>
      <c r="K129" s="75">
        <f t="shared" si="14"/>
        <v>0</v>
      </c>
      <c r="L129" s="76">
        <f t="shared" si="15"/>
        <v>0</v>
      </c>
      <c r="M129" s="75">
        <f t="shared" si="16"/>
        <v>0</v>
      </c>
      <c r="N129" s="75">
        <f t="shared" si="17"/>
        <v>0</v>
      </c>
      <c r="O129" s="75">
        <f t="shared" si="18"/>
        <v>0</v>
      </c>
      <c r="P129" s="77">
        <f t="shared" si="19"/>
        <v>0</v>
      </c>
    </row>
    <row r="130" spans="1:16" s="61" customFormat="1" x14ac:dyDescent="0.2">
      <c r="A130" s="155">
        <v>0</v>
      </c>
      <c r="B130" s="366">
        <f t="shared" si="20"/>
        <v>0</v>
      </c>
      <c r="C130" s="318" t="s">
        <v>158</v>
      </c>
      <c r="D130" s="315" t="s">
        <v>78</v>
      </c>
      <c r="E130" s="319">
        <f>E129*1.05</f>
        <v>3.3075000000000001</v>
      </c>
      <c r="F130" s="320"/>
      <c r="G130" s="309"/>
      <c r="H130" s="310"/>
      <c r="I130" s="310"/>
      <c r="J130" s="310"/>
      <c r="K130" s="75">
        <f t="shared" si="14"/>
        <v>0</v>
      </c>
      <c r="L130" s="76">
        <f t="shared" si="15"/>
        <v>0</v>
      </c>
      <c r="M130" s="75">
        <f t="shared" si="16"/>
        <v>0</v>
      </c>
      <c r="N130" s="75">
        <f t="shared" si="17"/>
        <v>0</v>
      </c>
      <c r="O130" s="75">
        <f t="shared" si="18"/>
        <v>0</v>
      </c>
      <c r="P130" s="77">
        <f t="shared" si="19"/>
        <v>0</v>
      </c>
    </row>
    <row r="131" spans="1:16" s="61" customFormat="1" x14ac:dyDescent="0.2">
      <c r="A131" s="155">
        <v>0</v>
      </c>
      <c r="B131" s="366">
        <f t="shared" si="20"/>
        <v>0</v>
      </c>
      <c r="C131" s="318" t="s">
        <v>136</v>
      </c>
      <c r="D131" s="315" t="s">
        <v>137</v>
      </c>
      <c r="E131" s="319">
        <f>E129*0.25</f>
        <v>0.78749999999999998</v>
      </c>
      <c r="F131" s="320"/>
      <c r="G131" s="309"/>
      <c r="H131" s="310"/>
      <c r="I131" s="321"/>
      <c r="J131" s="310"/>
      <c r="K131" s="75">
        <f t="shared" si="14"/>
        <v>0</v>
      </c>
      <c r="L131" s="76">
        <f t="shared" si="15"/>
        <v>0</v>
      </c>
      <c r="M131" s="75">
        <f t="shared" si="16"/>
        <v>0</v>
      </c>
      <c r="N131" s="75">
        <f t="shared" si="17"/>
        <v>0</v>
      </c>
      <c r="O131" s="75">
        <f t="shared" si="18"/>
        <v>0</v>
      </c>
      <c r="P131" s="77">
        <f t="shared" si="19"/>
        <v>0</v>
      </c>
    </row>
    <row r="132" spans="1:16" s="61" customFormat="1" ht="31.5" x14ac:dyDescent="0.2">
      <c r="A132" s="143">
        <v>0</v>
      </c>
      <c r="B132" s="366">
        <f t="shared" si="20"/>
        <v>0</v>
      </c>
      <c r="C132" s="168" t="s">
        <v>420</v>
      </c>
      <c r="D132" s="146"/>
      <c r="E132" s="147"/>
      <c r="F132" s="148"/>
      <c r="G132" s="148"/>
      <c r="H132" s="149"/>
      <c r="I132" s="149"/>
      <c r="J132" s="149"/>
      <c r="K132" s="75">
        <f t="shared" si="14"/>
        <v>0</v>
      </c>
      <c r="L132" s="76">
        <f t="shared" si="15"/>
        <v>0</v>
      </c>
      <c r="M132" s="75">
        <f t="shared" si="16"/>
        <v>0</v>
      </c>
      <c r="N132" s="75">
        <f t="shared" si="17"/>
        <v>0</v>
      </c>
      <c r="O132" s="75">
        <f t="shared" si="18"/>
        <v>0</v>
      </c>
      <c r="P132" s="77">
        <f t="shared" si="19"/>
        <v>0</v>
      </c>
    </row>
    <row r="133" spans="1:16" s="61" customFormat="1" x14ac:dyDescent="0.2">
      <c r="A133" s="155">
        <v>0</v>
      </c>
      <c r="B133" s="413">
        <f t="shared" si="20"/>
        <v>0</v>
      </c>
      <c r="C133" s="197" t="s">
        <v>421</v>
      </c>
      <c r="D133" s="182"/>
      <c r="E133" s="182"/>
      <c r="F133" s="164"/>
      <c r="G133" s="164"/>
      <c r="H133" s="167"/>
      <c r="I133" s="167"/>
      <c r="J133" s="167"/>
      <c r="K133" s="410">
        <f t="shared" si="14"/>
        <v>0</v>
      </c>
      <c r="L133" s="76">
        <f t="shared" si="15"/>
        <v>0</v>
      </c>
      <c r="M133" s="75">
        <f t="shared" si="16"/>
        <v>0</v>
      </c>
      <c r="N133" s="75">
        <f t="shared" si="17"/>
        <v>0</v>
      </c>
      <c r="O133" s="75">
        <f t="shared" si="18"/>
        <v>0</v>
      </c>
      <c r="P133" s="77">
        <f t="shared" si="19"/>
        <v>0</v>
      </c>
    </row>
    <row r="134" spans="1:16" s="61" customFormat="1" ht="135" x14ac:dyDescent="0.25">
      <c r="A134" s="155">
        <v>47</v>
      </c>
      <c r="B134" s="413" t="str">
        <f t="shared" si="20"/>
        <v>L.c.</v>
      </c>
      <c r="C134" s="275" t="s">
        <v>422</v>
      </c>
      <c r="D134" s="182" t="s">
        <v>131</v>
      </c>
      <c r="E134" s="182">
        <f>10539.34+1053.93+5001.3+38.76</f>
        <v>16633.329999999998</v>
      </c>
      <c r="F134" s="182"/>
      <c r="G134" s="164"/>
      <c r="H134" s="167"/>
      <c r="I134" s="167"/>
      <c r="J134" s="167"/>
      <c r="K134" s="410">
        <f t="shared" si="14"/>
        <v>0</v>
      </c>
      <c r="L134" s="76">
        <f t="shared" si="15"/>
        <v>0</v>
      </c>
      <c r="M134" s="75">
        <f t="shared" si="16"/>
        <v>0</v>
      </c>
      <c r="N134" s="75">
        <f t="shared" si="17"/>
        <v>0</v>
      </c>
      <c r="O134" s="75">
        <f t="shared" si="18"/>
        <v>0</v>
      </c>
      <c r="P134" s="77">
        <f t="shared" si="19"/>
        <v>0</v>
      </c>
    </row>
    <row r="135" spans="1:16" s="61" customFormat="1" x14ac:dyDescent="0.2">
      <c r="A135" s="155">
        <v>0</v>
      </c>
      <c r="B135" s="413">
        <f t="shared" si="20"/>
        <v>0</v>
      </c>
      <c r="C135" s="415" t="s">
        <v>188</v>
      </c>
      <c r="D135" s="182" t="s">
        <v>131</v>
      </c>
      <c r="E135" s="179">
        <f>E134*1.1</f>
        <v>18296.663</v>
      </c>
      <c r="F135" s="179"/>
      <c r="G135" s="164"/>
      <c r="H135" s="167"/>
      <c r="I135" s="167"/>
      <c r="J135" s="167"/>
      <c r="K135" s="410">
        <f t="shared" si="14"/>
        <v>0</v>
      </c>
      <c r="L135" s="76">
        <f t="shared" si="15"/>
        <v>0</v>
      </c>
      <c r="M135" s="75">
        <f t="shared" si="16"/>
        <v>0</v>
      </c>
      <c r="N135" s="75">
        <f t="shared" si="17"/>
        <v>0</v>
      </c>
      <c r="O135" s="75">
        <f t="shared" si="18"/>
        <v>0</v>
      </c>
      <c r="P135" s="77">
        <f t="shared" si="19"/>
        <v>0</v>
      </c>
    </row>
    <row r="136" spans="1:16" s="61" customFormat="1" x14ac:dyDescent="0.2">
      <c r="A136" s="155">
        <v>0</v>
      </c>
      <c r="B136" s="413">
        <f t="shared" si="20"/>
        <v>0</v>
      </c>
      <c r="C136" s="416" t="s">
        <v>189</v>
      </c>
      <c r="D136" s="182" t="s">
        <v>66</v>
      </c>
      <c r="E136" s="179">
        <v>1</v>
      </c>
      <c r="F136" s="179"/>
      <c r="G136" s="164"/>
      <c r="H136" s="167"/>
      <c r="I136" s="167"/>
      <c r="J136" s="167"/>
      <c r="K136" s="410">
        <f t="shared" si="14"/>
        <v>0</v>
      </c>
      <c r="L136" s="76">
        <f t="shared" si="15"/>
        <v>0</v>
      </c>
      <c r="M136" s="75">
        <f t="shared" si="16"/>
        <v>0</v>
      </c>
      <c r="N136" s="75">
        <f t="shared" si="17"/>
        <v>0</v>
      </c>
      <c r="O136" s="75">
        <f t="shared" si="18"/>
        <v>0</v>
      </c>
      <c r="P136" s="77">
        <f t="shared" si="19"/>
        <v>0</v>
      </c>
    </row>
    <row r="137" spans="1:16" s="61" customFormat="1" x14ac:dyDescent="0.2">
      <c r="A137" s="155">
        <v>48</v>
      </c>
      <c r="B137" s="413" t="str">
        <f t="shared" si="20"/>
        <v>L.c.</v>
      </c>
      <c r="C137" s="417" t="s">
        <v>412</v>
      </c>
      <c r="D137" s="182" t="s">
        <v>83</v>
      </c>
      <c r="E137" s="179">
        <v>548.28</v>
      </c>
      <c r="F137" s="179"/>
      <c r="G137" s="164"/>
      <c r="H137" s="167"/>
      <c r="I137" s="167"/>
      <c r="J137" s="167"/>
      <c r="K137" s="410">
        <f t="shared" si="14"/>
        <v>0</v>
      </c>
      <c r="L137" s="76">
        <f t="shared" si="15"/>
        <v>0</v>
      </c>
      <c r="M137" s="75">
        <f t="shared" si="16"/>
        <v>0</v>
      </c>
      <c r="N137" s="75">
        <f t="shared" si="17"/>
        <v>0</v>
      </c>
      <c r="O137" s="75">
        <f t="shared" si="18"/>
        <v>0</v>
      </c>
      <c r="P137" s="77">
        <f t="shared" si="19"/>
        <v>0</v>
      </c>
    </row>
    <row r="138" spans="1:16" s="61" customFormat="1" x14ac:dyDescent="0.2">
      <c r="A138" s="155">
        <v>0</v>
      </c>
      <c r="B138" s="413">
        <f t="shared" si="20"/>
        <v>0</v>
      </c>
      <c r="C138" s="416" t="s">
        <v>423</v>
      </c>
      <c r="D138" s="182" t="s">
        <v>83</v>
      </c>
      <c r="E138" s="179">
        <f>E137*1.1</f>
        <v>603.10800000000006</v>
      </c>
      <c r="F138" s="179"/>
      <c r="G138" s="164"/>
      <c r="H138" s="167"/>
      <c r="I138" s="167"/>
      <c r="J138" s="167"/>
      <c r="K138" s="410">
        <f t="shared" si="14"/>
        <v>0</v>
      </c>
      <c r="L138" s="76">
        <f t="shared" si="15"/>
        <v>0</v>
      </c>
      <c r="M138" s="75">
        <f t="shared" si="16"/>
        <v>0</v>
      </c>
      <c r="N138" s="75">
        <f t="shared" si="17"/>
        <v>0</v>
      </c>
      <c r="O138" s="75">
        <f t="shared" si="18"/>
        <v>0</v>
      </c>
      <c r="P138" s="77">
        <f t="shared" si="19"/>
        <v>0</v>
      </c>
    </row>
    <row r="139" spans="1:16" s="61" customFormat="1" x14ac:dyDescent="0.2">
      <c r="A139" s="155">
        <v>0</v>
      </c>
      <c r="B139" s="413">
        <f t="shared" si="20"/>
        <v>0</v>
      </c>
      <c r="C139" s="416" t="s">
        <v>209</v>
      </c>
      <c r="D139" s="182" t="s">
        <v>59</v>
      </c>
      <c r="E139" s="179">
        <f>E137*8</f>
        <v>4386.24</v>
      </c>
      <c r="F139" s="179"/>
      <c r="G139" s="164"/>
      <c r="H139" s="167"/>
      <c r="I139" s="167"/>
      <c r="J139" s="167"/>
      <c r="K139" s="410">
        <f t="shared" si="14"/>
        <v>0</v>
      </c>
      <c r="L139" s="76">
        <f t="shared" si="15"/>
        <v>0</v>
      </c>
      <c r="M139" s="75">
        <f t="shared" si="16"/>
        <v>0</v>
      </c>
      <c r="N139" s="75">
        <f t="shared" si="17"/>
        <v>0</v>
      </c>
      <c r="O139" s="75">
        <f t="shared" si="18"/>
        <v>0</v>
      </c>
      <c r="P139" s="77">
        <f t="shared" si="19"/>
        <v>0</v>
      </c>
    </row>
    <row r="140" spans="1:16" s="61" customFormat="1" x14ac:dyDescent="0.2">
      <c r="A140" s="155">
        <v>0</v>
      </c>
      <c r="B140" s="366">
        <f t="shared" si="20"/>
        <v>0</v>
      </c>
      <c r="C140" s="249"/>
      <c r="D140" s="179"/>
      <c r="E140" s="184"/>
      <c r="F140" s="200"/>
      <c r="G140" s="159"/>
      <c r="H140" s="161"/>
      <c r="I140" s="161"/>
      <c r="J140" s="161"/>
      <c r="K140" s="75">
        <f t="shared" si="14"/>
        <v>0</v>
      </c>
      <c r="L140" s="76">
        <f t="shared" si="15"/>
        <v>0</v>
      </c>
      <c r="M140" s="75">
        <f t="shared" si="16"/>
        <v>0</v>
      </c>
      <c r="N140" s="75">
        <f t="shared" si="17"/>
        <v>0</v>
      </c>
      <c r="O140" s="75">
        <f t="shared" si="18"/>
        <v>0</v>
      </c>
      <c r="P140" s="77">
        <f t="shared" si="19"/>
        <v>0</v>
      </c>
    </row>
    <row r="141" spans="1:16" s="61" customFormat="1" x14ac:dyDescent="0.2">
      <c r="A141" s="155">
        <v>0</v>
      </c>
      <c r="B141" s="366">
        <f t="shared" si="20"/>
        <v>0</v>
      </c>
      <c r="C141" s="249"/>
      <c r="D141" s="179"/>
      <c r="E141" s="184"/>
      <c r="F141" s="200"/>
      <c r="G141" s="159"/>
      <c r="H141" s="161"/>
      <c r="I141" s="161"/>
      <c r="J141" s="161"/>
      <c r="K141" s="75">
        <f t="shared" si="14"/>
        <v>0</v>
      </c>
      <c r="L141" s="76">
        <f t="shared" si="15"/>
        <v>0</v>
      </c>
      <c r="M141" s="75">
        <f t="shared" si="16"/>
        <v>0</v>
      </c>
      <c r="N141" s="75">
        <f t="shared" si="17"/>
        <v>0</v>
      </c>
      <c r="O141" s="75">
        <f t="shared" si="18"/>
        <v>0</v>
      </c>
      <c r="P141" s="77">
        <f t="shared" si="19"/>
        <v>0</v>
      </c>
    </row>
    <row r="142" spans="1:16" s="61" customFormat="1" x14ac:dyDescent="0.2">
      <c r="A142" s="155">
        <v>0</v>
      </c>
      <c r="B142" s="366">
        <f t="shared" si="20"/>
        <v>0</v>
      </c>
      <c r="C142" s="197" t="s">
        <v>424</v>
      </c>
      <c r="D142" s="158"/>
      <c r="E142" s="158"/>
      <c r="F142" s="159"/>
      <c r="G142" s="159"/>
      <c r="H142" s="161"/>
      <c r="I142" s="161"/>
      <c r="J142" s="161"/>
      <c r="K142" s="75">
        <f t="shared" si="14"/>
        <v>0</v>
      </c>
      <c r="L142" s="76">
        <f t="shared" si="15"/>
        <v>0</v>
      </c>
      <c r="M142" s="75">
        <f t="shared" si="16"/>
        <v>0</v>
      </c>
      <c r="N142" s="75">
        <f t="shared" si="17"/>
        <v>0</v>
      </c>
      <c r="O142" s="75">
        <f t="shared" si="18"/>
        <v>0</v>
      </c>
      <c r="P142" s="77">
        <f t="shared" si="19"/>
        <v>0</v>
      </c>
    </row>
    <row r="143" spans="1:16" s="61" customFormat="1" ht="25.5" x14ac:dyDescent="0.2">
      <c r="A143" s="155">
        <v>49</v>
      </c>
      <c r="B143" s="366" t="str">
        <f t="shared" si="20"/>
        <v>L.c.</v>
      </c>
      <c r="C143" s="157" t="s">
        <v>114</v>
      </c>
      <c r="D143" s="158" t="s">
        <v>115</v>
      </c>
      <c r="E143" s="159">
        <v>14</v>
      </c>
      <c r="F143" s="160"/>
      <c r="G143" s="159"/>
      <c r="H143" s="161"/>
      <c r="I143" s="161"/>
      <c r="J143" s="162"/>
      <c r="K143" s="75">
        <f t="shared" si="14"/>
        <v>0</v>
      </c>
      <c r="L143" s="76">
        <f t="shared" si="15"/>
        <v>0</v>
      </c>
      <c r="M143" s="75">
        <f t="shared" si="16"/>
        <v>0</v>
      </c>
      <c r="N143" s="75">
        <f t="shared" si="17"/>
        <v>0</v>
      </c>
      <c r="O143" s="75">
        <f t="shared" si="18"/>
        <v>0</v>
      </c>
      <c r="P143" s="77">
        <f t="shared" si="19"/>
        <v>0</v>
      </c>
    </row>
    <row r="144" spans="1:16" s="61" customFormat="1" x14ac:dyDescent="0.2">
      <c r="A144" s="155">
        <v>50</v>
      </c>
      <c r="B144" s="366" t="str">
        <f t="shared" si="20"/>
        <v>L.c.</v>
      </c>
      <c r="C144" s="157" t="s">
        <v>116</v>
      </c>
      <c r="D144" s="158" t="s">
        <v>115</v>
      </c>
      <c r="E144" s="159">
        <v>4</v>
      </c>
      <c r="F144" s="163"/>
      <c r="G144" s="159"/>
      <c r="H144" s="161"/>
      <c r="I144" s="161"/>
      <c r="J144" s="162"/>
      <c r="K144" s="75">
        <f t="shared" si="14"/>
        <v>0</v>
      </c>
      <c r="L144" s="76">
        <f t="shared" si="15"/>
        <v>0</v>
      </c>
      <c r="M144" s="75">
        <f t="shared" si="16"/>
        <v>0</v>
      </c>
      <c r="N144" s="75">
        <f t="shared" si="17"/>
        <v>0</v>
      </c>
      <c r="O144" s="75">
        <f t="shared" si="18"/>
        <v>0</v>
      </c>
      <c r="P144" s="77">
        <f t="shared" si="19"/>
        <v>0</v>
      </c>
    </row>
    <row r="145" spans="1:16" s="61" customFormat="1" ht="25.5" x14ac:dyDescent="0.2">
      <c r="A145" s="155">
        <v>51</v>
      </c>
      <c r="B145" s="366" t="str">
        <f t="shared" si="20"/>
        <v>L.c.</v>
      </c>
      <c r="C145" s="157" t="s">
        <v>425</v>
      </c>
      <c r="D145" s="158" t="s">
        <v>115</v>
      </c>
      <c r="E145" s="164">
        <v>10</v>
      </c>
      <c r="F145" s="160"/>
      <c r="G145" s="159"/>
      <c r="H145" s="161"/>
      <c r="I145" s="161"/>
      <c r="J145" s="162"/>
      <c r="K145" s="75">
        <f t="shared" si="14"/>
        <v>0</v>
      </c>
      <c r="L145" s="76">
        <f t="shared" si="15"/>
        <v>0</v>
      </c>
      <c r="M145" s="75">
        <f t="shared" si="16"/>
        <v>0</v>
      </c>
      <c r="N145" s="75">
        <f t="shared" si="17"/>
        <v>0</v>
      </c>
      <c r="O145" s="75">
        <f t="shared" si="18"/>
        <v>0</v>
      </c>
      <c r="P145" s="77">
        <f t="shared" si="19"/>
        <v>0</v>
      </c>
    </row>
    <row r="146" spans="1:16" s="61" customFormat="1" ht="25.5" x14ac:dyDescent="0.2">
      <c r="A146" s="155">
        <v>52</v>
      </c>
      <c r="B146" s="366" t="str">
        <f t="shared" si="20"/>
        <v>L.c.</v>
      </c>
      <c r="C146" s="165" t="s">
        <v>426</v>
      </c>
      <c r="D146" s="158" t="s">
        <v>115</v>
      </c>
      <c r="E146" s="164">
        <v>2</v>
      </c>
      <c r="F146" s="160"/>
      <c r="G146" s="159"/>
      <c r="H146" s="161"/>
      <c r="I146" s="161"/>
      <c r="J146" s="162"/>
      <c r="K146" s="75">
        <f t="shared" si="14"/>
        <v>0</v>
      </c>
      <c r="L146" s="76">
        <f t="shared" si="15"/>
        <v>0</v>
      </c>
      <c r="M146" s="75">
        <f t="shared" si="16"/>
        <v>0</v>
      </c>
      <c r="N146" s="75">
        <f t="shared" si="17"/>
        <v>0</v>
      </c>
      <c r="O146" s="75">
        <f t="shared" si="18"/>
        <v>0</v>
      </c>
      <c r="P146" s="77">
        <f t="shared" si="19"/>
        <v>0</v>
      </c>
    </row>
    <row r="147" spans="1:16" s="61" customFormat="1" ht="25.5" x14ac:dyDescent="0.2">
      <c r="A147" s="155">
        <v>53</v>
      </c>
      <c r="B147" s="366" t="str">
        <f t="shared" si="20"/>
        <v>L.c.</v>
      </c>
      <c r="C147" s="176" t="s">
        <v>128</v>
      </c>
      <c r="D147" s="182" t="s">
        <v>83</v>
      </c>
      <c r="E147" s="164">
        <v>51</v>
      </c>
      <c r="F147" s="167"/>
      <c r="G147" s="164"/>
      <c r="H147" s="167"/>
      <c r="I147" s="167"/>
      <c r="J147" s="167"/>
      <c r="K147" s="75">
        <f t="shared" si="14"/>
        <v>0</v>
      </c>
      <c r="L147" s="76">
        <f t="shared" si="15"/>
        <v>0</v>
      </c>
      <c r="M147" s="75">
        <f t="shared" si="16"/>
        <v>0</v>
      </c>
      <c r="N147" s="75">
        <f t="shared" si="17"/>
        <v>0</v>
      </c>
      <c r="O147" s="75">
        <f t="shared" si="18"/>
        <v>0</v>
      </c>
      <c r="P147" s="77">
        <f t="shared" si="19"/>
        <v>0</v>
      </c>
    </row>
    <row r="148" spans="1:16" s="61" customFormat="1" ht="25.5" x14ac:dyDescent="0.2">
      <c r="A148" s="155">
        <v>54</v>
      </c>
      <c r="B148" s="366" t="str">
        <f t="shared" si="20"/>
        <v>L.c.</v>
      </c>
      <c r="C148" s="173" t="s">
        <v>127</v>
      </c>
      <c r="D148" s="174" t="s">
        <v>83</v>
      </c>
      <c r="E148" s="172">
        <v>1.5</v>
      </c>
      <c r="F148" s="161"/>
      <c r="G148" s="159"/>
      <c r="H148" s="161"/>
      <c r="I148" s="161"/>
      <c r="J148" s="161"/>
      <c r="K148" s="75">
        <f t="shared" ref="K148:K183" si="33">SUM(H148:J148)</f>
        <v>0</v>
      </c>
      <c r="L148" s="76">
        <f t="shared" ref="L148:L183" si="34">ROUND(F148*E148,2)</f>
        <v>0</v>
      </c>
      <c r="M148" s="75">
        <f t="shared" ref="M148:M183" si="35">ROUND(H148*E148,2)</f>
        <v>0</v>
      </c>
      <c r="N148" s="75">
        <f t="shared" ref="N148:N183" si="36">ROUND(I148*E148,2)</f>
        <v>0</v>
      </c>
      <c r="O148" s="75">
        <f t="shared" ref="O148:O183" si="37">ROUND(J148*E148,2)</f>
        <v>0</v>
      </c>
      <c r="P148" s="77">
        <f t="shared" ref="P148:P183" si="38">SUM(M148:O148)</f>
        <v>0</v>
      </c>
    </row>
    <row r="149" spans="1:16" s="61" customFormat="1" ht="89.25" x14ac:dyDescent="0.2">
      <c r="A149" s="155">
        <v>55</v>
      </c>
      <c r="B149" s="366" t="str">
        <f t="shared" si="20"/>
        <v>L.c.</v>
      </c>
      <c r="C149" s="176" t="s">
        <v>130</v>
      </c>
      <c r="D149" s="158" t="s">
        <v>131</v>
      </c>
      <c r="E149" s="164">
        <f>588.9+1.55</f>
        <v>590.44999999999993</v>
      </c>
      <c r="F149" s="177"/>
      <c r="G149" s="159"/>
      <c r="H149" s="161"/>
      <c r="I149" s="161"/>
      <c r="J149" s="161"/>
      <c r="K149" s="75">
        <f t="shared" si="33"/>
        <v>0</v>
      </c>
      <c r="L149" s="76">
        <f t="shared" si="34"/>
        <v>0</v>
      </c>
      <c r="M149" s="75">
        <f t="shared" si="35"/>
        <v>0</v>
      </c>
      <c r="N149" s="75">
        <f t="shared" si="36"/>
        <v>0</v>
      </c>
      <c r="O149" s="75">
        <f t="shared" si="37"/>
        <v>0</v>
      </c>
      <c r="P149" s="77">
        <f t="shared" si="38"/>
        <v>0</v>
      </c>
    </row>
    <row r="150" spans="1:16" s="61" customFormat="1" x14ac:dyDescent="0.2">
      <c r="A150" s="155">
        <v>0</v>
      </c>
      <c r="B150" s="366">
        <f t="shared" si="20"/>
        <v>0</v>
      </c>
      <c r="C150" s="178" t="s">
        <v>132</v>
      </c>
      <c r="D150" s="179" t="s">
        <v>131</v>
      </c>
      <c r="E150" s="180">
        <f>E149*1.15</f>
        <v>679.01749999999981</v>
      </c>
      <c r="F150" s="159"/>
      <c r="G150" s="159"/>
      <c r="H150" s="161"/>
      <c r="I150" s="161"/>
      <c r="J150" s="161"/>
      <c r="K150" s="75">
        <f t="shared" si="33"/>
        <v>0</v>
      </c>
      <c r="L150" s="76">
        <f t="shared" si="34"/>
        <v>0</v>
      </c>
      <c r="M150" s="75">
        <f t="shared" si="35"/>
        <v>0</v>
      </c>
      <c r="N150" s="75">
        <f t="shared" si="36"/>
        <v>0</v>
      </c>
      <c r="O150" s="75">
        <f t="shared" si="37"/>
        <v>0</v>
      </c>
      <c r="P150" s="77">
        <f t="shared" si="38"/>
        <v>0</v>
      </c>
    </row>
    <row r="151" spans="1:16" s="61" customFormat="1" ht="25.5" x14ac:dyDescent="0.2">
      <c r="A151" s="155">
        <v>0</v>
      </c>
      <c r="B151" s="366">
        <f t="shared" si="20"/>
        <v>0</v>
      </c>
      <c r="C151" s="181" t="s">
        <v>133</v>
      </c>
      <c r="D151" s="158" t="s">
        <v>66</v>
      </c>
      <c r="E151" s="182">
        <v>1</v>
      </c>
      <c r="F151" s="159"/>
      <c r="G151" s="159"/>
      <c r="H151" s="161"/>
      <c r="I151" s="161"/>
      <c r="J151" s="161"/>
      <c r="K151" s="75">
        <f t="shared" si="33"/>
        <v>0</v>
      </c>
      <c r="L151" s="76">
        <f t="shared" si="34"/>
        <v>0</v>
      </c>
      <c r="M151" s="75">
        <f t="shared" si="35"/>
        <v>0</v>
      </c>
      <c r="N151" s="75">
        <f t="shared" si="36"/>
        <v>0</v>
      </c>
      <c r="O151" s="75">
        <f t="shared" si="37"/>
        <v>0</v>
      </c>
      <c r="P151" s="77">
        <f t="shared" si="38"/>
        <v>0</v>
      </c>
    </row>
    <row r="152" spans="1:16" s="61" customFormat="1" ht="42" customHeight="1" x14ac:dyDescent="0.2">
      <c r="A152" s="155">
        <v>56</v>
      </c>
      <c r="B152" s="366" t="str">
        <f t="shared" si="20"/>
        <v>L.c.</v>
      </c>
      <c r="C152" s="176" t="s">
        <v>157</v>
      </c>
      <c r="D152" s="179" t="s">
        <v>78</v>
      </c>
      <c r="E152" s="159">
        <v>6.96</v>
      </c>
      <c r="F152" s="159"/>
      <c r="G152" s="159"/>
      <c r="H152" s="161"/>
      <c r="I152" s="161"/>
      <c r="J152" s="161"/>
      <c r="K152" s="75">
        <f t="shared" si="33"/>
        <v>0</v>
      </c>
      <c r="L152" s="76">
        <f t="shared" si="34"/>
        <v>0</v>
      </c>
      <c r="M152" s="75">
        <f t="shared" si="35"/>
        <v>0</v>
      </c>
      <c r="N152" s="75">
        <f t="shared" si="36"/>
        <v>0</v>
      </c>
      <c r="O152" s="75">
        <f t="shared" si="37"/>
        <v>0</v>
      </c>
      <c r="P152" s="77">
        <f t="shared" si="38"/>
        <v>0</v>
      </c>
    </row>
    <row r="153" spans="1:16" s="61" customFormat="1" x14ac:dyDescent="0.2">
      <c r="A153" s="155">
        <v>0</v>
      </c>
      <c r="B153" s="366">
        <f t="shared" si="20"/>
        <v>0</v>
      </c>
      <c r="C153" s="183" t="s">
        <v>158</v>
      </c>
      <c r="D153" s="179" t="s">
        <v>78</v>
      </c>
      <c r="E153" s="184">
        <f>E152*1.05</f>
        <v>7.3079999999999998</v>
      </c>
      <c r="F153" s="185"/>
      <c r="G153" s="159"/>
      <c r="H153" s="161"/>
      <c r="I153" s="161"/>
      <c r="J153" s="161"/>
      <c r="K153" s="75">
        <f t="shared" si="33"/>
        <v>0</v>
      </c>
      <c r="L153" s="76">
        <f t="shared" si="34"/>
        <v>0</v>
      </c>
      <c r="M153" s="75">
        <f t="shared" si="35"/>
        <v>0</v>
      </c>
      <c r="N153" s="75">
        <f t="shared" si="36"/>
        <v>0</v>
      </c>
      <c r="O153" s="75">
        <f t="shared" si="37"/>
        <v>0</v>
      </c>
      <c r="P153" s="77">
        <f t="shared" si="38"/>
        <v>0</v>
      </c>
    </row>
    <row r="154" spans="1:16" s="61" customFormat="1" x14ac:dyDescent="0.2">
      <c r="A154" s="155">
        <v>0</v>
      </c>
      <c r="B154" s="366">
        <f t="shared" si="20"/>
        <v>0</v>
      </c>
      <c r="C154" s="183" t="s">
        <v>136</v>
      </c>
      <c r="D154" s="179" t="s">
        <v>137</v>
      </c>
      <c r="E154" s="184">
        <f>E152*0.25</f>
        <v>1.74</v>
      </c>
      <c r="F154" s="185"/>
      <c r="G154" s="159"/>
      <c r="H154" s="161"/>
      <c r="I154" s="154"/>
      <c r="J154" s="161"/>
      <c r="K154" s="75">
        <f t="shared" si="33"/>
        <v>0</v>
      </c>
      <c r="L154" s="76">
        <f t="shared" si="34"/>
        <v>0</v>
      </c>
      <c r="M154" s="75">
        <f t="shared" si="35"/>
        <v>0</v>
      </c>
      <c r="N154" s="75">
        <f t="shared" si="36"/>
        <v>0</v>
      </c>
      <c r="O154" s="75">
        <f t="shared" si="37"/>
        <v>0</v>
      </c>
      <c r="P154" s="77">
        <f t="shared" si="38"/>
        <v>0</v>
      </c>
    </row>
    <row r="155" spans="1:16" s="61" customFormat="1" ht="40.5" customHeight="1" x14ac:dyDescent="0.2">
      <c r="A155" s="155">
        <v>57</v>
      </c>
      <c r="B155" s="366" t="str">
        <f t="shared" ref="B155:B183" si="39">IF(A155&gt;0,"L.c.",0)</f>
        <v>L.c.</v>
      </c>
      <c r="C155" s="176" t="s">
        <v>138</v>
      </c>
      <c r="D155" s="179" t="s">
        <v>78</v>
      </c>
      <c r="E155" s="159">
        <v>2.4300000000000002</v>
      </c>
      <c r="F155" s="159"/>
      <c r="G155" s="159"/>
      <c r="H155" s="161"/>
      <c r="I155" s="161"/>
      <c r="J155" s="161"/>
      <c r="K155" s="75">
        <f t="shared" si="33"/>
        <v>0</v>
      </c>
      <c r="L155" s="76">
        <f t="shared" si="34"/>
        <v>0</v>
      </c>
      <c r="M155" s="75">
        <f t="shared" si="35"/>
        <v>0</v>
      </c>
      <c r="N155" s="75">
        <f t="shared" si="36"/>
        <v>0</v>
      </c>
      <c r="O155" s="75">
        <f t="shared" si="37"/>
        <v>0</v>
      </c>
      <c r="P155" s="77">
        <f t="shared" si="38"/>
        <v>0</v>
      </c>
    </row>
    <row r="156" spans="1:16" s="61" customFormat="1" x14ac:dyDescent="0.2">
      <c r="A156" s="150">
        <v>0</v>
      </c>
      <c r="B156" s="366">
        <f t="shared" si="39"/>
        <v>0</v>
      </c>
      <c r="C156" s="183" t="s">
        <v>139</v>
      </c>
      <c r="D156" s="179" t="s">
        <v>78</v>
      </c>
      <c r="E156" s="184">
        <f>E155*1.05</f>
        <v>2.5515000000000003</v>
      </c>
      <c r="F156" s="185"/>
      <c r="G156" s="159"/>
      <c r="H156" s="161"/>
      <c r="I156" s="161"/>
      <c r="J156" s="161"/>
      <c r="K156" s="75">
        <f t="shared" si="33"/>
        <v>0</v>
      </c>
      <c r="L156" s="76">
        <f t="shared" si="34"/>
        <v>0</v>
      </c>
      <c r="M156" s="75">
        <f t="shared" si="35"/>
        <v>0</v>
      </c>
      <c r="N156" s="75">
        <f t="shared" si="36"/>
        <v>0</v>
      </c>
      <c r="O156" s="75">
        <f t="shared" si="37"/>
        <v>0</v>
      </c>
      <c r="P156" s="77">
        <f t="shared" si="38"/>
        <v>0</v>
      </c>
    </row>
    <row r="157" spans="1:16" s="61" customFormat="1" x14ac:dyDescent="0.2">
      <c r="A157" s="150">
        <v>0</v>
      </c>
      <c r="B157" s="366">
        <f t="shared" si="39"/>
        <v>0</v>
      </c>
      <c r="C157" s="183" t="s">
        <v>136</v>
      </c>
      <c r="D157" s="179" t="s">
        <v>137</v>
      </c>
      <c r="E157" s="184">
        <f>E155*0.25</f>
        <v>0.60750000000000004</v>
      </c>
      <c r="F157" s="185"/>
      <c r="G157" s="159"/>
      <c r="H157" s="161"/>
      <c r="I157" s="154"/>
      <c r="J157" s="161"/>
      <c r="K157" s="75">
        <f t="shared" si="33"/>
        <v>0</v>
      </c>
      <c r="L157" s="76">
        <f t="shared" si="34"/>
        <v>0</v>
      </c>
      <c r="M157" s="75">
        <f t="shared" si="35"/>
        <v>0</v>
      </c>
      <c r="N157" s="75">
        <f t="shared" si="36"/>
        <v>0</v>
      </c>
      <c r="O157" s="75">
        <f t="shared" si="37"/>
        <v>0</v>
      </c>
      <c r="P157" s="77">
        <f t="shared" si="38"/>
        <v>0</v>
      </c>
    </row>
    <row r="158" spans="1:16" s="61" customFormat="1" ht="102" x14ac:dyDescent="0.2">
      <c r="A158" s="150">
        <v>58</v>
      </c>
      <c r="B158" s="366" t="str">
        <f t="shared" si="39"/>
        <v>L.c.</v>
      </c>
      <c r="C158" s="186" t="s">
        <v>427</v>
      </c>
      <c r="D158" s="158" t="s">
        <v>131</v>
      </c>
      <c r="E158" s="182">
        <f>66.78+53.48</f>
        <v>120.25999999999999</v>
      </c>
      <c r="F158" s="158"/>
      <c r="G158" s="159"/>
      <c r="H158" s="161"/>
      <c r="I158" s="161"/>
      <c r="J158" s="161"/>
      <c r="K158" s="75">
        <f t="shared" si="33"/>
        <v>0</v>
      </c>
      <c r="L158" s="76">
        <f t="shared" si="34"/>
        <v>0</v>
      </c>
      <c r="M158" s="75">
        <f t="shared" si="35"/>
        <v>0</v>
      </c>
      <c r="N158" s="75">
        <f t="shared" si="36"/>
        <v>0</v>
      </c>
      <c r="O158" s="75">
        <f t="shared" si="37"/>
        <v>0</v>
      </c>
      <c r="P158" s="77">
        <f t="shared" si="38"/>
        <v>0</v>
      </c>
    </row>
    <row r="159" spans="1:16" s="61" customFormat="1" x14ac:dyDescent="0.2">
      <c r="A159" s="155">
        <v>0</v>
      </c>
      <c r="B159" s="366">
        <f t="shared" si="39"/>
        <v>0</v>
      </c>
      <c r="C159" s="189" t="s">
        <v>188</v>
      </c>
      <c r="D159" s="158" t="s">
        <v>131</v>
      </c>
      <c r="E159" s="179">
        <f>E158*1.1</f>
        <v>132.286</v>
      </c>
      <c r="F159" s="190"/>
      <c r="G159" s="159"/>
      <c r="H159" s="161"/>
      <c r="I159" s="161"/>
      <c r="J159" s="161"/>
      <c r="K159" s="75">
        <f t="shared" si="33"/>
        <v>0</v>
      </c>
      <c r="L159" s="76">
        <f t="shared" si="34"/>
        <v>0</v>
      </c>
      <c r="M159" s="75">
        <f t="shared" si="35"/>
        <v>0</v>
      </c>
      <c r="N159" s="75">
        <f t="shared" si="36"/>
        <v>0</v>
      </c>
      <c r="O159" s="75">
        <f t="shared" si="37"/>
        <v>0</v>
      </c>
      <c r="P159" s="77">
        <f t="shared" si="38"/>
        <v>0</v>
      </c>
    </row>
    <row r="160" spans="1:16" s="61" customFormat="1" x14ac:dyDescent="0.2">
      <c r="A160" s="155">
        <v>0</v>
      </c>
      <c r="B160" s="366">
        <f t="shared" si="39"/>
        <v>0</v>
      </c>
      <c r="C160" s="192" t="s">
        <v>189</v>
      </c>
      <c r="D160" s="158" t="s">
        <v>66</v>
      </c>
      <c r="E160" s="179">
        <v>1</v>
      </c>
      <c r="F160" s="190"/>
      <c r="G160" s="159"/>
      <c r="H160" s="161"/>
      <c r="I160" s="161"/>
      <c r="J160" s="161"/>
      <c r="K160" s="75">
        <f t="shared" si="33"/>
        <v>0</v>
      </c>
      <c r="L160" s="76">
        <f t="shared" si="34"/>
        <v>0</v>
      </c>
      <c r="M160" s="75">
        <f t="shared" si="35"/>
        <v>0</v>
      </c>
      <c r="N160" s="75">
        <f t="shared" si="36"/>
        <v>0</v>
      </c>
      <c r="O160" s="75">
        <f t="shared" si="37"/>
        <v>0</v>
      </c>
      <c r="P160" s="77">
        <f t="shared" si="38"/>
        <v>0</v>
      </c>
    </row>
    <row r="161" spans="1:16" s="61" customFormat="1" ht="25.5" x14ac:dyDescent="0.2">
      <c r="A161" s="155">
        <v>59</v>
      </c>
      <c r="B161" s="366" t="str">
        <f t="shared" si="39"/>
        <v>L.c.</v>
      </c>
      <c r="C161" s="186" t="s">
        <v>428</v>
      </c>
      <c r="D161" s="156" t="s">
        <v>59</v>
      </c>
      <c r="E161" s="156">
        <v>3</v>
      </c>
      <c r="F161" s="158"/>
      <c r="G161" s="159"/>
      <c r="H161" s="161"/>
      <c r="I161" s="161"/>
      <c r="J161" s="161"/>
      <c r="K161" s="75">
        <f t="shared" si="33"/>
        <v>0</v>
      </c>
      <c r="L161" s="76">
        <f t="shared" si="34"/>
        <v>0</v>
      </c>
      <c r="M161" s="75">
        <f t="shared" si="35"/>
        <v>0</v>
      </c>
      <c r="N161" s="75">
        <f t="shared" si="36"/>
        <v>0</v>
      </c>
      <c r="O161" s="75">
        <f t="shared" si="37"/>
        <v>0</v>
      </c>
      <c r="P161" s="77">
        <f t="shared" si="38"/>
        <v>0</v>
      </c>
    </row>
    <row r="162" spans="1:16" s="61" customFormat="1" x14ac:dyDescent="0.2">
      <c r="A162" s="155">
        <v>0</v>
      </c>
      <c r="B162" s="366">
        <f t="shared" si="39"/>
        <v>0</v>
      </c>
      <c r="C162" s="186"/>
      <c r="D162" s="158"/>
      <c r="E162" s="158"/>
      <c r="F162" s="159"/>
      <c r="G162" s="159"/>
      <c r="H162" s="161"/>
      <c r="I162" s="161"/>
      <c r="J162" s="161"/>
      <c r="K162" s="75">
        <f t="shared" si="33"/>
        <v>0</v>
      </c>
      <c r="L162" s="76">
        <f t="shared" si="34"/>
        <v>0</v>
      </c>
      <c r="M162" s="75">
        <f t="shared" si="35"/>
        <v>0</v>
      </c>
      <c r="N162" s="75">
        <f t="shared" si="36"/>
        <v>0</v>
      </c>
      <c r="O162" s="75">
        <f t="shared" si="37"/>
        <v>0</v>
      </c>
      <c r="P162" s="77">
        <f t="shared" si="38"/>
        <v>0</v>
      </c>
    </row>
    <row r="163" spans="1:16" s="61" customFormat="1" ht="31.5" x14ac:dyDescent="0.2">
      <c r="A163" s="143">
        <v>0</v>
      </c>
      <c r="B163" s="366">
        <f t="shared" si="39"/>
        <v>0</v>
      </c>
      <c r="C163" s="169" t="s">
        <v>429</v>
      </c>
      <c r="D163" s="146"/>
      <c r="E163" s="147"/>
      <c r="F163" s="148"/>
      <c r="G163" s="148"/>
      <c r="H163" s="149"/>
      <c r="I163" s="149"/>
      <c r="J163" s="149"/>
      <c r="K163" s="75">
        <f t="shared" si="33"/>
        <v>0</v>
      </c>
      <c r="L163" s="76">
        <f t="shared" si="34"/>
        <v>0</v>
      </c>
      <c r="M163" s="75">
        <f t="shared" si="35"/>
        <v>0</v>
      </c>
      <c r="N163" s="75">
        <f t="shared" si="36"/>
        <v>0</v>
      </c>
      <c r="O163" s="75">
        <f t="shared" si="37"/>
        <v>0</v>
      </c>
      <c r="P163" s="77">
        <f t="shared" si="38"/>
        <v>0</v>
      </c>
    </row>
    <row r="164" spans="1:16" s="61" customFormat="1" ht="25.5" x14ac:dyDescent="0.2">
      <c r="A164" s="155">
        <v>0</v>
      </c>
      <c r="B164" s="366">
        <f t="shared" si="39"/>
        <v>0</v>
      </c>
      <c r="C164" s="197" t="s">
        <v>430</v>
      </c>
      <c r="D164" s="158"/>
      <c r="E164" s="158"/>
      <c r="F164" s="159"/>
      <c r="G164" s="159"/>
      <c r="H164" s="161"/>
      <c r="I164" s="161"/>
      <c r="J164" s="161"/>
      <c r="K164" s="75">
        <f t="shared" si="33"/>
        <v>0</v>
      </c>
      <c r="L164" s="76">
        <f t="shared" si="34"/>
        <v>0</v>
      </c>
      <c r="M164" s="75">
        <f t="shared" si="35"/>
        <v>0</v>
      </c>
      <c r="N164" s="75">
        <f t="shared" si="36"/>
        <v>0</v>
      </c>
      <c r="O164" s="75">
        <f t="shared" si="37"/>
        <v>0</v>
      </c>
      <c r="P164" s="77">
        <f t="shared" si="38"/>
        <v>0</v>
      </c>
    </row>
    <row r="165" spans="1:16" s="61" customFormat="1" ht="127.5" x14ac:dyDescent="0.2">
      <c r="A165" s="155">
        <v>60</v>
      </c>
      <c r="B165" s="366" t="str">
        <f t="shared" si="39"/>
        <v>L.c.</v>
      </c>
      <c r="C165" s="186" t="s">
        <v>187</v>
      </c>
      <c r="D165" s="158" t="s">
        <v>131</v>
      </c>
      <c r="E165" s="308">
        <f>970.8+923+67.2+196.1+1046.6+1046.6+1046.6+104.7+104.7+104.7</f>
        <v>5610.9999999999991</v>
      </c>
      <c r="F165" s="158"/>
      <c r="G165" s="159"/>
      <c r="H165" s="161"/>
      <c r="I165" s="161"/>
      <c r="J165" s="161"/>
      <c r="K165" s="75">
        <f t="shared" si="33"/>
        <v>0</v>
      </c>
      <c r="L165" s="76">
        <f t="shared" si="34"/>
        <v>0</v>
      </c>
      <c r="M165" s="75">
        <f t="shared" si="35"/>
        <v>0</v>
      </c>
      <c r="N165" s="75">
        <f t="shared" si="36"/>
        <v>0</v>
      </c>
      <c r="O165" s="75">
        <f t="shared" si="37"/>
        <v>0</v>
      </c>
      <c r="P165" s="77">
        <f t="shared" si="38"/>
        <v>0</v>
      </c>
    </row>
    <row r="166" spans="1:16" s="61" customFormat="1" x14ac:dyDescent="0.2">
      <c r="A166" s="155">
        <v>0</v>
      </c>
      <c r="B166" s="366">
        <f t="shared" si="39"/>
        <v>0</v>
      </c>
      <c r="C166" s="189" t="s">
        <v>188</v>
      </c>
      <c r="D166" s="158" t="s">
        <v>131</v>
      </c>
      <c r="E166" s="179">
        <f>E165*1.1</f>
        <v>6172.0999999999995</v>
      </c>
      <c r="F166" s="190"/>
      <c r="G166" s="159"/>
      <c r="H166" s="161"/>
      <c r="I166" s="161"/>
      <c r="J166" s="161"/>
      <c r="K166" s="75">
        <f t="shared" si="33"/>
        <v>0</v>
      </c>
      <c r="L166" s="76">
        <f t="shared" si="34"/>
        <v>0</v>
      </c>
      <c r="M166" s="75">
        <f t="shared" si="35"/>
        <v>0</v>
      </c>
      <c r="N166" s="75">
        <f t="shared" si="36"/>
        <v>0</v>
      </c>
      <c r="O166" s="75">
        <f t="shared" si="37"/>
        <v>0</v>
      </c>
      <c r="P166" s="77">
        <f t="shared" si="38"/>
        <v>0</v>
      </c>
    </row>
    <row r="167" spans="1:16" s="61" customFormat="1" x14ac:dyDescent="0.2">
      <c r="A167" s="155">
        <v>0</v>
      </c>
      <c r="B167" s="366">
        <f t="shared" si="39"/>
        <v>0</v>
      </c>
      <c r="C167" s="192" t="s">
        <v>189</v>
      </c>
      <c r="D167" s="158" t="s">
        <v>66</v>
      </c>
      <c r="E167" s="179">
        <v>1</v>
      </c>
      <c r="F167" s="190"/>
      <c r="G167" s="159"/>
      <c r="H167" s="161"/>
      <c r="I167" s="161"/>
      <c r="J167" s="161"/>
      <c r="K167" s="75">
        <f t="shared" si="33"/>
        <v>0</v>
      </c>
      <c r="L167" s="76">
        <f t="shared" si="34"/>
        <v>0</v>
      </c>
      <c r="M167" s="75">
        <f t="shared" si="35"/>
        <v>0</v>
      </c>
      <c r="N167" s="75">
        <f t="shared" si="36"/>
        <v>0</v>
      </c>
      <c r="O167" s="75">
        <f t="shared" si="37"/>
        <v>0</v>
      </c>
      <c r="P167" s="77">
        <f t="shared" si="38"/>
        <v>0</v>
      </c>
    </row>
    <row r="168" spans="1:16" s="61" customFormat="1" x14ac:dyDescent="0.2">
      <c r="A168" s="155">
        <v>61</v>
      </c>
      <c r="B168" s="366" t="str">
        <f t="shared" si="39"/>
        <v>L.c.</v>
      </c>
      <c r="C168" s="274" t="s">
        <v>412</v>
      </c>
      <c r="D168" s="158" t="s">
        <v>83</v>
      </c>
      <c r="E168" s="179">
        <v>225</v>
      </c>
      <c r="F168" s="190"/>
      <c r="G168" s="159"/>
      <c r="H168" s="161"/>
      <c r="I168" s="161"/>
      <c r="J168" s="161"/>
      <c r="K168" s="75">
        <f t="shared" si="33"/>
        <v>0</v>
      </c>
      <c r="L168" s="76">
        <f t="shared" si="34"/>
        <v>0</v>
      </c>
      <c r="M168" s="75">
        <f t="shared" si="35"/>
        <v>0</v>
      </c>
      <c r="N168" s="75">
        <f t="shared" si="36"/>
        <v>0</v>
      </c>
      <c r="O168" s="75">
        <f t="shared" si="37"/>
        <v>0</v>
      </c>
      <c r="P168" s="77">
        <f t="shared" si="38"/>
        <v>0</v>
      </c>
    </row>
    <row r="169" spans="1:16" s="61" customFormat="1" x14ac:dyDescent="0.2">
      <c r="A169" s="155">
        <v>0</v>
      </c>
      <c r="B169" s="366">
        <f t="shared" si="39"/>
        <v>0</v>
      </c>
      <c r="C169" s="192" t="s">
        <v>423</v>
      </c>
      <c r="D169" s="158" t="s">
        <v>83</v>
      </c>
      <c r="E169" s="179">
        <f>E168*1.1</f>
        <v>247.50000000000003</v>
      </c>
      <c r="F169" s="190"/>
      <c r="G169" s="159"/>
      <c r="H169" s="161"/>
      <c r="I169" s="167"/>
      <c r="J169" s="161"/>
      <c r="K169" s="75">
        <f t="shared" si="33"/>
        <v>0</v>
      </c>
      <c r="L169" s="76">
        <f t="shared" si="34"/>
        <v>0</v>
      </c>
      <c r="M169" s="75">
        <f t="shared" si="35"/>
        <v>0</v>
      </c>
      <c r="N169" s="75">
        <f t="shared" si="36"/>
        <v>0</v>
      </c>
      <c r="O169" s="75">
        <f t="shared" si="37"/>
        <v>0</v>
      </c>
      <c r="P169" s="77">
        <f t="shared" si="38"/>
        <v>0</v>
      </c>
    </row>
    <row r="170" spans="1:16" s="61" customFormat="1" x14ac:dyDescent="0.2">
      <c r="A170" s="155">
        <v>0</v>
      </c>
      <c r="B170" s="366">
        <f t="shared" si="39"/>
        <v>0</v>
      </c>
      <c r="C170" s="192" t="s">
        <v>209</v>
      </c>
      <c r="D170" s="158" t="s">
        <v>59</v>
      </c>
      <c r="E170" s="179">
        <f>E168*8</f>
        <v>1800</v>
      </c>
      <c r="F170" s="190"/>
      <c r="G170" s="159"/>
      <c r="H170" s="161"/>
      <c r="I170" s="161"/>
      <c r="J170" s="161"/>
      <c r="K170" s="75">
        <f t="shared" si="33"/>
        <v>0</v>
      </c>
      <c r="L170" s="76">
        <f t="shared" si="34"/>
        <v>0</v>
      </c>
      <c r="M170" s="75">
        <f t="shared" si="35"/>
        <v>0</v>
      </c>
      <c r="N170" s="75">
        <f t="shared" si="36"/>
        <v>0</v>
      </c>
      <c r="O170" s="75">
        <f t="shared" si="37"/>
        <v>0</v>
      </c>
      <c r="P170" s="77">
        <f t="shared" si="38"/>
        <v>0</v>
      </c>
    </row>
    <row r="171" spans="1:16" s="61" customFormat="1" x14ac:dyDescent="0.2">
      <c r="A171" s="155">
        <v>0</v>
      </c>
      <c r="B171" s="366">
        <f t="shared" si="39"/>
        <v>0</v>
      </c>
      <c r="C171" s="188"/>
      <c r="D171" s="188"/>
      <c r="E171" s="188"/>
      <c r="F171" s="188"/>
      <c r="G171" s="188"/>
      <c r="H171" s="188"/>
      <c r="I171" s="188"/>
      <c r="J171" s="188"/>
      <c r="K171" s="75">
        <f t="shared" si="33"/>
        <v>0</v>
      </c>
      <c r="L171" s="76">
        <f t="shared" si="34"/>
        <v>0</v>
      </c>
      <c r="M171" s="75">
        <f t="shared" si="35"/>
        <v>0</v>
      </c>
      <c r="N171" s="75">
        <f t="shared" si="36"/>
        <v>0</v>
      </c>
      <c r="O171" s="75">
        <f t="shared" si="37"/>
        <v>0</v>
      </c>
      <c r="P171" s="77">
        <f t="shared" si="38"/>
        <v>0</v>
      </c>
    </row>
    <row r="172" spans="1:16" s="61" customFormat="1" ht="15.75" x14ac:dyDescent="0.2">
      <c r="A172" s="155">
        <v>0</v>
      </c>
      <c r="B172" s="366">
        <f t="shared" si="39"/>
        <v>0</v>
      </c>
      <c r="C172" s="169" t="s">
        <v>431</v>
      </c>
      <c r="D172" s="330"/>
      <c r="E172" s="330"/>
      <c r="F172" s="330"/>
      <c r="G172" s="330"/>
      <c r="H172" s="330"/>
      <c r="I172" s="330"/>
      <c r="J172" s="330"/>
      <c r="K172" s="75">
        <f t="shared" si="33"/>
        <v>0</v>
      </c>
      <c r="L172" s="76">
        <f t="shared" si="34"/>
        <v>0</v>
      </c>
      <c r="M172" s="75">
        <f t="shared" si="35"/>
        <v>0</v>
      </c>
      <c r="N172" s="75">
        <f t="shared" si="36"/>
        <v>0</v>
      </c>
      <c r="O172" s="75">
        <f t="shared" si="37"/>
        <v>0</v>
      </c>
      <c r="P172" s="77">
        <f t="shared" si="38"/>
        <v>0</v>
      </c>
    </row>
    <row r="173" spans="1:16" s="61" customFormat="1" x14ac:dyDescent="0.2">
      <c r="A173" s="155">
        <v>62</v>
      </c>
      <c r="B173" s="366" t="str">
        <f t="shared" si="39"/>
        <v>L.c.</v>
      </c>
      <c r="C173" s="312" t="s">
        <v>184</v>
      </c>
      <c r="D173" s="308" t="s">
        <v>83</v>
      </c>
      <c r="E173" s="309">
        <v>1.7</v>
      </c>
      <c r="F173" s="310"/>
      <c r="G173" s="309"/>
      <c r="H173" s="310"/>
      <c r="I173" s="310"/>
      <c r="J173" s="310"/>
      <c r="K173" s="75">
        <f t="shared" si="33"/>
        <v>0</v>
      </c>
      <c r="L173" s="76">
        <f t="shared" si="34"/>
        <v>0</v>
      </c>
      <c r="M173" s="75">
        <f t="shared" si="35"/>
        <v>0</v>
      </c>
      <c r="N173" s="75">
        <f t="shared" si="36"/>
        <v>0</v>
      </c>
      <c r="O173" s="75">
        <f t="shared" si="37"/>
        <v>0</v>
      </c>
      <c r="P173" s="77">
        <f t="shared" si="38"/>
        <v>0</v>
      </c>
    </row>
    <row r="174" spans="1:16" s="61" customFormat="1" ht="89.25" x14ac:dyDescent="0.2">
      <c r="A174" s="155">
        <v>63</v>
      </c>
      <c r="B174" s="366" t="str">
        <f t="shared" si="39"/>
        <v>L.c.</v>
      </c>
      <c r="C174" s="312" t="s">
        <v>185</v>
      </c>
      <c r="D174" s="308" t="s">
        <v>131</v>
      </c>
      <c r="E174" s="309">
        <f>25+9.1</f>
        <v>34.1</v>
      </c>
      <c r="F174" s="313"/>
      <c r="G174" s="309"/>
      <c r="H174" s="310"/>
      <c r="I174" s="310"/>
      <c r="J174" s="310"/>
      <c r="K174" s="75">
        <f t="shared" si="33"/>
        <v>0</v>
      </c>
      <c r="L174" s="76">
        <f t="shared" si="34"/>
        <v>0</v>
      </c>
      <c r="M174" s="75">
        <f t="shared" si="35"/>
        <v>0</v>
      </c>
      <c r="N174" s="75">
        <f t="shared" si="36"/>
        <v>0</v>
      </c>
      <c r="O174" s="75">
        <f t="shared" si="37"/>
        <v>0</v>
      </c>
      <c r="P174" s="77">
        <f t="shared" si="38"/>
        <v>0</v>
      </c>
    </row>
    <row r="175" spans="1:16" s="61" customFormat="1" x14ac:dyDescent="0.2">
      <c r="A175" s="155">
        <v>0</v>
      </c>
      <c r="B175" s="366">
        <f t="shared" si="39"/>
        <v>0</v>
      </c>
      <c r="C175" s="314" t="s">
        <v>132</v>
      </c>
      <c r="D175" s="315" t="s">
        <v>131</v>
      </c>
      <c r="E175" s="316">
        <f>E174*1.15</f>
        <v>39.214999999999996</v>
      </c>
      <c r="F175" s="309"/>
      <c r="G175" s="309"/>
      <c r="H175" s="310"/>
      <c r="I175" s="310"/>
      <c r="J175" s="310"/>
      <c r="K175" s="75">
        <f t="shared" si="33"/>
        <v>0</v>
      </c>
      <c r="L175" s="76">
        <f t="shared" si="34"/>
        <v>0</v>
      </c>
      <c r="M175" s="75">
        <f t="shared" si="35"/>
        <v>0</v>
      </c>
      <c r="N175" s="75">
        <f t="shared" si="36"/>
        <v>0</v>
      </c>
      <c r="O175" s="75">
        <f t="shared" si="37"/>
        <v>0</v>
      </c>
      <c r="P175" s="77">
        <f t="shared" si="38"/>
        <v>0</v>
      </c>
    </row>
    <row r="176" spans="1:16" s="61" customFormat="1" ht="25.5" x14ac:dyDescent="0.2">
      <c r="A176" s="155">
        <v>0</v>
      </c>
      <c r="B176" s="366">
        <f t="shared" si="39"/>
        <v>0</v>
      </c>
      <c r="C176" s="317" t="s">
        <v>133</v>
      </c>
      <c r="D176" s="308" t="s">
        <v>66</v>
      </c>
      <c r="E176" s="308">
        <v>1</v>
      </c>
      <c r="F176" s="309"/>
      <c r="G176" s="309"/>
      <c r="H176" s="310"/>
      <c r="I176" s="310"/>
      <c r="J176" s="310"/>
      <c r="K176" s="75">
        <f t="shared" si="33"/>
        <v>0</v>
      </c>
      <c r="L176" s="76">
        <f t="shared" si="34"/>
        <v>0</v>
      </c>
      <c r="M176" s="75">
        <f t="shared" si="35"/>
        <v>0</v>
      </c>
      <c r="N176" s="75">
        <f t="shared" si="36"/>
        <v>0</v>
      </c>
      <c r="O176" s="75">
        <f t="shared" si="37"/>
        <v>0</v>
      </c>
      <c r="P176" s="77">
        <f t="shared" si="38"/>
        <v>0</v>
      </c>
    </row>
    <row r="177" spans="1:16" s="61" customFormat="1" ht="25.5" x14ac:dyDescent="0.2">
      <c r="A177" s="155">
        <v>64</v>
      </c>
      <c r="B177" s="366" t="str">
        <f t="shared" si="39"/>
        <v>L.c.</v>
      </c>
      <c r="C177" s="312" t="s">
        <v>186</v>
      </c>
      <c r="D177" s="315" t="s">
        <v>78</v>
      </c>
      <c r="E177" s="309">
        <v>0.14000000000000001</v>
      </c>
      <c r="F177" s="309"/>
      <c r="G177" s="309"/>
      <c r="H177" s="310"/>
      <c r="I177" s="310"/>
      <c r="J177" s="310"/>
      <c r="K177" s="75">
        <f t="shared" si="33"/>
        <v>0</v>
      </c>
      <c r="L177" s="76">
        <f t="shared" si="34"/>
        <v>0</v>
      </c>
      <c r="M177" s="75">
        <f t="shared" si="35"/>
        <v>0</v>
      </c>
      <c r="N177" s="75">
        <f t="shared" si="36"/>
        <v>0</v>
      </c>
      <c r="O177" s="75">
        <f t="shared" si="37"/>
        <v>0</v>
      </c>
      <c r="P177" s="77">
        <f t="shared" si="38"/>
        <v>0</v>
      </c>
    </row>
    <row r="178" spans="1:16" s="61" customFormat="1" ht="15" x14ac:dyDescent="0.25">
      <c r="A178" s="155">
        <v>0</v>
      </c>
      <c r="B178" s="366">
        <f t="shared" si="39"/>
        <v>0</v>
      </c>
      <c r="C178" s="326" t="s">
        <v>135</v>
      </c>
      <c r="D178" s="315" t="s">
        <v>78</v>
      </c>
      <c r="E178" s="319">
        <f>E177*1.05</f>
        <v>0.14700000000000002</v>
      </c>
      <c r="F178" s="320"/>
      <c r="G178" s="309"/>
      <c r="H178" s="310"/>
      <c r="I178" s="310"/>
      <c r="J178" s="310"/>
      <c r="K178" s="75">
        <f t="shared" si="33"/>
        <v>0</v>
      </c>
      <c r="L178" s="76">
        <f t="shared" si="34"/>
        <v>0</v>
      </c>
      <c r="M178" s="75">
        <f t="shared" si="35"/>
        <v>0</v>
      </c>
      <c r="N178" s="75">
        <f t="shared" si="36"/>
        <v>0</v>
      </c>
      <c r="O178" s="75">
        <f t="shared" si="37"/>
        <v>0</v>
      </c>
      <c r="P178" s="77">
        <f t="shared" si="38"/>
        <v>0</v>
      </c>
    </row>
    <row r="179" spans="1:16" s="61" customFormat="1" x14ac:dyDescent="0.2">
      <c r="A179" s="155">
        <v>0</v>
      </c>
      <c r="B179" s="366">
        <f t="shared" si="39"/>
        <v>0</v>
      </c>
      <c r="C179" s="318" t="s">
        <v>136</v>
      </c>
      <c r="D179" s="315" t="s">
        <v>137</v>
      </c>
      <c r="E179" s="319">
        <f>E177*0.25</f>
        <v>3.5000000000000003E-2</v>
      </c>
      <c r="F179" s="320"/>
      <c r="G179" s="309"/>
      <c r="H179" s="310"/>
      <c r="I179" s="321"/>
      <c r="J179" s="310"/>
      <c r="K179" s="75">
        <f t="shared" si="33"/>
        <v>0</v>
      </c>
      <c r="L179" s="76">
        <f t="shared" si="34"/>
        <v>0</v>
      </c>
      <c r="M179" s="75">
        <f t="shared" si="35"/>
        <v>0</v>
      </c>
      <c r="N179" s="75">
        <f t="shared" si="36"/>
        <v>0</v>
      </c>
      <c r="O179" s="75">
        <f t="shared" si="37"/>
        <v>0</v>
      </c>
      <c r="P179" s="77">
        <f t="shared" si="38"/>
        <v>0</v>
      </c>
    </row>
    <row r="180" spans="1:16" s="61" customFormat="1" ht="38.25" x14ac:dyDescent="0.2">
      <c r="A180" s="155">
        <v>65</v>
      </c>
      <c r="B180" s="366" t="str">
        <f t="shared" si="39"/>
        <v>L.c.</v>
      </c>
      <c r="C180" s="327" t="s">
        <v>329</v>
      </c>
      <c r="D180" s="308" t="s">
        <v>78</v>
      </c>
      <c r="E180" s="308">
        <f>0.48+15.6+0.43</f>
        <v>16.509999999999998</v>
      </c>
      <c r="F180" s="309"/>
      <c r="G180" s="309"/>
      <c r="H180" s="310"/>
      <c r="I180" s="310"/>
      <c r="J180" s="310"/>
      <c r="K180" s="75">
        <f t="shared" si="33"/>
        <v>0</v>
      </c>
      <c r="L180" s="76">
        <f t="shared" si="34"/>
        <v>0</v>
      </c>
      <c r="M180" s="75">
        <f t="shared" si="35"/>
        <v>0</v>
      </c>
      <c r="N180" s="75">
        <f t="shared" si="36"/>
        <v>0</v>
      </c>
      <c r="O180" s="75">
        <f t="shared" si="37"/>
        <v>0</v>
      </c>
      <c r="P180" s="77">
        <f t="shared" si="38"/>
        <v>0</v>
      </c>
    </row>
    <row r="181" spans="1:16" s="61" customFormat="1" x14ac:dyDescent="0.2">
      <c r="A181" s="155">
        <v>0</v>
      </c>
      <c r="B181" s="366">
        <f t="shared" si="39"/>
        <v>0</v>
      </c>
      <c r="C181" s="314" t="s">
        <v>330</v>
      </c>
      <c r="D181" s="308" t="s">
        <v>78</v>
      </c>
      <c r="E181" s="309">
        <f>E180*1.15</f>
        <v>18.986499999999996</v>
      </c>
      <c r="F181" s="309"/>
      <c r="G181" s="309"/>
      <c r="H181" s="310"/>
      <c r="I181" s="310"/>
      <c r="J181" s="310"/>
      <c r="K181" s="75">
        <f t="shared" si="33"/>
        <v>0</v>
      </c>
      <c r="L181" s="76">
        <f t="shared" si="34"/>
        <v>0</v>
      </c>
      <c r="M181" s="75">
        <f t="shared" si="35"/>
        <v>0</v>
      </c>
      <c r="N181" s="75">
        <f t="shared" si="36"/>
        <v>0</v>
      </c>
      <c r="O181" s="75">
        <f t="shared" si="37"/>
        <v>0</v>
      </c>
      <c r="P181" s="77">
        <f t="shared" si="38"/>
        <v>0</v>
      </c>
    </row>
    <row r="182" spans="1:16" s="61" customFormat="1" ht="25.5" x14ac:dyDescent="0.2">
      <c r="A182" s="155">
        <v>0</v>
      </c>
      <c r="B182" s="366">
        <f t="shared" si="39"/>
        <v>0</v>
      </c>
      <c r="C182" s="314" t="s">
        <v>331</v>
      </c>
      <c r="D182" s="308" t="s">
        <v>66</v>
      </c>
      <c r="E182" s="308">
        <v>1</v>
      </c>
      <c r="F182" s="309"/>
      <c r="G182" s="309"/>
      <c r="H182" s="310"/>
      <c r="I182" s="310"/>
      <c r="J182" s="310"/>
      <c r="K182" s="75">
        <f t="shared" si="33"/>
        <v>0</v>
      </c>
      <c r="L182" s="76">
        <f t="shared" si="34"/>
        <v>0</v>
      </c>
      <c r="M182" s="75">
        <f t="shared" si="35"/>
        <v>0</v>
      </c>
      <c r="N182" s="75">
        <f t="shared" si="36"/>
        <v>0</v>
      </c>
      <c r="O182" s="75">
        <f t="shared" si="37"/>
        <v>0</v>
      </c>
      <c r="P182" s="77">
        <f t="shared" si="38"/>
        <v>0</v>
      </c>
    </row>
    <row r="183" spans="1:16" s="61" customFormat="1" ht="15" x14ac:dyDescent="0.25">
      <c r="A183" s="155">
        <v>66</v>
      </c>
      <c r="B183" s="366" t="str">
        <f t="shared" si="39"/>
        <v>L.c.</v>
      </c>
      <c r="C183" s="328" t="s">
        <v>432</v>
      </c>
      <c r="D183" s="329" t="s">
        <v>73</v>
      </c>
      <c r="E183" s="308">
        <v>1</v>
      </c>
      <c r="F183" s="309"/>
      <c r="G183" s="309"/>
      <c r="H183" s="310"/>
      <c r="I183" s="310"/>
      <c r="J183" s="310"/>
      <c r="K183" s="75">
        <f t="shared" si="33"/>
        <v>0</v>
      </c>
      <c r="L183" s="76">
        <f t="shared" si="34"/>
        <v>0</v>
      </c>
      <c r="M183" s="75">
        <f t="shared" si="35"/>
        <v>0</v>
      </c>
      <c r="N183" s="75">
        <f t="shared" si="36"/>
        <v>0</v>
      </c>
      <c r="O183" s="75">
        <f t="shared" si="37"/>
        <v>0</v>
      </c>
      <c r="P183" s="77">
        <f t="shared" si="38"/>
        <v>0</v>
      </c>
    </row>
    <row r="184" spans="1:16" x14ac:dyDescent="0.2">
      <c r="A184" s="78"/>
      <c r="B184" s="126"/>
      <c r="C184" s="80"/>
      <c r="D184" s="81"/>
      <c r="E184" s="82"/>
      <c r="F184" s="82">
        <f t="shared" ref="F184" si="40">IFERROR(ROUND(H184/G184,2),0)</f>
        <v>0</v>
      </c>
      <c r="G184" s="82">
        <f t="shared" ref="G184" si="41">IF(H184&gt;0,3.75,0)</f>
        <v>0</v>
      </c>
      <c r="H184" s="83"/>
      <c r="I184" s="82"/>
      <c r="J184" s="82"/>
      <c r="K184" s="82"/>
      <c r="L184" s="82"/>
      <c r="M184" s="82"/>
      <c r="N184" s="82"/>
      <c r="O184" s="82"/>
      <c r="P184" s="84"/>
    </row>
    <row r="185" spans="1:16" ht="15" customHeight="1" x14ac:dyDescent="0.2">
      <c r="A185" s="286"/>
      <c r="B185" s="85"/>
      <c r="C185" s="509" t="s">
        <v>74</v>
      </c>
      <c r="D185" s="510"/>
      <c r="E185" s="510"/>
      <c r="F185" s="510"/>
      <c r="G185" s="510"/>
      <c r="H185" s="510"/>
      <c r="I185" s="510"/>
      <c r="J185" s="510"/>
      <c r="K185" s="510"/>
      <c r="L185" s="87">
        <f>SUM(L13:L184)</f>
        <v>0</v>
      </c>
      <c r="M185" s="87">
        <f>SUM(M13:M184)</f>
        <v>0</v>
      </c>
      <c r="N185" s="87">
        <f>SUM(N13:N184)</f>
        <v>0</v>
      </c>
      <c r="O185" s="87">
        <f>SUM(O13:O184)</f>
        <v>0</v>
      </c>
      <c r="P185" s="87">
        <f>SUM(P13:P184)</f>
        <v>0</v>
      </c>
    </row>
    <row r="186" spans="1:16" s="88" customFormat="1" collapsed="1" x14ac:dyDescent="0.2">
      <c r="A186" s="287"/>
      <c r="I186" s="89"/>
    </row>
    <row r="187" spans="1:16" s="2" customFormat="1" ht="12.75" customHeight="1" x14ac:dyDescent="0.2">
      <c r="A187" s="6"/>
      <c r="B187" s="90" t="s">
        <v>75</v>
      </c>
    </row>
    <row r="188" spans="1:16" s="2" customFormat="1" ht="45" customHeight="1" x14ac:dyDescent="0.2">
      <c r="A188"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188" s="511"/>
      <c r="C188" s="511"/>
      <c r="D188" s="511"/>
      <c r="E188" s="511"/>
      <c r="F188" s="511"/>
      <c r="G188" s="511"/>
      <c r="H188" s="511"/>
      <c r="I188" s="511"/>
      <c r="J188" s="511"/>
      <c r="K188" s="511"/>
      <c r="L188" s="511"/>
      <c r="M188" s="511"/>
      <c r="N188" s="511"/>
      <c r="O188" s="511"/>
      <c r="P188" s="511"/>
    </row>
    <row r="189" spans="1:16" s="2" customFormat="1" ht="66.75" customHeight="1" x14ac:dyDescent="0.2">
      <c r="A189" s="512"/>
      <c r="B189" s="512"/>
      <c r="C189" s="512"/>
      <c r="D189" s="512"/>
      <c r="E189" s="512"/>
      <c r="F189" s="512"/>
      <c r="G189" s="512"/>
      <c r="H189" s="512"/>
      <c r="I189" s="512"/>
      <c r="J189" s="512"/>
      <c r="K189" s="512"/>
      <c r="L189" s="512"/>
      <c r="M189" s="512"/>
      <c r="N189" s="512"/>
      <c r="O189" s="512"/>
      <c r="P189" s="512"/>
    </row>
    <row r="190" spans="1:16" s="2" customFormat="1" ht="12.75" customHeight="1" x14ac:dyDescent="0.2">
      <c r="A190" s="6"/>
      <c r="B190" s="91"/>
    </row>
    <row r="191" spans="1:16" s="2" customFormat="1" ht="12.75" customHeight="1" x14ac:dyDescent="0.2">
      <c r="A191" s="6"/>
      <c r="B191" s="91"/>
    </row>
    <row r="192" spans="1:16" s="88" customFormat="1" x14ac:dyDescent="0.2">
      <c r="A192" s="287"/>
      <c r="B192" s="88" t="s">
        <v>36</v>
      </c>
      <c r="L192" s="92" t="s">
        <v>98</v>
      </c>
      <c r="M192" s="92"/>
      <c r="N192" s="92"/>
      <c r="O192" s="92"/>
      <c r="P192" s="92"/>
    </row>
    <row r="193" spans="1:16" s="88" customFormat="1" ht="14.25" customHeight="1" x14ac:dyDescent="0.2">
      <c r="A193" s="287"/>
      <c r="C193" s="36"/>
      <c r="L193" s="36"/>
      <c r="M193" s="513"/>
      <c r="N193" s="513"/>
      <c r="O193" s="92"/>
      <c r="P193" s="92"/>
    </row>
    <row r="194" spans="1:16" s="88" customFormat="1" x14ac:dyDescent="0.2">
      <c r="A194" s="287"/>
      <c r="C194" s="39"/>
      <c r="L194" s="39"/>
      <c r="M194" s="507"/>
      <c r="N194" s="507"/>
      <c r="O194" s="92"/>
      <c r="P194" s="92"/>
    </row>
    <row r="195" spans="1:16" s="88" customFormat="1" collapsed="1" x14ac:dyDescent="0.2">
      <c r="A195" s="287"/>
      <c r="B195" s="89"/>
      <c r="F195" s="89"/>
      <c r="G195" s="89"/>
    </row>
  </sheetData>
  <mergeCells count="17">
    <mergeCell ref="M194:N194"/>
    <mergeCell ref="F11:K11"/>
    <mergeCell ref="L11:P11"/>
    <mergeCell ref="C185:K185"/>
    <mergeCell ref="A188:P188"/>
    <mergeCell ref="A189:P189"/>
    <mergeCell ref="M193:N193"/>
    <mergeCell ref="A11:A12"/>
    <mergeCell ref="B11:B12"/>
    <mergeCell ref="C11:C12"/>
    <mergeCell ref="D11:D12"/>
    <mergeCell ref="E11:E12"/>
    <mergeCell ref="A2:P2"/>
    <mergeCell ref="D3:P3"/>
    <mergeCell ref="D4:P4"/>
    <mergeCell ref="D5:P5"/>
    <mergeCell ref="L9:O9"/>
  </mergeCells>
  <printOptions horizontalCentered="1"/>
  <pageMargins left="0.27559055118110237" right="0.27559055118110237" top="0.74803149606299213" bottom="0.74803149606299213" header="0.31496062992125984" footer="0.31496062992125984"/>
  <pageSetup paperSize="9" scale="7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33" id="{8B6914A6-69F4-49A7-AA22-91B5AD053CC5}">
            <xm:f>'\Dropbox\1MANI DOCUMENTI\2015_11novembris\1KAS_JAPILDA2015\2_DARBS_2015\[IZMAKSAS_2015_11.3(18.11.2015)(Baltex)JAUNAIS.xlsx]BAZE2015_EUR'!#REF!&gt;0</xm:f>
            <x14:dxf>
              <fill>
                <patternFill>
                  <bgColor rgb="FFFF0000"/>
                </patternFill>
              </fill>
            </x14:dxf>
          </x14:cfRule>
          <x14:cfRule type="expression" priority="34" id="{4B723A7D-9672-431E-99CF-E92270F3EC71}">
            <xm:f>'\Dropbox\1MANI DOCUMENTI\2015_11novembris\1KAS_JAPILDA2015\2_DARBS_2015\[IZMAKSAS_2015_11.3(18.11.2015)(Baltex)JAUNAIS.xlsx]BAZE2015_EUR'!#REF!=3</xm:f>
            <x14:dxf>
              <fill>
                <patternFill>
                  <bgColor rgb="FFFF0000"/>
                </patternFill>
              </fill>
            </x14:dxf>
          </x14:cfRule>
          <x14:cfRule type="expression" priority="35" id="{3DE9CF65-7A35-4A5E-B1AE-633C587E0BD3}">
            <xm:f>'\Dropbox\1MANI DOCUMENTI\2015_11novembris\1KAS_JAPILDA2015\2_DARBS_2015\[IZMAKSAS_2015_11.3(18.11.2015)(Baltex)JAUNAIS.xlsx]BAZE2015_EUR'!#REF!=2</xm:f>
            <x14:dxf>
              <fill>
                <patternFill>
                  <bgColor theme="6" tint="0.39994506668294322"/>
                </patternFill>
              </fill>
            </x14:dxf>
          </x14:cfRule>
          <x14:cfRule type="expression" priority="36" id="{3CF4033D-87BE-448D-905C-AAC4074BD89F}">
            <xm:f>'\Dropbox\1MANI DOCUMENTI\2015_11novembris\1KAS_JAPILDA2015\2_DARBS_2015\[IZMAKSAS_2015_11.3(18.11.2015)(Baltex)JAUNAIS.xlsx]BAZE2015_EUR'!#REF!=1</xm:f>
            <x14:dxf>
              <fill>
                <patternFill>
                  <bgColor rgb="FFFFC000"/>
                </patternFill>
              </fill>
            </x14:dxf>
          </x14:cfRule>
          <xm:sqref>I16</xm:sqref>
        </x14:conditionalFormatting>
        <x14:conditionalFormatting xmlns:xm="http://schemas.microsoft.com/office/excel/2006/main">
          <x14:cfRule type="expression" priority="37" stopIfTrue="1" id="{C176FF39-8EDB-4E0F-B148-AD414C020D21}">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I16</xm:sqref>
        </x14:conditionalFormatting>
        <x14:conditionalFormatting xmlns:xm="http://schemas.microsoft.com/office/excel/2006/main">
          <x14:cfRule type="expression" priority="28" id="{B15C537B-9DA6-4DA2-976A-1726A47A081B}">
            <xm:f>'\Dropbox\1MANI DOCUMENTI\2015_11novembris\1KAS_JAPILDA2015\2_DARBS_2015\[IZMAKSAS_2015_11.3(18.11.2015)(Baltex)JAUNAIS.xlsx]BAZE2015_EUR'!#REF!&gt;0</xm:f>
            <x14:dxf>
              <fill>
                <patternFill>
                  <bgColor rgb="FFFF0000"/>
                </patternFill>
              </fill>
            </x14:dxf>
          </x14:cfRule>
          <x14:cfRule type="expression" priority="29" id="{1FD19469-6363-4F0A-891D-50836C970971}">
            <xm:f>'\Dropbox\1MANI DOCUMENTI\2015_11novembris\1KAS_JAPILDA2015\2_DARBS_2015\[IZMAKSAS_2015_11.3(18.11.2015)(Baltex)JAUNAIS.xlsx]BAZE2015_EUR'!#REF!=3</xm:f>
            <x14:dxf>
              <fill>
                <patternFill>
                  <bgColor rgb="FFFF0000"/>
                </patternFill>
              </fill>
            </x14:dxf>
          </x14:cfRule>
          <x14:cfRule type="expression" priority="30" id="{7618CD05-6001-4A9A-A6EB-1F89016BC927}">
            <xm:f>'\Dropbox\1MANI DOCUMENTI\2015_11novembris\1KAS_JAPILDA2015\2_DARBS_2015\[IZMAKSAS_2015_11.3(18.11.2015)(Baltex)JAUNAIS.xlsx]BAZE2015_EUR'!#REF!=2</xm:f>
            <x14:dxf>
              <fill>
                <patternFill>
                  <bgColor theme="6" tint="0.39994506668294322"/>
                </patternFill>
              </fill>
            </x14:dxf>
          </x14:cfRule>
          <x14:cfRule type="expression" priority="31" id="{C05D075C-5456-4B53-A2F1-AA1EB3E0E9A9}">
            <xm:f>'\Dropbox\1MANI DOCUMENTI\2015_11novembris\1KAS_JAPILDA2015\2_DARBS_2015\[IZMAKSAS_2015_11.3(18.11.2015)(Baltex)JAUNAIS.xlsx]BAZE2015_EUR'!#REF!=1</xm:f>
            <x14:dxf>
              <fill>
                <patternFill>
                  <bgColor rgb="FFFFC000"/>
                </patternFill>
              </fill>
            </x14:dxf>
          </x14:cfRule>
          <xm:sqref>I57</xm:sqref>
        </x14:conditionalFormatting>
        <x14:conditionalFormatting xmlns:xm="http://schemas.microsoft.com/office/excel/2006/main">
          <x14:cfRule type="expression" priority="32" stopIfTrue="1" id="{DC72B3CC-DC37-4C6F-B153-EE8E9A9B7553}">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I57</xm:sqref>
        </x14:conditionalFormatting>
        <x14:conditionalFormatting xmlns:xm="http://schemas.microsoft.com/office/excel/2006/main">
          <x14:cfRule type="expression" priority="23" id="{BA93ED23-4AC3-4489-866A-9EBE2CDEE969}">
            <xm:f>'\Dropbox\1MANI DOCUMENTI\2015_11novembris\1KAS_JAPILDA2015\2_DARBS_2015\[IZMAKSAS_2015_11.3(18.11.2015)(Baltex)JAUNAIS.xlsx]BAZE2015_EUR'!#REF!&gt;0</xm:f>
            <x14:dxf>
              <fill>
                <patternFill>
                  <bgColor rgb="FFFF0000"/>
                </patternFill>
              </fill>
            </x14:dxf>
          </x14:cfRule>
          <x14:cfRule type="expression" priority="24" id="{B239C5EB-D9B2-4E0C-AC83-1DE5FAE1F653}">
            <xm:f>'\Dropbox\1MANI DOCUMENTI\2015_11novembris\1KAS_JAPILDA2015\2_DARBS_2015\[IZMAKSAS_2015_11.3(18.11.2015)(Baltex)JAUNAIS.xlsx]BAZE2015_EUR'!#REF!=3</xm:f>
            <x14:dxf>
              <fill>
                <patternFill>
                  <bgColor rgb="FFFF0000"/>
                </patternFill>
              </fill>
            </x14:dxf>
          </x14:cfRule>
          <x14:cfRule type="expression" priority="25" id="{B9DD2214-B387-4819-ABEB-5C9FEA43C6D8}">
            <xm:f>'\Dropbox\1MANI DOCUMENTI\2015_11novembris\1KAS_JAPILDA2015\2_DARBS_2015\[IZMAKSAS_2015_11.3(18.11.2015)(Baltex)JAUNAIS.xlsx]BAZE2015_EUR'!#REF!=2</xm:f>
            <x14:dxf>
              <fill>
                <patternFill>
                  <bgColor theme="6" tint="0.39994506668294322"/>
                </patternFill>
              </fill>
            </x14:dxf>
          </x14:cfRule>
          <x14:cfRule type="expression" priority="26" id="{264EB545-8D21-45E2-A596-484E0EB35742}">
            <xm:f>'\Dropbox\1MANI DOCUMENTI\2015_11novembris\1KAS_JAPILDA2015\2_DARBS_2015\[IZMAKSAS_2015_11.3(18.11.2015)(Baltex)JAUNAIS.xlsx]BAZE2015_EUR'!#REF!=1</xm:f>
            <x14:dxf>
              <fill>
                <patternFill>
                  <bgColor rgb="FFFFC000"/>
                </patternFill>
              </fill>
            </x14:dxf>
          </x14:cfRule>
          <xm:sqref>I35</xm:sqref>
        </x14:conditionalFormatting>
        <x14:conditionalFormatting xmlns:xm="http://schemas.microsoft.com/office/excel/2006/main">
          <x14:cfRule type="expression" priority="27" stopIfTrue="1" id="{077F40A0-1BEC-44CB-96C1-34D344E4F538}">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I35</xm:sqref>
        </x14:conditionalFormatting>
        <x14:conditionalFormatting xmlns:xm="http://schemas.microsoft.com/office/excel/2006/main">
          <x14:cfRule type="expression" priority="18" id="{CFC4C151-25E1-4895-9ED3-6CFFB09715C9}">
            <xm:f>'\Dropbox\1MANI DOCUMENTI\2015_11novembris\1KAS_JAPILDA2015\2_DARBS_2015\[IZMAKSAS_2015_11.3(18.11.2015)(Baltex)JAUNAIS.xlsx]BAZE2015_EUR'!#REF!&gt;0</xm:f>
            <x14:dxf>
              <fill>
                <patternFill>
                  <bgColor rgb="FFFF0000"/>
                </patternFill>
              </fill>
            </x14:dxf>
          </x14:cfRule>
          <x14:cfRule type="expression" priority="19" id="{84EB748A-9A58-4201-BD24-7862103CCA19}">
            <xm:f>'\Dropbox\1MANI DOCUMENTI\2015_11novembris\1KAS_JAPILDA2015\2_DARBS_2015\[IZMAKSAS_2015_11.3(18.11.2015)(Baltex)JAUNAIS.xlsx]BAZE2015_EUR'!#REF!=3</xm:f>
            <x14:dxf>
              <fill>
                <patternFill>
                  <bgColor rgb="FFFF0000"/>
                </patternFill>
              </fill>
            </x14:dxf>
          </x14:cfRule>
          <x14:cfRule type="expression" priority="20" id="{60AE3F13-4744-4F62-915D-B4BC147BC3B0}">
            <xm:f>'\Dropbox\1MANI DOCUMENTI\2015_11novembris\1KAS_JAPILDA2015\2_DARBS_2015\[IZMAKSAS_2015_11.3(18.11.2015)(Baltex)JAUNAIS.xlsx]BAZE2015_EUR'!#REF!=2</xm:f>
            <x14:dxf>
              <fill>
                <patternFill>
                  <bgColor theme="6" tint="0.39994506668294322"/>
                </patternFill>
              </fill>
            </x14:dxf>
          </x14:cfRule>
          <x14:cfRule type="expression" priority="21" id="{00A5F444-87A9-4BF0-B4DF-614E40DF06A9}">
            <xm:f>'\Dropbox\1MANI DOCUMENTI\2015_11novembris\1KAS_JAPILDA2015\2_DARBS_2015\[IZMAKSAS_2015_11.3(18.11.2015)(Baltex)JAUNAIS.xlsx]BAZE2015_EUR'!#REF!=1</xm:f>
            <x14:dxf>
              <fill>
                <patternFill>
                  <bgColor rgb="FFFFC000"/>
                </patternFill>
              </fill>
            </x14:dxf>
          </x14:cfRule>
          <xm:sqref>I71</xm:sqref>
        </x14:conditionalFormatting>
        <x14:conditionalFormatting xmlns:xm="http://schemas.microsoft.com/office/excel/2006/main">
          <x14:cfRule type="expression" priority="22" stopIfTrue="1" id="{1B43CCEC-43B2-4236-9600-71D28188040A}">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I71</xm:sqref>
        </x14:conditionalFormatting>
        <x14:conditionalFormatting xmlns:xm="http://schemas.microsoft.com/office/excel/2006/main">
          <x14:cfRule type="expression" priority="17" stopIfTrue="1" id="{7462A1C7-089E-4B83-BCE4-93E342A1B8DC}">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I75:I76</xm:sqref>
        </x14:conditionalFormatting>
        <x14:conditionalFormatting xmlns:xm="http://schemas.microsoft.com/office/excel/2006/main">
          <x14:cfRule type="expression" priority="14" stopIfTrue="1" id="{5F02C6F3-E2EC-46B0-AA87-7FDB65F7340F}">
            <xm:f>'\Dropbox\1MANI DOCUMENTI\2015_12decembris\Baltex_Group\Babite(AivarsMaurins)\[Baltex_Babite soc centrs_VCD4.xlsx]BK'!#REF!&gt;0</xm:f>
            <x14:dxf>
              <fill>
                <patternFill>
                  <bgColor indexed="10"/>
                </patternFill>
              </fill>
            </x14:dxf>
          </x14:cfRule>
          <x14:cfRule type="expression" priority="15" stopIfTrue="1" id="{C76D7482-54F1-4FBE-BF6D-AB17D9CABD29}">
            <xm:f>'\Dropbox\1MANI DOCUMENTI\2015_12decembris\Baltex_Group\Babite(AivarsMaurins)\[Baltex_Babite soc centrs_VCD4.xlsx]BK'!#REF!=3</xm:f>
            <x14:dxf>
              <fill>
                <patternFill>
                  <bgColor indexed="10"/>
                </patternFill>
              </fill>
            </x14:dxf>
          </x14:cfRule>
          <x14:cfRule type="expression" priority="16" stopIfTrue="1" id="{5ADB0866-1CA3-4850-B7F7-D31C20217DA0}">
            <xm:f>'\Dropbox\1MANI DOCUMENTI\2015_12decembris\Baltex_Group\Babite(AivarsMaurins)\[Baltex_Babite soc centrs_VCD4.xlsx]BK'!#REF!=2</xm:f>
            <x14:dxf>
              <fill>
                <patternFill>
                  <bgColor indexed="11"/>
                </patternFill>
              </fill>
            </x14:dxf>
          </x14:cfRule>
          <xm:sqref>I75:I76</xm:sqref>
        </x14:conditionalFormatting>
        <x14:conditionalFormatting xmlns:xm="http://schemas.microsoft.com/office/excel/2006/main">
          <x14:cfRule type="expression" priority="13" stopIfTrue="1" id="{96A0045B-057D-4C58-8AD7-91ED8215B183}">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I58:I69</xm:sqref>
        </x14:conditionalFormatting>
        <x14:conditionalFormatting xmlns:xm="http://schemas.microsoft.com/office/excel/2006/main">
          <x14:cfRule type="expression" priority="10" stopIfTrue="1" id="{BA03E281-D008-4D43-9F32-E7EE80F4A256}">
            <xm:f>'\Dropbox\1MANI DOCUMENTI\2015_12decembris\Baltex_Group\Babite(AivarsMaurins)\[Baltex_Babite soc centrs_VCD4.xlsx]BK'!#REF!&gt;0</xm:f>
            <x14:dxf>
              <fill>
                <patternFill>
                  <bgColor indexed="10"/>
                </patternFill>
              </fill>
            </x14:dxf>
          </x14:cfRule>
          <x14:cfRule type="expression" priority="11" stopIfTrue="1" id="{6E0F8EAE-AFE4-4677-ABC0-2CAF2F56D18B}">
            <xm:f>'\Dropbox\1MANI DOCUMENTI\2015_12decembris\Baltex_Group\Babite(AivarsMaurins)\[Baltex_Babite soc centrs_VCD4.xlsx]BK'!#REF!=3</xm:f>
            <x14:dxf>
              <fill>
                <patternFill>
                  <bgColor indexed="10"/>
                </patternFill>
              </fill>
            </x14:dxf>
          </x14:cfRule>
          <x14:cfRule type="expression" priority="12" stopIfTrue="1" id="{05153A23-1538-4ED4-B49D-5E45602E7780}">
            <xm:f>'\Dropbox\1MANI DOCUMENTI\2015_12decembris\Baltex_Group\Babite(AivarsMaurins)\[Baltex_Babite soc centrs_VCD4.xlsx]BK'!#REF!=2</xm:f>
            <x14:dxf>
              <fill>
                <patternFill>
                  <bgColor indexed="11"/>
                </patternFill>
              </fill>
            </x14:dxf>
          </x14:cfRule>
          <xm:sqref>I58:I69</xm:sqref>
        </x14:conditionalFormatting>
        <x14:conditionalFormatting xmlns:xm="http://schemas.microsoft.com/office/excel/2006/main">
          <x14:cfRule type="expression" priority="5" id="{27CBDADF-E7A2-45FB-BC04-B1FBD7CBC12E}">
            <xm:f>'\Dropbox\1MANI DOCUMENTI\2015_11novembris\1KAS_JAPILDA2015\2_DARBS_2015\[IZMAKSAS_2015_11.3(18.11.2015)(Baltex)JAUNAIS.xlsx]BAZE2015_EUR'!#REF!&gt;0</xm:f>
            <x14:dxf>
              <fill>
                <patternFill>
                  <bgColor rgb="FFFF0000"/>
                </patternFill>
              </fill>
            </x14:dxf>
          </x14:cfRule>
          <x14:cfRule type="expression" priority="6" id="{4CC9C2B9-8DA5-49F4-9D25-ECBC789FE614}">
            <xm:f>'\Dropbox\1MANI DOCUMENTI\2015_11novembris\1KAS_JAPILDA2015\2_DARBS_2015\[IZMAKSAS_2015_11.3(18.11.2015)(Baltex)JAUNAIS.xlsx]BAZE2015_EUR'!#REF!=3</xm:f>
            <x14:dxf>
              <fill>
                <patternFill>
                  <bgColor rgb="FFFF0000"/>
                </patternFill>
              </fill>
            </x14:dxf>
          </x14:cfRule>
          <x14:cfRule type="expression" priority="7" id="{7AA6A6FC-8198-4BA7-A9FC-47426888CFC1}">
            <xm:f>'\Dropbox\1MANI DOCUMENTI\2015_11novembris\1KAS_JAPILDA2015\2_DARBS_2015\[IZMAKSAS_2015_11.3(18.11.2015)(Baltex)JAUNAIS.xlsx]BAZE2015_EUR'!#REF!=2</xm:f>
            <x14:dxf>
              <fill>
                <patternFill>
                  <bgColor theme="6" tint="0.39994506668294322"/>
                </patternFill>
              </fill>
            </x14:dxf>
          </x14:cfRule>
          <x14:cfRule type="expression" priority="8" id="{B088E9B9-D0C5-4485-8292-EDCF6CE82686}">
            <xm:f>'\Dropbox\1MANI DOCUMENTI\2015_11novembris\1KAS_JAPILDA2015\2_DARBS_2015\[IZMAKSAS_2015_11.3(18.11.2015)(Baltex)JAUNAIS.xlsx]BAZE2015_EUR'!#REF!=1</xm:f>
            <x14:dxf>
              <fill>
                <patternFill>
                  <bgColor rgb="FFFFC000"/>
                </patternFill>
              </fill>
            </x14:dxf>
          </x14:cfRule>
          <xm:sqref>I39</xm:sqref>
        </x14:conditionalFormatting>
        <x14:conditionalFormatting xmlns:xm="http://schemas.microsoft.com/office/excel/2006/main">
          <x14:cfRule type="expression" priority="9" stopIfTrue="1" id="{DEE967DC-A768-4BEC-8BD0-C6DC653F4478}">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I39</xm:sqref>
        </x14:conditionalFormatting>
        <x14:conditionalFormatting xmlns:xm="http://schemas.microsoft.com/office/excel/2006/main">
          <x14:cfRule type="expression" priority="4" stopIfTrue="1" id="{C5ABBCBB-E763-4410-9068-59A50F726B2F}">
            <xm:f>'\Dropbox\1MANI DOCUMENTI\2015_12decembris\Baltex_Group\Babite(AivarsMaurins)\[Baltex_Babite soc centrs_VCD4.xlsx]BK'!#REF!='\Dropbox\1MANI DOCUMENTI\2015_12decembris\Baltex_Group\Babite(AivarsMaurins)\[Baltex_Babite soc centrs_VCD4.xlsx]BK'!#REF!=FALSE</xm:f>
            <x14:dxf>
              <fill>
                <patternFill>
                  <bgColor indexed="29"/>
                </patternFill>
              </fill>
            </x14:dxf>
          </x14:cfRule>
          <xm:sqref>I50:I56</xm:sqref>
        </x14:conditionalFormatting>
        <x14:conditionalFormatting xmlns:xm="http://schemas.microsoft.com/office/excel/2006/main">
          <x14:cfRule type="expression" priority="1" stopIfTrue="1" id="{71C2573C-87F8-47EC-9E3C-31DAF6DAB68E}">
            <xm:f>'\Dropbox\1MANI DOCUMENTI\2015_12decembris\Baltex_Group\Babite(AivarsMaurins)\[Baltex_Babite soc centrs_VCD4.xlsx]BK'!#REF!&gt;0</xm:f>
            <x14:dxf>
              <fill>
                <patternFill>
                  <bgColor indexed="10"/>
                </patternFill>
              </fill>
            </x14:dxf>
          </x14:cfRule>
          <x14:cfRule type="expression" priority="2" stopIfTrue="1" id="{59A0D5B8-F165-465C-B9D6-7114536E1124}">
            <xm:f>'\Dropbox\1MANI DOCUMENTI\2015_12decembris\Baltex_Group\Babite(AivarsMaurins)\[Baltex_Babite soc centrs_VCD4.xlsx]BK'!#REF!=3</xm:f>
            <x14:dxf>
              <fill>
                <patternFill>
                  <bgColor indexed="10"/>
                </patternFill>
              </fill>
            </x14:dxf>
          </x14:cfRule>
          <x14:cfRule type="expression" priority="3" stopIfTrue="1" id="{0D28A191-8B80-4DF7-8042-9E8D0A50B3C6}">
            <xm:f>'\Dropbox\1MANI DOCUMENTI\2015_12decembris\Baltex_Group\Babite(AivarsMaurins)\[Baltex_Babite soc centrs_VCD4.xlsx]BK'!#REF!=2</xm:f>
            <x14:dxf>
              <fill>
                <patternFill>
                  <bgColor indexed="11"/>
                </patternFill>
              </fill>
            </x14:dxf>
          </x14:cfRule>
          <xm:sqref>I50:I56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81"/>
  <sheetViews>
    <sheetView showZeros="0" view="pageBreakPreview" topLeftCell="A76" zoomScale="80" zoomScaleNormal="100" zoomScaleSheetLayoutView="80" workbookViewId="0">
      <selection activeCell="D170" sqref="D170"/>
    </sheetView>
  </sheetViews>
  <sheetFormatPr defaultRowHeight="14.25" x14ac:dyDescent="0.2"/>
  <cols>
    <col min="1" max="1" width="9" style="288" customWidth="1"/>
    <col min="2" max="2" width="9.42578125" style="49" customWidth="1"/>
    <col min="3" max="3" width="40.28515625" style="49" customWidth="1"/>
    <col min="4" max="4" width="8.140625" style="49" customWidth="1"/>
    <col min="5" max="11" width="9.140625" style="49"/>
    <col min="12" max="12" width="11.5703125" style="49" customWidth="1"/>
    <col min="13" max="13" width="12.28515625" style="49" customWidth="1"/>
    <col min="14" max="14" width="12.7109375" style="49" customWidth="1"/>
    <col min="15" max="15" width="11.5703125" style="49" customWidth="1"/>
    <col min="16" max="16" width="12.85546875" style="49" customWidth="1"/>
    <col min="17" max="16384" width="9.140625" style="49"/>
  </cols>
  <sheetData>
    <row r="1" spans="1:16" s="41" customFormat="1" ht="15" x14ac:dyDescent="0.25">
      <c r="A1" s="282"/>
      <c r="E1" s="43"/>
      <c r="F1" s="43"/>
      <c r="G1" s="95" t="s">
        <v>37</v>
      </c>
      <c r="H1" s="122" t="str">
        <f>kops1!B28</f>
        <v>1,8</v>
      </c>
    </row>
    <row r="2" spans="1:16" s="41" customFormat="1" ht="15" x14ac:dyDescent="0.25">
      <c r="A2" s="504" t="str">
        <f>C13</f>
        <v>Kāpnes un lievenis</v>
      </c>
      <c r="B2" s="504"/>
      <c r="C2" s="504"/>
      <c r="D2" s="504"/>
      <c r="E2" s="504"/>
      <c r="F2" s="504"/>
      <c r="G2" s="504"/>
      <c r="H2" s="504"/>
      <c r="I2" s="504"/>
      <c r="J2" s="504"/>
      <c r="K2" s="504"/>
      <c r="L2" s="504"/>
      <c r="M2" s="504"/>
      <c r="N2" s="504"/>
      <c r="O2" s="504"/>
      <c r="P2" s="504"/>
    </row>
    <row r="3" spans="1:16" ht="15" x14ac:dyDescent="0.2">
      <c r="A3" s="283"/>
      <c r="B3" s="47"/>
      <c r="C3" s="47" t="s">
        <v>38</v>
      </c>
      <c r="D3" s="505" t="s">
        <v>94</v>
      </c>
      <c r="E3" s="505"/>
      <c r="F3" s="505"/>
      <c r="G3" s="505"/>
      <c r="H3" s="505"/>
      <c r="I3" s="505"/>
      <c r="J3" s="505"/>
      <c r="K3" s="505"/>
      <c r="L3" s="505"/>
      <c r="M3" s="505"/>
      <c r="N3" s="505"/>
      <c r="O3" s="505"/>
      <c r="P3" s="505"/>
    </row>
    <row r="4" spans="1:16" ht="15" x14ac:dyDescent="0.2">
      <c r="A4" s="283"/>
      <c r="B4" s="47"/>
      <c r="C4" s="47" t="s">
        <v>39</v>
      </c>
      <c r="D4" s="505" t="s">
        <v>95</v>
      </c>
      <c r="E4" s="505"/>
      <c r="F4" s="505"/>
      <c r="G4" s="505"/>
      <c r="H4" s="505"/>
      <c r="I4" s="505"/>
      <c r="J4" s="505"/>
      <c r="K4" s="505"/>
      <c r="L4" s="505"/>
      <c r="M4" s="505"/>
      <c r="N4" s="505"/>
      <c r="O4" s="505"/>
      <c r="P4" s="505"/>
    </row>
    <row r="5" spans="1:16" ht="15" x14ac:dyDescent="0.2">
      <c r="A5" s="283"/>
      <c r="B5" s="47"/>
      <c r="C5" s="47" t="s">
        <v>40</v>
      </c>
      <c r="D5" s="505" t="s">
        <v>96</v>
      </c>
      <c r="E5" s="505"/>
      <c r="F5" s="505"/>
      <c r="G5" s="505"/>
      <c r="H5" s="505"/>
      <c r="I5" s="505"/>
      <c r="J5" s="505"/>
      <c r="K5" s="505"/>
      <c r="L5" s="505"/>
      <c r="M5" s="505"/>
      <c r="N5" s="505"/>
      <c r="O5" s="505"/>
      <c r="P5" s="505"/>
    </row>
    <row r="6" spans="1:16" x14ac:dyDescent="0.2">
      <c r="A6" s="283"/>
      <c r="B6" s="47"/>
      <c r="C6" s="47" t="s">
        <v>100</v>
      </c>
      <c r="D6" s="50" t="s">
        <v>97</v>
      </c>
      <c r="E6" s="51"/>
      <c r="F6" s="51"/>
      <c r="G6" s="51"/>
      <c r="H6" s="51"/>
      <c r="I6" s="51"/>
      <c r="J6" s="51"/>
      <c r="K6" s="51"/>
      <c r="L6" s="51"/>
      <c r="M6" s="51"/>
      <c r="N6" s="51"/>
      <c r="O6" s="51"/>
      <c r="P6" s="53"/>
    </row>
    <row r="7" spans="1:16" x14ac:dyDescent="0.2">
      <c r="A7" s="356" t="s">
        <v>745</v>
      </c>
      <c r="B7" s="96"/>
      <c r="D7" s="50"/>
      <c r="E7" s="50"/>
      <c r="F7" s="50"/>
      <c r="G7" s="50"/>
      <c r="H7" s="50"/>
      <c r="I7" s="50"/>
      <c r="J7" s="50"/>
      <c r="K7" s="51"/>
      <c r="L7" s="51"/>
      <c r="M7" s="51"/>
      <c r="N7" s="51"/>
      <c r="O7" s="47" t="s">
        <v>41</v>
      </c>
      <c r="P7" s="56">
        <f>P271</f>
        <v>0</v>
      </c>
    </row>
    <row r="8" spans="1:16" x14ac:dyDescent="0.2">
      <c r="A8" s="284"/>
      <c r="B8" s="57"/>
      <c r="D8" s="58"/>
      <c r="E8" s="51"/>
      <c r="F8" s="51"/>
      <c r="G8" s="51"/>
      <c r="H8" s="51"/>
      <c r="I8" s="51"/>
      <c r="J8" s="51"/>
      <c r="K8" s="51"/>
      <c r="N8" s="51"/>
      <c r="O8" s="51"/>
      <c r="P8" s="53"/>
    </row>
    <row r="9" spans="1:16" ht="15" customHeight="1" x14ac:dyDescent="0.2">
      <c r="A9" s="285"/>
      <c r="B9" s="59"/>
      <c r="J9" s="62"/>
      <c r="K9" s="62"/>
      <c r="L9" s="506" t="s">
        <v>736</v>
      </c>
      <c r="M9" s="506"/>
      <c r="N9" s="506"/>
      <c r="O9" s="506"/>
      <c r="P9" s="62"/>
    </row>
    <row r="10" spans="1:16" ht="15" x14ac:dyDescent="0.2">
      <c r="A10" s="285"/>
      <c r="B10" s="59"/>
    </row>
    <row r="11" spans="1:16" ht="14.25" customHeight="1" x14ac:dyDescent="0.2">
      <c r="A11" s="514" t="s">
        <v>6</v>
      </c>
      <c r="B11" s="521" t="s">
        <v>42</v>
      </c>
      <c r="C11" s="517" t="s">
        <v>43</v>
      </c>
      <c r="D11" s="518" t="s">
        <v>44</v>
      </c>
      <c r="E11" s="514" t="s">
        <v>45</v>
      </c>
      <c r="F11" s="508" t="s">
        <v>46</v>
      </c>
      <c r="G11" s="508"/>
      <c r="H11" s="508"/>
      <c r="I11" s="508"/>
      <c r="J11" s="508"/>
      <c r="K11" s="508"/>
      <c r="L11" s="508" t="s">
        <v>47</v>
      </c>
      <c r="M11" s="508"/>
      <c r="N11" s="508"/>
      <c r="O11" s="508"/>
      <c r="P11" s="508"/>
    </row>
    <row r="12" spans="1:16" ht="63" x14ac:dyDescent="0.2">
      <c r="A12" s="514"/>
      <c r="B12" s="522"/>
      <c r="C12" s="517"/>
      <c r="D12" s="518"/>
      <c r="E12" s="514"/>
      <c r="F12" s="63" t="s">
        <v>48</v>
      </c>
      <c r="G12" s="63" t="s">
        <v>49</v>
      </c>
      <c r="H12" s="63" t="s">
        <v>50</v>
      </c>
      <c r="I12" s="63" t="s">
        <v>51</v>
      </c>
      <c r="J12" s="63" t="s">
        <v>52</v>
      </c>
      <c r="K12" s="63" t="s">
        <v>53</v>
      </c>
      <c r="L12" s="63" t="s">
        <v>11</v>
      </c>
      <c r="M12" s="63" t="s">
        <v>50</v>
      </c>
      <c r="N12" s="63" t="s">
        <v>51</v>
      </c>
      <c r="O12" s="63" t="s">
        <v>52</v>
      </c>
      <c r="P12" s="63" t="s">
        <v>54</v>
      </c>
    </row>
    <row r="13" spans="1:16" ht="15.75" x14ac:dyDescent="0.2">
      <c r="A13" s="378"/>
      <c r="B13" s="379"/>
      <c r="C13" s="380" t="str">
        <f>kops1!C28</f>
        <v>Kāpnes un lievenis</v>
      </c>
      <c r="D13" s="381"/>
      <c r="E13" s="382"/>
      <c r="F13" s="383">
        <v>0</v>
      </c>
      <c r="G13" s="383">
        <v>0</v>
      </c>
      <c r="H13" s="384"/>
      <c r="I13" s="385"/>
      <c r="J13" s="385"/>
      <c r="K13" s="386">
        <f t="shared" ref="K13" si="0">SUM(H13:J13)</f>
        <v>0</v>
      </c>
      <c r="L13" s="383">
        <f t="shared" ref="L13" si="1">ROUND(F13*E13,2)</f>
        <v>0</v>
      </c>
      <c r="M13" s="386">
        <f t="shared" ref="M13" si="2">ROUND(H13*E13,2)</f>
        <v>0</v>
      </c>
      <c r="N13" s="386">
        <f t="shared" ref="N13" si="3">ROUND(I13*E13,2)</f>
        <v>0</v>
      </c>
      <c r="O13" s="386">
        <f t="shared" ref="O13" si="4">ROUND(J13*E13,2)</f>
        <v>0</v>
      </c>
      <c r="P13" s="387">
        <f t="shared" ref="P13" si="5">SUM(M13:O13)</f>
        <v>0</v>
      </c>
    </row>
    <row r="14" spans="1:16" s="61" customFormat="1" x14ac:dyDescent="0.2">
      <c r="A14" s="202">
        <v>0</v>
      </c>
      <c r="B14" s="144"/>
      <c r="C14" s="203" t="s">
        <v>192</v>
      </c>
      <c r="D14" s="204"/>
      <c r="E14" s="205"/>
      <c r="F14" s="148">
        <v>0</v>
      </c>
      <c r="G14" s="148">
        <v>0</v>
      </c>
      <c r="H14" s="206"/>
      <c r="I14" s="206"/>
      <c r="J14" s="206"/>
      <c r="K14" s="388">
        <f>SUM(H14:J14)</f>
        <v>0</v>
      </c>
      <c r="L14" s="389">
        <f>ROUND(F14*E14,2)</f>
        <v>0</v>
      </c>
      <c r="M14" s="388">
        <f>ROUND(H14*E14,2)</f>
        <v>0</v>
      </c>
      <c r="N14" s="388">
        <f>ROUND(I14*E14,2)</f>
        <v>0</v>
      </c>
      <c r="O14" s="388">
        <f>ROUND(J14*E14,2)</f>
        <v>0</v>
      </c>
      <c r="P14" s="390">
        <f>SUM(M14:O14)</f>
        <v>0</v>
      </c>
    </row>
    <row r="15" spans="1:16" s="61" customFormat="1" x14ac:dyDescent="0.2">
      <c r="A15" s="202">
        <v>0</v>
      </c>
      <c r="B15" s="144"/>
      <c r="C15" s="207" t="s">
        <v>433</v>
      </c>
      <c r="D15" s="204"/>
      <c r="E15" s="205"/>
      <c r="F15" s="148"/>
      <c r="G15" s="148"/>
      <c r="H15" s="217"/>
      <c r="I15" s="217"/>
      <c r="J15" s="217"/>
      <c r="K15" s="388">
        <f t="shared" ref="K15:K68" si="6">SUM(H15:J15)</f>
        <v>0</v>
      </c>
      <c r="L15" s="389">
        <f t="shared" ref="L15:L68" si="7">ROUND(F15*E15,2)</f>
        <v>0</v>
      </c>
      <c r="M15" s="388">
        <f t="shared" ref="M15:M68" si="8">ROUND(H15*E15,2)</f>
        <v>0</v>
      </c>
      <c r="N15" s="388">
        <f t="shared" ref="N15:N68" si="9">ROUND(I15*E15,2)</f>
        <v>0</v>
      </c>
      <c r="O15" s="388">
        <f t="shared" ref="O15:O68" si="10">ROUND(J15*E15,2)</f>
        <v>0</v>
      </c>
      <c r="P15" s="390">
        <f t="shared" ref="P15:P68" si="11">SUM(M15:O15)</f>
        <v>0</v>
      </c>
    </row>
    <row r="16" spans="1:16" s="61" customFormat="1" ht="15" x14ac:dyDescent="0.2">
      <c r="A16" s="218">
        <v>1</v>
      </c>
      <c r="B16" s="250" t="s">
        <v>194</v>
      </c>
      <c r="C16" s="236" t="s">
        <v>738</v>
      </c>
      <c r="D16" s="233" t="s">
        <v>73</v>
      </c>
      <c r="E16" s="205">
        <v>1</v>
      </c>
      <c r="F16" s="212"/>
      <c r="G16" s="212"/>
      <c r="H16" s="214"/>
      <c r="I16" s="258"/>
      <c r="J16" s="258"/>
      <c r="K16" s="388">
        <f t="shared" si="6"/>
        <v>0</v>
      </c>
      <c r="L16" s="389">
        <f t="shared" si="7"/>
        <v>0</v>
      </c>
      <c r="M16" s="388">
        <f t="shared" si="8"/>
        <v>0</v>
      </c>
      <c r="N16" s="388">
        <f t="shared" si="9"/>
        <v>0</v>
      </c>
      <c r="O16" s="388">
        <f t="shared" si="10"/>
        <v>0</v>
      </c>
      <c r="P16" s="390">
        <f t="shared" si="11"/>
        <v>0</v>
      </c>
    </row>
    <row r="17" spans="1:16" s="61" customFormat="1" ht="15" x14ac:dyDescent="0.2">
      <c r="A17" s="218">
        <v>0</v>
      </c>
      <c r="B17" s="250"/>
      <c r="C17" s="276" t="s">
        <v>434</v>
      </c>
      <c r="D17" s="233"/>
      <c r="E17" s="205"/>
      <c r="F17" s="212"/>
      <c r="G17" s="213"/>
      <c r="H17" s="258"/>
      <c r="I17" s="258"/>
      <c r="J17" s="258"/>
      <c r="K17" s="388">
        <f t="shared" si="6"/>
        <v>0</v>
      </c>
      <c r="L17" s="389">
        <f t="shared" si="7"/>
        <v>0</v>
      </c>
      <c r="M17" s="388">
        <f t="shared" si="8"/>
        <v>0</v>
      </c>
      <c r="N17" s="388">
        <f t="shared" si="9"/>
        <v>0</v>
      </c>
      <c r="O17" s="388">
        <f t="shared" si="10"/>
        <v>0</v>
      </c>
      <c r="P17" s="390">
        <f t="shared" si="11"/>
        <v>0</v>
      </c>
    </row>
    <row r="18" spans="1:16" s="61" customFormat="1" ht="25.5" x14ac:dyDescent="0.2">
      <c r="A18" s="218">
        <v>2</v>
      </c>
      <c r="B18" s="223" t="str">
        <f t="shared" ref="B18:B23" si="12">IF(A18&gt;0,"L.c.",0)</f>
        <v>L.c.</v>
      </c>
      <c r="C18" s="236" t="s">
        <v>435</v>
      </c>
      <c r="D18" s="233" t="s">
        <v>207</v>
      </c>
      <c r="E18" s="205">
        <v>8.1</v>
      </c>
      <c r="F18" s="212"/>
      <c r="G18" s="212"/>
      <c r="H18" s="214"/>
      <c r="I18" s="258"/>
      <c r="J18" s="258"/>
      <c r="K18" s="388">
        <f t="shared" si="6"/>
        <v>0</v>
      </c>
      <c r="L18" s="389">
        <f t="shared" si="7"/>
        <v>0</v>
      </c>
      <c r="M18" s="388">
        <f t="shared" si="8"/>
        <v>0</v>
      </c>
      <c r="N18" s="388">
        <f t="shared" si="9"/>
        <v>0</v>
      </c>
      <c r="O18" s="388">
        <f t="shared" si="10"/>
        <v>0</v>
      </c>
      <c r="P18" s="390">
        <f t="shared" si="11"/>
        <v>0</v>
      </c>
    </row>
    <row r="19" spans="1:16" s="61" customFormat="1" ht="15" x14ac:dyDescent="0.2">
      <c r="A19" s="218">
        <v>3</v>
      </c>
      <c r="B19" s="223" t="str">
        <f t="shared" si="12"/>
        <v>L.c.</v>
      </c>
      <c r="C19" s="236" t="s">
        <v>436</v>
      </c>
      <c r="D19" s="233" t="s">
        <v>207</v>
      </c>
      <c r="E19" s="205">
        <v>81</v>
      </c>
      <c r="F19" s="212"/>
      <c r="G19" s="212"/>
      <c r="H19" s="214"/>
      <c r="I19" s="258"/>
      <c r="J19" s="258"/>
      <c r="K19" s="388">
        <f t="shared" si="6"/>
        <v>0</v>
      </c>
      <c r="L19" s="389">
        <f t="shared" si="7"/>
        <v>0</v>
      </c>
      <c r="M19" s="388">
        <f t="shared" si="8"/>
        <v>0</v>
      </c>
      <c r="N19" s="388">
        <f t="shared" si="9"/>
        <v>0</v>
      </c>
      <c r="O19" s="388">
        <f t="shared" si="10"/>
        <v>0</v>
      </c>
      <c r="P19" s="390">
        <f t="shared" si="11"/>
        <v>0</v>
      </c>
    </row>
    <row r="20" spans="1:16" s="61" customFormat="1" ht="15" x14ac:dyDescent="0.2">
      <c r="A20" s="218">
        <v>0</v>
      </c>
      <c r="B20" s="223">
        <f t="shared" si="12"/>
        <v>0</v>
      </c>
      <c r="C20" s="236"/>
      <c r="D20" s="233"/>
      <c r="E20" s="205"/>
      <c r="F20" s="212"/>
      <c r="G20" s="213"/>
      <c r="H20" s="258"/>
      <c r="I20" s="258"/>
      <c r="J20" s="258"/>
      <c r="K20" s="388">
        <f t="shared" si="6"/>
        <v>0</v>
      </c>
      <c r="L20" s="389">
        <f t="shared" si="7"/>
        <v>0</v>
      </c>
      <c r="M20" s="388">
        <f t="shared" si="8"/>
        <v>0</v>
      </c>
      <c r="N20" s="388">
        <f t="shared" si="9"/>
        <v>0</v>
      </c>
      <c r="O20" s="388">
        <f t="shared" si="10"/>
        <v>0</v>
      </c>
      <c r="P20" s="390">
        <f t="shared" si="11"/>
        <v>0</v>
      </c>
    </row>
    <row r="21" spans="1:16" s="61" customFormat="1" ht="25.5" x14ac:dyDescent="0.2">
      <c r="A21" s="218">
        <v>0</v>
      </c>
      <c r="B21" s="223">
        <f t="shared" si="12"/>
        <v>0</v>
      </c>
      <c r="C21" s="276" t="s">
        <v>437</v>
      </c>
      <c r="D21" s="233"/>
      <c r="E21" s="205"/>
      <c r="F21" s="212"/>
      <c r="G21" s="213"/>
      <c r="H21" s="258"/>
      <c r="I21" s="258"/>
      <c r="J21" s="258"/>
      <c r="K21" s="388">
        <f t="shared" si="6"/>
        <v>0</v>
      </c>
      <c r="L21" s="389">
        <f t="shared" si="7"/>
        <v>0</v>
      </c>
      <c r="M21" s="388">
        <f t="shared" si="8"/>
        <v>0</v>
      </c>
      <c r="N21" s="388">
        <f t="shared" si="9"/>
        <v>0</v>
      </c>
      <c r="O21" s="388">
        <f t="shared" si="10"/>
        <v>0</v>
      </c>
      <c r="P21" s="390">
        <f t="shared" si="11"/>
        <v>0</v>
      </c>
    </row>
    <row r="22" spans="1:16" s="61" customFormat="1" ht="38.25" x14ac:dyDescent="0.2">
      <c r="A22" s="218">
        <v>4</v>
      </c>
      <c r="B22" s="223" t="str">
        <f t="shared" si="12"/>
        <v>L.c.</v>
      </c>
      <c r="C22" s="236" t="s">
        <v>438</v>
      </c>
      <c r="D22" s="233" t="s">
        <v>207</v>
      </c>
      <c r="E22" s="205">
        <v>19.5</v>
      </c>
      <c r="F22" s="212"/>
      <c r="G22" s="212"/>
      <c r="H22" s="214"/>
      <c r="I22" s="258"/>
      <c r="J22" s="258"/>
      <c r="K22" s="388">
        <f t="shared" si="6"/>
        <v>0</v>
      </c>
      <c r="L22" s="389">
        <f t="shared" si="7"/>
        <v>0</v>
      </c>
      <c r="M22" s="388">
        <f t="shared" si="8"/>
        <v>0</v>
      </c>
      <c r="N22" s="388">
        <f t="shared" si="9"/>
        <v>0</v>
      </c>
      <c r="O22" s="388">
        <f t="shared" si="10"/>
        <v>0</v>
      </c>
      <c r="P22" s="390">
        <f t="shared" si="11"/>
        <v>0</v>
      </c>
    </row>
    <row r="23" spans="1:16" s="61" customFormat="1" ht="15" x14ac:dyDescent="0.2">
      <c r="A23" s="218">
        <v>5</v>
      </c>
      <c r="B23" s="223" t="str">
        <f t="shared" si="12"/>
        <v>L.c.</v>
      </c>
      <c r="C23" s="236" t="s">
        <v>439</v>
      </c>
      <c r="D23" s="233" t="s">
        <v>207</v>
      </c>
      <c r="E23" s="205">
        <v>92.1</v>
      </c>
      <c r="F23" s="212"/>
      <c r="G23" s="212"/>
      <c r="H23" s="214"/>
      <c r="I23" s="258"/>
      <c r="J23" s="258"/>
      <c r="K23" s="388">
        <f t="shared" si="6"/>
        <v>0</v>
      </c>
      <c r="L23" s="389">
        <f t="shared" si="7"/>
        <v>0</v>
      </c>
      <c r="M23" s="388">
        <f t="shared" si="8"/>
        <v>0</v>
      </c>
      <c r="N23" s="388">
        <f t="shared" si="9"/>
        <v>0</v>
      </c>
      <c r="O23" s="388">
        <f t="shared" si="10"/>
        <v>0</v>
      </c>
      <c r="P23" s="390">
        <f t="shared" si="11"/>
        <v>0</v>
      </c>
    </row>
    <row r="24" spans="1:16" s="61" customFormat="1" ht="15" x14ac:dyDescent="0.2">
      <c r="A24" s="218">
        <v>0</v>
      </c>
      <c r="B24" s="250"/>
      <c r="C24" s="236"/>
      <c r="D24" s="233"/>
      <c r="E24" s="205"/>
      <c r="F24" s="212"/>
      <c r="G24" s="213"/>
      <c r="H24" s="258"/>
      <c r="I24" s="258"/>
      <c r="J24" s="258"/>
      <c r="K24" s="388">
        <f t="shared" si="6"/>
        <v>0</v>
      </c>
      <c r="L24" s="389">
        <f t="shared" si="7"/>
        <v>0</v>
      </c>
      <c r="M24" s="388">
        <f t="shared" si="8"/>
        <v>0</v>
      </c>
      <c r="N24" s="388">
        <f t="shared" si="9"/>
        <v>0</v>
      </c>
      <c r="O24" s="388">
        <f t="shared" si="10"/>
        <v>0</v>
      </c>
      <c r="P24" s="390">
        <f t="shared" si="11"/>
        <v>0</v>
      </c>
    </row>
    <row r="25" spans="1:16" s="61" customFormat="1" ht="15" x14ac:dyDescent="0.2">
      <c r="A25" s="218">
        <v>0</v>
      </c>
      <c r="B25" s="250"/>
      <c r="C25" s="276" t="s">
        <v>739</v>
      </c>
      <c r="D25" s="233"/>
      <c r="E25" s="205"/>
      <c r="F25" s="212"/>
      <c r="G25" s="213"/>
      <c r="H25" s="258"/>
      <c r="I25" s="258"/>
      <c r="J25" s="258"/>
      <c r="K25" s="388">
        <f t="shared" si="6"/>
        <v>0</v>
      </c>
      <c r="L25" s="389">
        <f t="shared" si="7"/>
        <v>0</v>
      </c>
      <c r="M25" s="388">
        <f t="shared" si="8"/>
        <v>0</v>
      </c>
      <c r="N25" s="388">
        <f t="shared" si="9"/>
        <v>0</v>
      </c>
      <c r="O25" s="388">
        <f t="shared" si="10"/>
        <v>0</v>
      </c>
      <c r="P25" s="390">
        <f t="shared" si="11"/>
        <v>0</v>
      </c>
    </row>
    <row r="26" spans="1:16" s="61" customFormat="1" ht="15" x14ac:dyDescent="0.2">
      <c r="A26" s="421"/>
      <c r="B26" s="422"/>
      <c r="C26" s="423"/>
      <c r="D26" s="424"/>
      <c r="E26" s="425"/>
      <c r="F26" s="212"/>
      <c r="G26" s="212"/>
      <c r="H26" s="214"/>
      <c r="I26" s="214"/>
      <c r="J26" s="214"/>
      <c r="K26" s="388">
        <f t="shared" si="6"/>
        <v>0</v>
      </c>
      <c r="L26" s="389">
        <f t="shared" si="7"/>
        <v>0</v>
      </c>
      <c r="M26" s="388">
        <f t="shared" si="8"/>
        <v>0</v>
      </c>
      <c r="N26" s="388">
        <f t="shared" si="9"/>
        <v>0</v>
      </c>
      <c r="O26" s="388">
        <f t="shared" si="10"/>
        <v>0</v>
      </c>
      <c r="P26" s="390">
        <f t="shared" si="11"/>
        <v>0</v>
      </c>
    </row>
    <row r="27" spans="1:16" s="61" customFormat="1" ht="33" customHeight="1" x14ac:dyDescent="0.2">
      <c r="A27" s="218">
        <v>7</v>
      </c>
      <c r="B27" s="250" t="s">
        <v>194</v>
      </c>
      <c r="C27" s="236" t="s">
        <v>440</v>
      </c>
      <c r="D27" s="233" t="s">
        <v>73</v>
      </c>
      <c r="E27" s="205">
        <v>1</v>
      </c>
      <c r="F27" s="212"/>
      <c r="G27" s="212"/>
      <c r="H27" s="258"/>
      <c r="I27" s="258"/>
      <c r="J27" s="258"/>
      <c r="K27" s="388">
        <f t="shared" si="6"/>
        <v>0</v>
      </c>
      <c r="L27" s="389">
        <f t="shared" si="7"/>
        <v>0</v>
      </c>
      <c r="M27" s="388">
        <f t="shared" si="8"/>
        <v>0</v>
      </c>
      <c r="N27" s="388">
        <f t="shared" si="9"/>
        <v>0</v>
      </c>
      <c r="O27" s="388">
        <f t="shared" si="10"/>
        <v>0</v>
      </c>
      <c r="P27" s="390">
        <f t="shared" si="11"/>
        <v>0</v>
      </c>
    </row>
    <row r="28" spans="1:16" s="61" customFormat="1" ht="30" x14ac:dyDescent="0.2">
      <c r="A28" s="218">
        <v>8</v>
      </c>
      <c r="B28" s="250" t="s">
        <v>441</v>
      </c>
      <c r="C28" s="239" t="s">
        <v>442</v>
      </c>
      <c r="D28" s="233" t="s">
        <v>207</v>
      </c>
      <c r="E28" s="205">
        <v>12</v>
      </c>
      <c r="F28" s="148"/>
      <c r="G28" s="213"/>
      <c r="H28" s="217"/>
      <c r="I28" s="217"/>
      <c r="J28" s="217"/>
      <c r="K28" s="388">
        <f t="shared" si="6"/>
        <v>0</v>
      </c>
      <c r="L28" s="389">
        <f t="shared" si="7"/>
        <v>0</v>
      </c>
      <c r="M28" s="388">
        <f t="shared" si="8"/>
        <v>0</v>
      </c>
      <c r="N28" s="388">
        <f t="shared" si="9"/>
        <v>0</v>
      </c>
      <c r="O28" s="388">
        <f t="shared" si="10"/>
        <v>0</v>
      </c>
      <c r="P28" s="390">
        <f t="shared" si="11"/>
        <v>0</v>
      </c>
    </row>
    <row r="29" spans="1:16" s="61" customFormat="1" ht="30" x14ac:dyDescent="0.2">
      <c r="A29" s="218">
        <v>9</v>
      </c>
      <c r="B29" s="250" t="s">
        <v>441</v>
      </c>
      <c r="C29" s="239" t="s">
        <v>443</v>
      </c>
      <c r="D29" s="233" t="s">
        <v>207</v>
      </c>
      <c r="E29" s="205">
        <v>9.8000000000000007</v>
      </c>
      <c r="F29" s="148"/>
      <c r="G29" s="213"/>
      <c r="H29" s="217"/>
      <c r="I29" s="217"/>
      <c r="J29" s="217"/>
      <c r="K29" s="388">
        <f t="shared" si="6"/>
        <v>0</v>
      </c>
      <c r="L29" s="389">
        <f t="shared" si="7"/>
        <v>0</v>
      </c>
      <c r="M29" s="388">
        <f t="shared" si="8"/>
        <v>0</v>
      </c>
      <c r="N29" s="388">
        <f t="shared" si="9"/>
        <v>0</v>
      </c>
      <c r="O29" s="388">
        <f t="shared" si="10"/>
        <v>0</v>
      </c>
      <c r="P29" s="390">
        <f t="shared" si="11"/>
        <v>0</v>
      </c>
    </row>
    <row r="30" spans="1:16" s="61" customFormat="1" x14ac:dyDescent="0.2">
      <c r="A30" s="202">
        <v>0</v>
      </c>
      <c r="B30" s="144"/>
      <c r="C30" s="207" t="s">
        <v>444</v>
      </c>
      <c r="D30" s="277"/>
      <c r="E30" s="205"/>
      <c r="F30" s="148"/>
      <c r="G30" s="148"/>
      <c r="H30" s="217"/>
      <c r="I30" s="217"/>
      <c r="J30" s="217"/>
      <c r="K30" s="388">
        <f t="shared" si="6"/>
        <v>0</v>
      </c>
      <c r="L30" s="389">
        <f t="shared" si="7"/>
        <v>0</v>
      </c>
      <c r="M30" s="388">
        <f t="shared" si="8"/>
        <v>0</v>
      </c>
      <c r="N30" s="388">
        <f t="shared" si="9"/>
        <v>0</v>
      </c>
      <c r="O30" s="388">
        <f t="shared" si="10"/>
        <v>0</v>
      </c>
      <c r="P30" s="390">
        <f t="shared" si="11"/>
        <v>0</v>
      </c>
    </row>
    <row r="31" spans="1:16" s="61" customFormat="1" x14ac:dyDescent="0.2">
      <c r="A31" s="202">
        <v>0</v>
      </c>
      <c r="B31" s="144"/>
      <c r="C31" s="207" t="s">
        <v>445</v>
      </c>
      <c r="D31" s="204"/>
      <c r="E31" s="205"/>
      <c r="F31" s="148"/>
      <c r="G31" s="148"/>
      <c r="H31" s="217"/>
      <c r="I31" s="217"/>
      <c r="J31" s="217"/>
      <c r="K31" s="388">
        <f t="shared" si="6"/>
        <v>0</v>
      </c>
      <c r="L31" s="389">
        <f t="shared" si="7"/>
        <v>0</v>
      </c>
      <c r="M31" s="388">
        <f t="shared" si="8"/>
        <v>0</v>
      </c>
      <c r="N31" s="388">
        <f t="shared" si="9"/>
        <v>0</v>
      </c>
      <c r="O31" s="388">
        <f t="shared" si="10"/>
        <v>0</v>
      </c>
      <c r="P31" s="390">
        <f t="shared" si="11"/>
        <v>0</v>
      </c>
    </row>
    <row r="32" spans="1:16" s="61" customFormat="1" ht="38.25" x14ac:dyDescent="0.2">
      <c r="A32" s="218">
        <v>10</v>
      </c>
      <c r="B32" s="250" t="s">
        <v>194</v>
      </c>
      <c r="C32" s="236" t="s">
        <v>446</v>
      </c>
      <c r="D32" s="233" t="s">
        <v>73</v>
      </c>
      <c r="E32" s="205">
        <v>1</v>
      </c>
      <c r="F32" s="213"/>
      <c r="G32" s="213"/>
      <c r="H32" s="214"/>
      <c r="I32" s="214"/>
      <c r="J32" s="214"/>
      <c r="K32" s="388">
        <f t="shared" si="6"/>
        <v>0</v>
      </c>
      <c r="L32" s="389">
        <f t="shared" si="7"/>
        <v>0</v>
      </c>
      <c r="M32" s="388">
        <f t="shared" si="8"/>
        <v>0</v>
      </c>
      <c r="N32" s="388">
        <f t="shared" si="9"/>
        <v>0</v>
      </c>
      <c r="O32" s="388">
        <f t="shared" si="10"/>
        <v>0</v>
      </c>
      <c r="P32" s="390">
        <f t="shared" si="11"/>
        <v>0</v>
      </c>
    </row>
    <row r="33" spans="1:16" s="61" customFormat="1" ht="15" x14ac:dyDescent="0.2">
      <c r="A33" s="367">
        <v>11</v>
      </c>
      <c r="B33" s="231" t="s">
        <v>126</v>
      </c>
      <c r="C33" s="278" t="s">
        <v>447</v>
      </c>
      <c r="D33" s="279" t="s">
        <v>199</v>
      </c>
      <c r="E33" s="334">
        <v>60.1</v>
      </c>
      <c r="F33" s="212"/>
      <c r="G33" s="212"/>
      <c r="H33" s="214"/>
      <c r="I33" s="214"/>
      <c r="J33" s="214"/>
      <c r="K33" s="388">
        <f t="shared" si="6"/>
        <v>0</v>
      </c>
      <c r="L33" s="389">
        <f t="shared" si="7"/>
        <v>0</v>
      </c>
      <c r="M33" s="388">
        <f t="shared" si="8"/>
        <v>0</v>
      </c>
      <c r="N33" s="388">
        <f t="shared" si="9"/>
        <v>0</v>
      </c>
      <c r="O33" s="388">
        <f t="shared" si="10"/>
        <v>0</v>
      </c>
      <c r="P33" s="390">
        <f t="shared" si="11"/>
        <v>0</v>
      </c>
    </row>
    <row r="34" spans="1:16" s="61" customFormat="1" x14ac:dyDescent="0.2">
      <c r="A34" s="202">
        <v>0</v>
      </c>
      <c r="B34" s="144"/>
      <c r="C34" s="207" t="s">
        <v>448</v>
      </c>
      <c r="D34" s="204"/>
      <c r="E34" s="205"/>
      <c r="F34" s="148"/>
      <c r="G34" s="148"/>
      <c r="H34" s="217"/>
      <c r="I34" s="217"/>
      <c r="J34" s="217"/>
      <c r="K34" s="388">
        <f t="shared" si="6"/>
        <v>0</v>
      </c>
      <c r="L34" s="389">
        <f t="shared" si="7"/>
        <v>0</v>
      </c>
      <c r="M34" s="388">
        <f t="shared" si="8"/>
        <v>0</v>
      </c>
      <c r="N34" s="388">
        <f t="shared" si="9"/>
        <v>0</v>
      </c>
      <c r="O34" s="388">
        <f t="shared" si="10"/>
        <v>0</v>
      </c>
      <c r="P34" s="390">
        <f t="shared" si="11"/>
        <v>0</v>
      </c>
    </row>
    <row r="35" spans="1:16" s="61" customFormat="1" ht="25.5" x14ac:dyDescent="0.2">
      <c r="A35" s="218">
        <v>0</v>
      </c>
      <c r="B35" s="250"/>
      <c r="C35" s="207" t="s">
        <v>449</v>
      </c>
      <c r="D35" s="233"/>
      <c r="E35" s="205"/>
      <c r="F35" s="212"/>
      <c r="G35" s="213"/>
      <c r="H35" s="258"/>
      <c r="I35" s="258"/>
      <c r="J35" s="258"/>
      <c r="K35" s="388">
        <f t="shared" si="6"/>
        <v>0</v>
      </c>
      <c r="L35" s="389">
        <f t="shared" si="7"/>
        <v>0</v>
      </c>
      <c r="M35" s="388">
        <f t="shared" si="8"/>
        <v>0</v>
      </c>
      <c r="N35" s="388">
        <f t="shared" si="9"/>
        <v>0</v>
      </c>
      <c r="O35" s="388">
        <f t="shared" si="10"/>
        <v>0</v>
      </c>
      <c r="P35" s="390">
        <f t="shared" si="11"/>
        <v>0</v>
      </c>
    </row>
    <row r="36" spans="1:16" s="61" customFormat="1" ht="67.5" customHeight="1" x14ac:dyDescent="0.2">
      <c r="A36" s="218">
        <v>12</v>
      </c>
      <c r="B36" s="209" t="s">
        <v>441</v>
      </c>
      <c r="C36" s="230" t="s">
        <v>744</v>
      </c>
      <c r="D36" s="273" t="s">
        <v>73</v>
      </c>
      <c r="E36" s="205">
        <v>2</v>
      </c>
      <c r="F36" s="212"/>
      <c r="G36" s="212"/>
      <c r="H36" s="258"/>
      <c r="I36" s="258"/>
      <c r="J36" s="258"/>
      <c r="K36" s="388">
        <f t="shared" si="6"/>
        <v>0</v>
      </c>
      <c r="L36" s="389">
        <f t="shared" si="7"/>
        <v>0</v>
      </c>
      <c r="M36" s="388">
        <f t="shared" si="8"/>
        <v>0</v>
      </c>
      <c r="N36" s="388">
        <f t="shared" si="9"/>
        <v>0</v>
      </c>
      <c r="O36" s="388">
        <f t="shared" si="10"/>
        <v>0</v>
      </c>
      <c r="P36" s="390">
        <f t="shared" si="11"/>
        <v>0</v>
      </c>
    </row>
    <row r="37" spans="1:16" s="61" customFormat="1" ht="15" x14ac:dyDescent="0.2">
      <c r="A37" s="218">
        <v>0</v>
      </c>
      <c r="B37" s="250"/>
      <c r="C37" s="207" t="s">
        <v>450</v>
      </c>
      <c r="D37" s="233"/>
      <c r="E37" s="205"/>
      <c r="F37" s="212"/>
      <c r="G37" s="213"/>
      <c r="H37" s="258"/>
      <c r="I37" s="258"/>
      <c r="J37" s="258"/>
      <c r="K37" s="388">
        <f t="shared" si="6"/>
        <v>0</v>
      </c>
      <c r="L37" s="389">
        <f t="shared" si="7"/>
        <v>0</v>
      </c>
      <c r="M37" s="388">
        <f t="shared" si="8"/>
        <v>0</v>
      </c>
      <c r="N37" s="388">
        <f t="shared" si="9"/>
        <v>0</v>
      </c>
      <c r="O37" s="388">
        <f t="shared" si="10"/>
        <v>0</v>
      </c>
      <c r="P37" s="390">
        <f t="shared" si="11"/>
        <v>0</v>
      </c>
    </row>
    <row r="38" spans="1:16" s="61" customFormat="1" ht="45" x14ac:dyDescent="0.2">
      <c r="A38" s="218">
        <v>13</v>
      </c>
      <c r="B38" s="209" t="s">
        <v>404</v>
      </c>
      <c r="C38" s="230" t="s">
        <v>451</v>
      </c>
      <c r="D38" s="272" t="s">
        <v>199</v>
      </c>
      <c r="E38" s="205">
        <v>30.1</v>
      </c>
      <c r="F38" s="212"/>
      <c r="G38" s="212"/>
      <c r="H38" s="258"/>
      <c r="I38" s="258"/>
      <c r="J38" s="258"/>
      <c r="K38" s="388">
        <f t="shared" si="6"/>
        <v>0</v>
      </c>
      <c r="L38" s="389">
        <f t="shared" si="7"/>
        <v>0</v>
      </c>
      <c r="M38" s="388">
        <f t="shared" si="8"/>
        <v>0</v>
      </c>
      <c r="N38" s="388">
        <f t="shared" si="9"/>
        <v>0</v>
      </c>
      <c r="O38" s="388">
        <f t="shared" si="10"/>
        <v>0</v>
      </c>
      <c r="P38" s="390">
        <f t="shared" si="11"/>
        <v>0</v>
      </c>
    </row>
    <row r="39" spans="1:16" s="61" customFormat="1" ht="45" x14ac:dyDescent="0.2">
      <c r="A39" s="218">
        <v>0</v>
      </c>
      <c r="B39" s="209">
        <v>0</v>
      </c>
      <c r="C39" s="260" t="s">
        <v>452</v>
      </c>
      <c r="D39" s="272" t="s">
        <v>199</v>
      </c>
      <c r="E39" s="205">
        <f>E38</f>
        <v>30.1</v>
      </c>
      <c r="F39" s="212"/>
      <c r="G39" s="212"/>
      <c r="H39" s="258"/>
      <c r="I39" s="258"/>
      <c r="J39" s="258"/>
      <c r="K39" s="388">
        <f t="shared" si="6"/>
        <v>0</v>
      </c>
      <c r="L39" s="389">
        <f t="shared" si="7"/>
        <v>0</v>
      </c>
      <c r="M39" s="388">
        <f t="shared" si="8"/>
        <v>0</v>
      </c>
      <c r="N39" s="388">
        <f t="shared" si="9"/>
        <v>0</v>
      </c>
      <c r="O39" s="388">
        <f t="shared" si="10"/>
        <v>0</v>
      </c>
      <c r="P39" s="390">
        <f t="shared" si="11"/>
        <v>0</v>
      </c>
    </row>
    <row r="40" spans="1:16" s="61" customFormat="1" ht="30" x14ac:dyDescent="0.2">
      <c r="A40" s="218">
        <v>14</v>
      </c>
      <c r="B40" s="265" t="s">
        <v>229</v>
      </c>
      <c r="C40" s="230" t="s">
        <v>453</v>
      </c>
      <c r="D40" s="272" t="s">
        <v>207</v>
      </c>
      <c r="E40" s="333">
        <v>52</v>
      </c>
      <c r="F40" s="212"/>
      <c r="G40" s="212"/>
      <c r="H40" s="258"/>
      <c r="I40" s="258"/>
      <c r="J40" s="258"/>
      <c r="K40" s="388">
        <f t="shared" si="6"/>
        <v>0</v>
      </c>
      <c r="L40" s="389">
        <f t="shared" si="7"/>
        <v>0</v>
      </c>
      <c r="M40" s="388">
        <f t="shared" si="8"/>
        <v>0</v>
      </c>
      <c r="N40" s="388">
        <f t="shared" si="9"/>
        <v>0</v>
      </c>
      <c r="O40" s="388">
        <f t="shared" si="10"/>
        <v>0</v>
      </c>
      <c r="P40" s="390">
        <f t="shared" si="11"/>
        <v>0</v>
      </c>
    </row>
    <row r="41" spans="1:16" s="61" customFormat="1" ht="45" x14ac:dyDescent="0.2">
      <c r="A41" s="218">
        <v>0</v>
      </c>
      <c r="B41" s="265">
        <v>0</v>
      </c>
      <c r="C41" s="260" t="s">
        <v>454</v>
      </c>
      <c r="D41" s="272" t="s">
        <v>207</v>
      </c>
      <c r="E41" s="333">
        <f>E40</f>
        <v>52</v>
      </c>
      <c r="F41" s="212"/>
      <c r="G41" s="212"/>
      <c r="H41" s="258"/>
      <c r="I41" s="258"/>
      <c r="J41" s="258"/>
      <c r="K41" s="388">
        <f t="shared" si="6"/>
        <v>0</v>
      </c>
      <c r="L41" s="389">
        <f t="shared" si="7"/>
        <v>0</v>
      </c>
      <c r="M41" s="388">
        <f t="shared" si="8"/>
        <v>0</v>
      </c>
      <c r="N41" s="388">
        <f t="shared" si="9"/>
        <v>0</v>
      </c>
      <c r="O41" s="388">
        <f t="shared" si="10"/>
        <v>0</v>
      </c>
      <c r="P41" s="390">
        <f t="shared" si="11"/>
        <v>0</v>
      </c>
    </row>
    <row r="42" spans="1:16" s="61" customFormat="1" ht="15" x14ac:dyDescent="0.2">
      <c r="A42" s="218">
        <v>0</v>
      </c>
      <c r="B42" s="250"/>
      <c r="C42" s="207" t="s">
        <v>455</v>
      </c>
      <c r="D42" s="233"/>
      <c r="E42" s="205"/>
      <c r="F42" s="212"/>
      <c r="G42" s="213"/>
      <c r="H42" s="258"/>
      <c r="I42" s="258"/>
      <c r="J42" s="258"/>
      <c r="K42" s="388">
        <f t="shared" si="6"/>
        <v>0</v>
      </c>
      <c r="L42" s="389">
        <f t="shared" si="7"/>
        <v>0</v>
      </c>
      <c r="M42" s="388">
        <f t="shared" si="8"/>
        <v>0</v>
      </c>
      <c r="N42" s="388">
        <f t="shared" si="9"/>
        <v>0</v>
      </c>
      <c r="O42" s="388">
        <f t="shared" si="10"/>
        <v>0</v>
      </c>
      <c r="P42" s="390">
        <f t="shared" si="11"/>
        <v>0</v>
      </c>
    </row>
    <row r="43" spans="1:16" s="61" customFormat="1" ht="45" x14ac:dyDescent="0.2">
      <c r="A43" s="218">
        <v>15</v>
      </c>
      <c r="B43" s="209" t="s">
        <v>404</v>
      </c>
      <c r="C43" s="230" t="s">
        <v>451</v>
      </c>
      <c r="D43" s="272" t="s">
        <v>199</v>
      </c>
      <c r="E43" s="205">
        <v>16</v>
      </c>
      <c r="F43" s="212"/>
      <c r="G43" s="212"/>
      <c r="H43" s="258"/>
      <c r="I43" s="258"/>
      <c r="J43" s="258"/>
      <c r="K43" s="388">
        <f t="shared" si="6"/>
        <v>0</v>
      </c>
      <c r="L43" s="389">
        <f t="shared" si="7"/>
        <v>0</v>
      </c>
      <c r="M43" s="388">
        <f t="shared" si="8"/>
        <v>0</v>
      </c>
      <c r="N43" s="388">
        <f t="shared" si="9"/>
        <v>0</v>
      </c>
      <c r="O43" s="388">
        <f t="shared" si="10"/>
        <v>0</v>
      </c>
      <c r="P43" s="390">
        <f t="shared" si="11"/>
        <v>0</v>
      </c>
    </row>
    <row r="44" spans="1:16" s="61" customFormat="1" ht="45" x14ac:dyDescent="0.2">
      <c r="A44" s="218">
        <v>0</v>
      </c>
      <c r="B44" s="209">
        <v>0</v>
      </c>
      <c r="C44" s="260" t="s">
        <v>452</v>
      </c>
      <c r="D44" s="272" t="s">
        <v>199</v>
      </c>
      <c r="E44" s="205">
        <f>E43</f>
        <v>16</v>
      </c>
      <c r="F44" s="212"/>
      <c r="G44" s="212"/>
      <c r="H44" s="258"/>
      <c r="I44" s="258"/>
      <c r="J44" s="258"/>
      <c r="K44" s="388">
        <f t="shared" si="6"/>
        <v>0</v>
      </c>
      <c r="L44" s="389">
        <f t="shared" si="7"/>
        <v>0</v>
      </c>
      <c r="M44" s="388">
        <f t="shared" si="8"/>
        <v>0</v>
      </c>
      <c r="N44" s="388">
        <f t="shared" si="9"/>
        <v>0</v>
      </c>
      <c r="O44" s="388">
        <f t="shared" si="10"/>
        <v>0</v>
      </c>
      <c r="P44" s="390">
        <f t="shared" si="11"/>
        <v>0</v>
      </c>
    </row>
    <row r="45" spans="1:16" s="61" customFormat="1" ht="30" x14ac:dyDescent="0.2">
      <c r="A45" s="218">
        <v>16</v>
      </c>
      <c r="B45" s="265" t="s">
        <v>229</v>
      </c>
      <c r="C45" s="230" t="s">
        <v>453</v>
      </c>
      <c r="D45" s="272" t="s">
        <v>207</v>
      </c>
      <c r="E45" s="333">
        <v>30</v>
      </c>
      <c r="F45" s="212"/>
      <c r="G45" s="212"/>
      <c r="H45" s="258"/>
      <c r="I45" s="258"/>
      <c r="J45" s="258"/>
      <c r="K45" s="388">
        <f t="shared" si="6"/>
        <v>0</v>
      </c>
      <c r="L45" s="389">
        <f t="shared" si="7"/>
        <v>0</v>
      </c>
      <c r="M45" s="388">
        <f t="shared" si="8"/>
        <v>0</v>
      </c>
      <c r="N45" s="388">
        <f t="shared" si="9"/>
        <v>0</v>
      </c>
      <c r="O45" s="388">
        <f t="shared" si="10"/>
        <v>0</v>
      </c>
      <c r="P45" s="390">
        <f t="shared" si="11"/>
        <v>0</v>
      </c>
    </row>
    <row r="46" spans="1:16" s="61" customFormat="1" ht="45" x14ac:dyDescent="0.2">
      <c r="A46" s="218">
        <v>0</v>
      </c>
      <c r="B46" s="265">
        <v>0</v>
      </c>
      <c r="C46" s="260" t="s">
        <v>454</v>
      </c>
      <c r="D46" s="272" t="s">
        <v>207</v>
      </c>
      <c r="E46" s="333">
        <f>E45</f>
        <v>30</v>
      </c>
      <c r="F46" s="212"/>
      <c r="G46" s="212"/>
      <c r="H46" s="258"/>
      <c r="I46" s="258"/>
      <c r="J46" s="258"/>
      <c r="K46" s="388">
        <f t="shared" si="6"/>
        <v>0</v>
      </c>
      <c r="L46" s="389">
        <f t="shared" si="7"/>
        <v>0</v>
      </c>
      <c r="M46" s="388">
        <f t="shared" si="8"/>
        <v>0</v>
      </c>
      <c r="N46" s="388">
        <f t="shared" si="9"/>
        <v>0</v>
      </c>
      <c r="O46" s="388">
        <f t="shared" si="10"/>
        <v>0</v>
      </c>
      <c r="P46" s="390">
        <f t="shared" si="11"/>
        <v>0</v>
      </c>
    </row>
    <row r="47" spans="1:16" s="61" customFormat="1" ht="15" x14ac:dyDescent="0.2">
      <c r="A47" s="218">
        <v>0</v>
      </c>
      <c r="B47" s="250"/>
      <c r="C47" s="207" t="s">
        <v>456</v>
      </c>
      <c r="D47" s="233"/>
      <c r="E47" s="205"/>
      <c r="F47" s="212"/>
      <c r="G47" s="213"/>
      <c r="H47" s="258"/>
      <c r="I47" s="258"/>
      <c r="J47" s="258"/>
      <c r="K47" s="388">
        <f t="shared" si="6"/>
        <v>0</v>
      </c>
      <c r="L47" s="389">
        <f t="shared" si="7"/>
        <v>0</v>
      </c>
      <c r="M47" s="388">
        <f t="shared" si="8"/>
        <v>0</v>
      </c>
      <c r="N47" s="388">
        <f t="shared" si="9"/>
        <v>0</v>
      </c>
      <c r="O47" s="388">
        <f t="shared" si="10"/>
        <v>0</v>
      </c>
      <c r="P47" s="390">
        <f t="shared" si="11"/>
        <v>0</v>
      </c>
    </row>
    <row r="48" spans="1:16" s="61" customFormat="1" ht="15" x14ac:dyDescent="0.2">
      <c r="A48" s="367">
        <v>17</v>
      </c>
      <c r="B48" s="231" t="s">
        <v>126</v>
      </c>
      <c r="C48" s="278" t="s">
        <v>457</v>
      </c>
      <c r="D48" s="279" t="s">
        <v>199</v>
      </c>
      <c r="E48" s="334">
        <v>15.6</v>
      </c>
      <c r="F48" s="212"/>
      <c r="G48" s="212"/>
      <c r="H48" s="214"/>
      <c r="I48" s="214"/>
      <c r="J48" s="214"/>
      <c r="K48" s="388">
        <f t="shared" si="6"/>
        <v>0</v>
      </c>
      <c r="L48" s="389">
        <f t="shared" si="7"/>
        <v>0</v>
      </c>
      <c r="M48" s="388">
        <f t="shared" si="8"/>
        <v>0</v>
      </c>
      <c r="N48" s="388">
        <f t="shared" si="9"/>
        <v>0</v>
      </c>
      <c r="O48" s="388">
        <f t="shared" si="10"/>
        <v>0</v>
      </c>
      <c r="P48" s="390">
        <f t="shared" si="11"/>
        <v>0</v>
      </c>
    </row>
    <row r="49" spans="1:16" s="61" customFormat="1" ht="15" x14ac:dyDescent="0.2">
      <c r="A49" s="367">
        <v>18</v>
      </c>
      <c r="B49" s="231" t="s">
        <v>126</v>
      </c>
      <c r="C49" s="278" t="s">
        <v>458</v>
      </c>
      <c r="D49" s="279" t="s">
        <v>199</v>
      </c>
      <c r="E49" s="334">
        <v>5.0999999999999996</v>
      </c>
      <c r="F49" s="212"/>
      <c r="G49" s="212"/>
      <c r="H49" s="214"/>
      <c r="I49" s="214"/>
      <c r="J49" s="214"/>
      <c r="K49" s="388">
        <f t="shared" si="6"/>
        <v>0</v>
      </c>
      <c r="L49" s="389">
        <f t="shared" si="7"/>
        <v>0</v>
      </c>
      <c r="M49" s="388">
        <f t="shared" si="8"/>
        <v>0</v>
      </c>
      <c r="N49" s="388">
        <f t="shared" si="9"/>
        <v>0</v>
      </c>
      <c r="O49" s="388">
        <f t="shared" si="10"/>
        <v>0</v>
      </c>
      <c r="P49" s="390">
        <f t="shared" si="11"/>
        <v>0</v>
      </c>
    </row>
    <row r="50" spans="1:16" s="61" customFormat="1" ht="15" x14ac:dyDescent="0.2">
      <c r="A50" s="367">
        <v>19</v>
      </c>
      <c r="B50" s="231" t="s">
        <v>126</v>
      </c>
      <c r="C50" s="278" t="s">
        <v>459</v>
      </c>
      <c r="D50" s="279" t="s">
        <v>199</v>
      </c>
      <c r="E50" s="334">
        <v>0.65</v>
      </c>
      <c r="F50" s="212"/>
      <c r="G50" s="212"/>
      <c r="H50" s="214"/>
      <c r="I50" s="214"/>
      <c r="J50" s="214"/>
      <c r="K50" s="388">
        <f t="shared" si="6"/>
        <v>0</v>
      </c>
      <c r="L50" s="389">
        <f t="shared" si="7"/>
        <v>0</v>
      </c>
      <c r="M50" s="388">
        <f t="shared" si="8"/>
        <v>0</v>
      </c>
      <c r="N50" s="388">
        <f t="shared" si="9"/>
        <v>0</v>
      </c>
      <c r="O50" s="388">
        <f t="shared" si="10"/>
        <v>0</v>
      </c>
      <c r="P50" s="390">
        <f t="shared" si="11"/>
        <v>0</v>
      </c>
    </row>
    <row r="51" spans="1:16" s="61" customFormat="1" ht="15" x14ac:dyDescent="0.2">
      <c r="A51" s="367">
        <v>20</v>
      </c>
      <c r="B51" s="231" t="s">
        <v>126</v>
      </c>
      <c r="C51" s="278" t="s">
        <v>460</v>
      </c>
      <c r="D51" s="279" t="s">
        <v>199</v>
      </c>
      <c r="E51" s="334">
        <v>27</v>
      </c>
      <c r="F51" s="212"/>
      <c r="G51" s="212"/>
      <c r="H51" s="214"/>
      <c r="I51" s="214"/>
      <c r="J51" s="214"/>
      <c r="K51" s="388">
        <f t="shared" si="6"/>
        <v>0</v>
      </c>
      <c r="L51" s="389">
        <f t="shared" si="7"/>
        <v>0</v>
      </c>
      <c r="M51" s="388">
        <f t="shared" si="8"/>
        <v>0</v>
      </c>
      <c r="N51" s="388">
        <f t="shared" si="9"/>
        <v>0</v>
      </c>
      <c r="O51" s="388">
        <f t="shared" si="10"/>
        <v>0</v>
      </c>
      <c r="P51" s="390">
        <f t="shared" si="11"/>
        <v>0</v>
      </c>
    </row>
    <row r="52" spans="1:16" s="61" customFormat="1" ht="32.25" customHeight="1" x14ac:dyDescent="0.2">
      <c r="A52" s="367">
        <v>21</v>
      </c>
      <c r="B52" s="231" t="s">
        <v>126</v>
      </c>
      <c r="C52" s="278" t="s">
        <v>461</v>
      </c>
      <c r="D52" s="279" t="s">
        <v>199</v>
      </c>
      <c r="E52" s="334">
        <v>4</v>
      </c>
      <c r="F52" s="212"/>
      <c r="G52" s="212"/>
      <c r="H52" s="214"/>
      <c r="I52" s="214"/>
      <c r="J52" s="214"/>
      <c r="K52" s="388">
        <f t="shared" si="6"/>
        <v>0</v>
      </c>
      <c r="L52" s="389">
        <f t="shared" si="7"/>
        <v>0</v>
      </c>
      <c r="M52" s="388">
        <f t="shared" si="8"/>
        <v>0</v>
      </c>
      <c r="N52" s="388">
        <f t="shared" si="9"/>
        <v>0</v>
      </c>
      <c r="O52" s="388">
        <f t="shared" si="10"/>
        <v>0</v>
      </c>
      <c r="P52" s="390">
        <f t="shared" si="11"/>
        <v>0</v>
      </c>
    </row>
    <row r="53" spans="1:16" s="61" customFormat="1" x14ac:dyDescent="0.2">
      <c r="A53" s="202">
        <v>0</v>
      </c>
      <c r="B53" s="144"/>
      <c r="C53" s="203" t="s">
        <v>281</v>
      </c>
      <c r="D53" s="204"/>
      <c r="E53" s="205"/>
      <c r="F53" s="148"/>
      <c r="G53" s="148"/>
      <c r="H53" s="206"/>
      <c r="I53" s="206"/>
      <c r="J53" s="206"/>
      <c r="K53" s="388">
        <f t="shared" si="6"/>
        <v>0</v>
      </c>
      <c r="L53" s="389">
        <f t="shared" si="7"/>
        <v>0</v>
      </c>
      <c r="M53" s="388">
        <f t="shared" si="8"/>
        <v>0</v>
      </c>
      <c r="N53" s="388">
        <f t="shared" si="9"/>
        <v>0</v>
      </c>
      <c r="O53" s="388">
        <f t="shared" si="10"/>
        <v>0</v>
      </c>
      <c r="P53" s="390">
        <f t="shared" si="11"/>
        <v>0</v>
      </c>
    </row>
    <row r="54" spans="1:16" s="61" customFormat="1" ht="31.5" x14ac:dyDescent="0.2">
      <c r="A54" s="368">
        <v>0</v>
      </c>
      <c r="B54" s="144"/>
      <c r="C54" s="145" t="s">
        <v>462</v>
      </c>
      <c r="D54" s="146"/>
      <c r="E54" s="332"/>
      <c r="F54" s="148"/>
      <c r="G54" s="148"/>
      <c r="H54" s="149"/>
      <c r="I54" s="149"/>
      <c r="J54" s="149"/>
      <c r="K54" s="388">
        <f t="shared" si="6"/>
        <v>0</v>
      </c>
      <c r="L54" s="389">
        <f t="shared" si="7"/>
        <v>0</v>
      </c>
      <c r="M54" s="388">
        <f t="shared" si="8"/>
        <v>0</v>
      </c>
      <c r="N54" s="388">
        <f t="shared" si="9"/>
        <v>0</v>
      </c>
      <c r="O54" s="388">
        <f t="shared" si="10"/>
        <v>0</v>
      </c>
      <c r="P54" s="390">
        <f t="shared" si="11"/>
        <v>0</v>
      </c>
    </row>
    <row r="55" spans="1:16" s="61" customFormat="1" x14ac:dyDescent="0.2">
      <c r="A55" s="369">
        <v>0</v>
      </c>
      <c r="B55" s="188"/>
      <c r="C55" s="280" t="s">
        <v>463</v>
      </c>
      <c r="D55" s="188"/>
      <c r="E55" s="330"/>
      <c r="F55" s="188"/>
      <c r="G55" s="188"/>
      <c r="H55" s="188"/>
      <c r="I55" s="188"/>
      <c r="J55" s="188"/>
      <c r="K55" s="388">
        <f t="shared" si="6"/>
        <v>0</v>
      </c>
      <c r="L55" s="389">
        <f t="shared" si="7"/>
        <v>0</v>
      </c>
      <c r="M55" s="388">
        <f t="shared" si="8"/>
        <v>0</v>
      </c>
      <c r="N55" s="388">
        <f t="shared" si="9"/>
        <v>0</v>
      </c>
      <c r="O55" s="388">
        <f t="shared" si="10"/>
        <v>0</v>
      </c>
      <c r="P55" s="390">
        <f t="shared" si="11"/>
        <v>0</v>
      </c>
    </row>
    <row r="56" spans="1:16" s="61" customFormat="1" ht="25.5" x14ac:dyDescent="0.2">
      <c r="A56" s="369">
        <v>22</v>
      </c>
      <c r="B56" s="223" t="str">
        <f t="shared" ref="B56:B102" si="13">IF(A56&gt;0,"L.c.",0)</f>
        <v>L.c.</v>
      </c>
      <c r="C56" s="173" t="s">
        <v>127</v>
      </c>
      <c r="D56" s="174" t="s">
        <v>83</v>
      </c>
      <c r="E56" s="347">
        <v>26</v>
      </c>
      <c r="F56" s="161"/>
      <c r="G56" s="159"/>
      <c r="H56" s="161"/>
      <c r="I56" s="161"/>
      <c r="J56" s="161"/>
      <c r="K56" s="388">
        <f t="shared" si="6"/>
        <v>0</v>
      </c>
      <c r="L56" s="389">
        <f t="shared" si="7"/>
        <v>0</v>
      </c>
      <c r="M56" s="388">
        <f t="shared" si="8"/>
        <v>0</v>
      </c>
      <c r="N56" s="388">
        <f t="shared" si="9"/>
        <v>0</v>
      </c>
      <c r="O56" s="388">
        <f t="shared" si="10"/>
        <v>0</v>
      </c>
      <c r="P56" s="390">
        <f t="shared" si="11"/>
        <v>0</v>
      </c>
    </row>
    <row r="57" spans="1:16" s="61" customFormat="1" ht="89.25" x14ac:dyDescent="0.2">
      <c r="A57" s="369">
        <v>23</v>
      </c>
      <c r="B57" s="223" t="str">
        <f t="shared" si="13"/>
        <v>L.c.</v>
      </c>
      <c r="C57" s="176" t="s">
        <v>130</v>
      </c>
      <c r="D57" s="158" t="s">
        <v>131</v>
      </c>
      <c r="E57" s="309">
        <f>269+374.3+125.4+118.5</f>
        <v>887.19999999999993</v>
      </c>
      <c r="F57" s="177"/>
      <c r="G57" s="159"/>
      <c r="H57" s="161"/>
      <c r="I57" s="161"/>
      <c r="J57" s="161"/>
      <c r="K57" s="388">
        <f t="shared" si="6"/>
        <v>0</v>
      </c>
      <c r="L57" s="389">
        <f t="shared" si="7"/>
        <v>0</v>
      </c>
      <c r="M57" s="388">
        <f t="shared" si="8"/>
        <v>0</v>
      </c>
      <c r="N57" s="388">
        <f t="shared" si="9"/>
        <v>0</v>
      </c>
      <c r="O57" s="388">
        <f t="shared" si="10"/>
        <v>0</v>
      </c>
      <c r="P57" s="390">
        <f t="shared" si="11"/>
        <v>0</v>
      </c>
    </row>
    <row r="58" spans="1:16" s="61" customFormat="1" x14ac:dyDescent="0.2">
      <c r="A58" s="369">
        <v>0</v>
      </c>
      <c r="B58" s="223">
        <f t="shared" si="13"/>
        <v>0</v>
      </c>
      <c r="C58" s="178" t="s">
        <v>132</v>
      </c>
      <c r="D58" s="179" t="s">
        <v>131</v>
      </c>
      <c r="E58" s="316">
        <f>E57*1.15</f>
        <v>1020.2799999999999</v>
      </c>
      <c r="F58" s="159"/>
      <c r="G58" s="159"/>
      <c r="H58" s="161"/>
      <c r="I58" s="161"/>
      <c r="J58" s="161"/>
      <c r="K58" s="388">
        <f t="shared" si="6"/>
        <v>0</v>
      </c>
      <c r="L58" s="389">
        <f t="shared" si="7"/>
        <v>0</v>
      </c>
      <c r="M58" s="388">
        <f t="shared" si="8"/>
        <v>0</v>
      </c>
      <c r="N58" s="388">
        <f t="shared" si="9"/>
        <v>0</v>
      </c>
      <c r="O58" s="388">
        <f t="shared" si="10"/>
        <v>0</v>
      </c>
      <c r="P58" s="390">
        <f t="shared" si="11"/>
        <v>0</v>
      </c>
    </row>
    <row r="59" spans="1:16" s="61" customFormat="1" ht="25.5" x14ac:dyDescent="0.2">
      <c r="A59" s="369">
        <v>0</v>
      </c>
      <c r="B59" s="223">
        <f t="shared" si="13"/>
        <v>0</v>
      </c>
      <c r="C59" s="181" t="s">
        <v>133</v>
      </c>
      <c r="D59" s="158" t="s">
        <v>66</v>
      </c>
      <c r="E59" s="308">
        <v>1</v>
      </c>
      <c r="F59" s="159"/>
      <c r="G59" s="159"/>
      <c r="H59" s="161"/>
      <c r="I59" s="161"/>
      <c r="J59" s="161"/>
      <c r="K59" s="388">
        <f t="shared" si="6"/>
        <v>0</v>
      </c>
      <c r="L59" s="389">
        <f t="shared" si="7"/>
        <v>0</v>
      </c>
      <c r="M59" s="388">
        <f t="shared" si="8"/>
        <v>0</v>
      </c>
      <c r="N59" s="388">
        <f t="shared" si="9"/>
        <v>0</v>
      </c>
      <c r="O59" s="388">
        <f t="shared" si="10"/>
        <v>0</v>
      </c>
      <c r="P59" s="390">
        <f t="shared" si="11"/>
        <v>0</v>
      </c>
    </row>
    <row r="60" spans="1:16" s="61" customFormat="1" ht="25.5" x14ac:dyDescent="0.2">
      <c r="A60" s="369">
        <v>24</v>
      </c>
      <c r="B60" s="223" t="str">
        <f t="shared" si="13"/>
        <v>L.c.</v>
      </c>
      <c r="C60" s="176" t="s">
        <v>186</v>
      </c>
      <c r="D60" s="179" t="s">
        <v>78</v>
      </c>
      <c r="E60" s="309">
        <v>4</v>
      </c>
      <c r="F60" s="159"/>
      <c r="G60" s="159"/>
      <c r="H60" s="161"/>
      <c r="I60" s="161"/>
      <c r="J60" s="161"/>
      <c r="K60" s="388">
        <f t="shared" si="6"/>
        <v>0</v>
      </c>
      <c r="L60" s="389">
        <f t="shared" si="7"/>
        <v>0</v>
      </c>
      <c r="M60" s="388">
        <f t="shared" si="8"/>
        <v>0</v>
      </c>
      <c r="N60" s="388">
        <f t="shared" si="9"/>
        <v>0</v>
      </c>
      <c r="O60" s="388">
        <f t="shared" si="10"/>
        <v>0</v>
      </c>
      <c r="P60" s="390">
        <f t="shared" si="11"/>
        <v>0</v>
      </c>
    </row>
    <row r="61" spans="1:16" s="61" customFormat="1" x14ac:dyDescent="0.2">
      <c r="A61" s="369">
        <v>0</v>
      </c>
      <c r="B61" s="223">
        <f t="shared" si="13"/>
        <v>0</v>
      </c>
      <c r="C61" s="183" t="s">
        <v>135</v>
      </c>
      <c r="D61" s="179" t="s">
        <v>78</v>
      </c>
      <c r="E61" s="319">
        <f>E60*1.05</f>
        <v>4.2</v>
      </c>
      <c r="F61" s="185"/>
      <c r="G61" s="159"/>
      <c r="H61" s="161"/>
      <c r="I61" s="161"/>
      <c r="J61" s="161"/>
      <c r="K61" s="388">
        <f t="shared" si="6"/>
        <v>0</v>
      </c>
      <c r="L61" s="389">
        <f t="shared" si="7"/>
        <v>0</v>
      </c>
      <c r="M61" s="388">
        <f t="shared" si="8"/>
        <v>0</v>
      </c>
      <c r="N61" s="388">
        <f t="shared" si="9"/>
        <v>0</v>
      </c>
      <c r="O61" s="388">
        <f t="shared" si="10"/>
        <v>0</v>
      </c>
      <c r="P61" s="390">
        <f t="shared" si="11"/>
        <v>0</v>
      </c>
    </row>
    <row r="62" spans="1:16" s="61" customFormat="1" x14ac:dyDescent="0.2">
      <c r="A62" s="369">
        <v>0</v>
      </c>
      <c r="B62" s="223">
        <f t="shared" si="13"/>
        <v>0</v>
      </c>
      <c r="C62" s="183" t="s">
        <v>136</v>
      </c>
      <c r="D62" s="179" t="s">
        <v>137</v>
      </c>
      <c r="E62" s="319">
        <f>E60*0.25</f>
        <v>1</v>
      </c>
      <c r="F62" s="185"/>
      <c r="G62" s="159"/>
      <c r="H62" s="161"/>
      <c r="I62" s="154"/>
      <c r="J62" s="161"/>
      <c r="K62" s="388">
        <f t="shared" si="6"/>
        <v>0</v>
      </c>
      <c r="L62" s="389">
        <f t="shared" si="7"/>
        <v>0</v>
      </c>
      <c r="M62" s="388">
        <f t="shared" si="8"/>
        <v>0</v>
      </c>
      <c r="N62" s="388">
        <f t="shared" si="9"/>
        <v>0</v>
      </c>
      <c r="O62" s="388">
        <f t="shared" si="10"/>
        <v>0</v>
      </c>
      <c r="P62" s="390">
        <f t="shared" si="11"/>
        <v>0</v>
      </c>
    </row>
    <row r="63" spans="1:16" s="61" customFormat="1" ht="15" x14ac:dyDescent="0.2">
      <c r="A63" s="369">
        <v>0</v>
      </c>
      <c r="B63" s="223">
        <f t="shared" si="13"/>
        <v>0</v>
      </c>
      <c r="C63" s="405" t="s">
        <v>742</v>
      </c>
      <c r="D63" s="330"/>
      <c r="E63" s="330"/>
      <c r="F63" s="330"/>
      <c r="G63" s="330"/>
      <c r="H63" s="330"/>
      <c r="I63" s="330"/>
      <c r="J63" s="330"/>
      <c r="K63" s="388">
        <f t="shared" si="6"/>
        <v>0</v>
      </c>
      <c r="L63" s="389">
        <f t="shared" si="7"/>
        <v>0</v>
      </c>
      <c r="M63" s="388">
        <f t="shared" si="8"/>
        <v>0</v>
      </c>
      <c r="N63" s="388">
        <f t="shared" si="9"/>
        <v>0</v>
      </c>
      <c r="O63" s="388">
        <f t="shared" si="10"/>
        <v>0</v>
      </c>
      <c r="P63" s="390">
        <f t="shared" si="11"/>
        <v>0</v>
      </c>
    </row>
    <row r="64" spans="1:16" s="61" customFormat="1" x14ac:dyDescent="0.2">
      <c r="A64" s="369">
        <v>25</v>
      </c>
      <c r="B64" s="223" t="str">
        <f t="shared" si="13"/>
        <v>L.c.</v>
      </c>
      <c r="C64" s="341" t="s">
        <v>116</v>
      </c>
      <c r="D64" s="308" t="s">
        <v>115</v>
      </c>
      <c r="E64" s="309">
        <v>2.5</v>
      </c>
      <c r="F64" s="344"/>
      <c r="G64" s="309"/>
      <c r="H64" s="310"/>
      <c r="I64" s="310"/>
      <c r="J64" s="343"/>
      <c r="K64" s="391">
        <f t="shared" si="6"/>
        <v>0</v>
      </c>
      <c r="L64" s="389">
        <f t="shared" si="7"/>
        <v>0</v>
      </c>
      <c r="M64" s="388">
        <f t="shared" si="8"/>
        <v>0</v>
      </c>
      <c r="N64" s="388">
        <f t="shared" si="9"/>
        <v>0</v>
      </c>
      <c r="O64" s="388">
        <f t="shared" si="10"/>
        <v>0</v>
      </c>
      <c r="P64" s="390">
        <f t="shared" si="11"/>
        <v>0</v>
      </c>
    </row>
    <row r="65" spans="1:16" s="61" customFormat="1" ht="30" x14ac:dyDescent="0.2">
      <c r="A65" s="369">
        <v>26</v>
      </c>
      <c r="B65" s="223" t="str">
        <f t="shared" si="13"/>
        <v>L.c.</v>
      </c>
      <c r="C65" s="406" t="s">
        <v>464</v>
      </c>
      <c r="D65" s="308" t="s">
        <v>115</v>
      </c>
      <c r="E65" s="309">
        <v>1.4</v>
      </c>
      <c r="F65" s="342"/>
      <c r="G65" s="309"/>
      <c r="H65" s="310"/>
      <c r="I65" s="310"/>
      <c r="J65" s="343"/>
      <c r="K65" s="391">
        <f t="shared" si="6"/>
        <v>0</v>
      </c>
      <c r="L65" s="389">
        <f t="shared" si="7"/>
        <v>0</v>
      </c>
      <c r="M65" s="388">
        <f t="shared" si="8"/>
        <v>0</v>
      </c>
      <c r="N65" s="388">
        <f t="shared" si="9"/>
        <v>0</v>
      </c>
      <c r="O65" s="388">
        <f t="shared" si="10"/>
        <v>0</v>
      </c>
      <c r="P65" s="390">
        <f t="shared" si="11"/>
        <v>0</v>
      </c>
    </row>
    <row r="66" spans="1:16" s="61" customFormat="1" ht="30" x14ac:dyDescent="0.2">
      <c r="A66" s="369">
        <v>27</v>
      </c>
      <c r="B66" s="223" t="str">
        <f t="shared" si="13"/>
        <v>L.c.</v>
      </c>
      <c r="C66" s="370" t="s">
        <v>465</v>
      </c>
      <c r="D66" s="346" t="s">
        <v>83</v>
      </c>
      <c r="E66" s="347">
        <v>7</v>
      </c>
      <c r="F66" s="310"/>
      <c r="G66" s="309"/>
      <c r="H66" s="310"/>
      <c r="I66" s="310"/>
      <c r="J66" s="310"/>
      <c r="K66" s="391">
        <f t="shared" si="6"/>
        <v>0</v>
      </c>
      <c r="L66" s="389">
        <f t="shared" si="7"/>
        <v>0</v>
      </c>
      <c r="M66" s="388">
        <f t="shared" si="8"/>
        <v>0</v>
      </c>
      <c r="N66" s="388">
        <f t="shared" si="9"/>
        <v>0</v>
      </c>
      <c r="O66" s="388">
        <f t="shared" si="10"/>
        <v>0</v>
      </c>
      <c r="P66" s="390">
        <f t="shared" si="11"/>
        <v>0</v>
      </c>
    </row>
    <row r="67" spans="1:16" s="61" customFormat="1" ht="89.25" x14ac:dyDescent="0.2">
      <c r="A67" s="369">
        <v>28</v>
      </c>
      <c r="B67" s="223" t="str">
        <f t="shared" si="13"/>
        <v>L.c.</v>
      </c>
      <c r="C67" s="312" t="s">
        <v>130</v>
      </c>
      <c r="D67" s="308" t="s">
        <v>131</v>
      </c>
      <c r="E67" s="309">
        <v>13.5</v>
      </c>
      <c r="F67" s="313"/>
      <c r="G67" s="309"/>
      <c r="H67" s="310"/>
      <c r="I67" s="310"/>
      <c r="J67" s="310"/>
      <c r="K67" s="391">
        <f t="shared" si="6"/>
        <v>0</v>
      </c>
      <c r="L67" s="389">
        <f t="shared" si="7"/>
        <v>0</v>
      </c>
      <c r="M67" s="388">
        <f t="shared" si="8"/>
        <v>0</v>
      </c>
      <c r="N67" s="388">
        <f t="shared" si="9"/>
        <v>0</v>
      </c>
      <c r="O67" s="388">
        <f t="shared" si="10"/>
        <v>0</v>
      </c>
      <c r="P67" s="390">
        <f t="shared" si="11"/>
        <v>0</v>
      </c>
    </row>
    <row r="68" spans="1:16" s="61" customFormat="1" x14ac:dyDescent="0.2">
      <c r="A68" s="369">
        <v>0</v>
      </c>
      <c r="B68" s="223">
        <f t="shared" si="13"/>
        <v>0</v>
      </c>
      <c r="C68" s="314" t="s">
        <v>132</v>
      </c>
      <c r="D68" s="315" t="s">
        <v>131</v>
      </c>
      <c r="E68" s="316">
        <f>E67*1.15</f>
        <v>15.524999999999999</v>
      </c>
      <c r="F68" s="309"/>
      <c r="G68" s="309"/>
      <c r="H68" s="310"/>
      <c r="I68" s="310"/>
      <c r="J68" s="310"/>
      <c r="K68" s="391">
        <f t="shared" si="6"/>
        <v>0</v>
      </c>
      <c r="L68" s="389">
        <f t="shared" si="7"/>
        <v>0</v>
      </c>
      <c r="M68" s="388">
        <f t="shared" si="8"/>
        <v>0</v>
      </c>
      <c r="N68" s="388">
        <f t="shared" si="9"/>
        <v>0</v>
      </c>
      <c r="O68" s="388">
        <f t="shared" si="10"/>
        <v>0</v>
      </c>
      <c r="P68" s="390">
        <f t="shared" si="11"/>
        <v>0</v>
      </c>
    </row>
    <row r="69" spans="1:16" s="61" customFormat="1" ht="25.5" x14ac:dyDescent="0.2">
      <c r="A69" s="369">
        <v>0</v>
      </c>
      <c r="B69" s="223">
        <f t="shared" si="13"/>
        <v>0</v>
      </c>
      <c r="C69" s="317" t="s">
        <v>133</v>
      </c>
      <c r="D69" s="308" t="s">
        <v>66</v>
      </c>
      <c r="E69" s="308">
        <v>1</v>
      </c>
      <c r="F69" s="309"/>
      <c r="G69" s="309"/>
      <c r="H69" s="310"/>
      <c r="I69" s="310"/>
      <c r="J69" s="310"/>
      <c r="K69" s="391">
        <f t="shared" ref="K69:K132" si="14">SUM(H69:J69)</f>
        <v>0</v>
      </c>
      <c r="L69" s="389">
        <f t="shared" ref="L69:L132" si="15">ROUND(F69*E69,2)</f>
        <v>0</v>
      </c>
      <c r="M69" s="388">
        <f t="shared" ref="M69:M132" si="16">ROUND(H69*E69,2)</f>
        <v>0</v>
      </c>
      <c r="N69" s="388">
        <f t="shared" ref="N69:N132" si="17">ROUND(I69*E69,2)</f>
        <v>0</v>
      </c>
      <c r="O69" s="388">
        <f t="shared" ref="O69:O132" si="18">ROUND(J69*E69,2)</f>
        <v>0</v>
      </c>
      <c r="P69" s="390">
        <f t="shared" ref="P69:P132" si="19">SUM(M69:O69)</f>
        <v>0</v>
      </c>
    </row>
    <row r="70" spans="1:16" s="61" customFormat="1" ht="45" x14ac:dyDescent="0.2">
      <c r="A70" s="369">
        <v>29</v>
      </c>
      <c r="B70" s="223" t="str">
        <f t="shared" si="13"/>
        <v>L.c.</v>
      </c>
      <c r="C70" s="338" t="s">
        <v>466</v>
      </c>
      <c r="D70" s="315" t="s">
        <v>78</v>
      </c>
      <c r="E70" s="309">
        <v>0.24</v>
      </c>
      <c r="F70" s="309"/>
      <c r="G70" s="309"/>
      <c r="H70" s="310"/>
      <c r="I70" s="310"/>
      <c r="J70" s="310"/>
      <c r="K70" s="391">
        <f t="shared" si="14"/>
        <v>0</v>
      </c>
      <c r="L70" s="389">
        <f t="shared" si="15"/>
        <v>0</v>
      </c>
      <c r="M70" s="388">
        <f t="shared" si="16"/>
        <v>0</v>
      </c>
      <c r="N70" s="388">
        <f t="shared" si="17"/>
        <v>0</v>
      </c>
      <c r="O70" s="388">
        <f t="shared" si="18"/>
        <v>0</v>
      </c>
      <c r="P70" s="390">
        <f t="shared" si="19"/>
        <v>0</v>
      </c>
    </row>
    <row r="71" spans="1:16" s="61" customFormat="1" ht="15" x14ac:dyDescent="0.25">
      <c r="A71" s="369">
        <v>0</v>
      </c>
      <c r="B71" s="223">
        <f t="shared" si="13"/>
        <v>0</v>
      </c>
      <c r="C71" s="326" t="s">
        <v>158</v>
      </c>
      <c r="D71" s="315" t="s">
        <v>78</v>
      </c>
      <c r="E71" s="319">
        <f>E70*1.05</f>
        <v>0.252</v>
      </c>
      <c r="F71" s="320"/>
      <c r="G71" s="309"/>
      <c r="H71" s="310"/>
      <c r="I71" s="310"/>
      <c r="J71" s="310"/>
      <c r="K71" s="391">
        <f t="shared" si="14"/>
        <v>0</v>
      </c>
      <c r="L71" s="389">
        <f t="shared" si="15"/>
        <v>0</v>
      </c>
      <c r="M71" s="388">
        <f t="shared" si="16"/>
        <v>0</v>
      </c>
      <c r="N71" s="388">
        <f t="shared" si="17"/>
        <v>0</v>
      </c>
      <c r="O71" s="388">
        <f t="shared" si="18"/>
        <v>0</v>
      </c>
      <c r="P71" s="390">
        <f t="shared" si="19"/>
        <v>0</v>
      </c>
    </row>
    <row r="72" spans="1:16" s="61" customFormat="1" x14ac:dyDescent="0.2">
      <c r="A72" s="369">
        <v>0</v>
      </c>
      <c r="B72" s="223">
        <f t="shared" si="13"/>
        <v>0</v>
      </c>
      <c r="C72" s="318" t="s">
        <v>136</v>
      </c>
      <c r="D72" s="315" t="s">
        <v>137</v>
      </c>
      <c r="E72" s="319">
        <f>E70*0.25</f>
        <v>0.06</v>
      </c>
      <c r="F72" s="320"/>
      <c r="G72" s="309"/>
      <c r="H72" s="310"/>
      <c r="I72" s="321"/>
      <c r="J72" s="310"/>
      <c r="K72" s="391">
        <f t="shared" si="14"/>
        <v>0</v>
      </c>
      <c r="L72" s="389">
        <f t="shared" si="15"/>
        <v>0</v>
      </c>
      <c r="M72" s="388">
        <f t="shared" si="16"/>
        <v>0</v>
      </c>
      <c r="N72" s="388">
        <f t="shared" si="17"/>
        <v>0</v>
      </c>
      <c r="O72" s="388">
        <f t="shared" si="18"/>
        <v>0</v>
      </c>
      <c r="P72" s="390">
        <f t="shared" si="19"/>
        <v>0</v>
      </c>
    </row>
    <row r="73" spans="1:16" s="61" customFormat="1" ht="120" x14ac:dyDescent="0.25">
      <c r="A73" s="369">
        <v>30</v>
      </c>
      <c r="B73" s="223" t="str">
        <f t="shared" si="13"/>
        <v>L.c.</v>
      </c>
      <c r="C73" s="328" t="s">
        <v>467</v>
      </c>
      <c r="D73" s="308" t="s">
        <v>131</v>
      </c>
      <c r="E73" s="308">
        <f>717+293.9+130.7+33.91+470.6+661.4+27+14.81</f>
        <v>2349.3200000000002</v>
      </c>
      <c r="F73" s="308"/>
      <c r="G73" s="309"/>
      <c r="H73" s="310"/>
      <c r="I73" s="310"/>
      <c r="J73" s="310"/>
      <c r="K73" s="391">
        <f t="shared" si="14"/>
        <v>0</v>
      </c>
      <c r="L73" s="389">
        <f t="shared" si="15"/>
        <v>0</v>
      </c>
      <c r="M73" s="388">
        <f t="shared" si="16"/>
        <v>0</v>
      </c>
      <c r="N73" s="388">
        <f t="shared" si="17"/>
        <v>0</v>
      </c>
      <c r="O73" s="388">
        <f t="shared" si="18"/>
        <v>0</v>
      </c>
      <c r="P73" s="390">
        <f t="shared" si="19"/>
        <v>0</v>
      </c>
    </row>
    <row r="74" spans="1:16" s="61" customFormat="1" x14ac:dyDescent="0.2">
      <c r="A74" s="369">
        <v>0</v>
      </c>
      <c r="B74" s="223">
        <f t="shared" si="13"/>
        <v>0</v>
      </c>
      <c r="C74" s="350" t="s">
        <v>188</v>
      </c>
      <c r="D74" s="308" t="s">
        <v>131</v>
      </c>
      <c r="E74" s="319">
        <f>E73*1.1</f>
        <v>2584.2520000000004</v>
      </c>
      <c r="F74" s="315"/>
      <c r="G74" s="309"/>
      <c r="H74" s="310"/>
      <c r="I74" s="310"/>
      <c r="J74" s="310"/>
      <c r="K74" s="391">
        <f t="shared" si="14"/>
        <v>0</v>
      </c>
      <c r="L74" s="389">
        <f t="shared" si="15"/>
        <v>0</v>
      </c>
      <c r="M74" s="388">
        <f t="shared" si="16"/>
        <v>0</v>
      </c>
      <c r="N74" s="388">
        <f t="shared" si="17"/>
        <v>0</v>
      </c>
      <c r="O74" s="388">
        <f t="shared" si="18"/>
        <v>0</v>
      </c>
      <c r="P74" s="390">
        <f t="shared" si="19"/>
        <v>0</v>
      </c>
    </row>
    <row r="75" spans="1:16" s="61" customFormat="1" x14ac:dyDescent="0.2">
      <c r="A75" s="369">
        <v>0</v>
      </c>
      <c r="B75" s="223">
        <f t="shared" si="13"/>
        <v>0</v>
      </c>
      <c r="C75" s="351" t="s">
        <v>189</v>
      </c>
      <c r="D75" s="308" t="s">
        <v>66</v>
      </c>
      <c r="E75" s="315">
        <v>1</v>
      </c>
      <c r="F75" s="315"/>
      <c r="G75" s="309"/>
      <c r="H75" s="310"/>
      <c r="I75" s="310"/>
      <c r="J75" s="310"/>
      <c r="K75" s="391">
        <f t="shared" si="14"/>
        <v>0</v>
      </c>
      <c r="L75" s="389">
        <f t="shared" si="15"/>
        <v>0</v>
      </c>
      <c r="M75" s="388">
        <f t="shared" si="16"/>
        <v>0</v>
      </c>
      <c r="N75" s="388">
        <f t="shared" si="17"/>
        <v>0</v>
      </c>
      <c r="O75" s="388">
        <f t="shared" si="18"/>
        <v>0</v>
      </c>
      <c r="P75" s="390">
        <f t="shared" si="19"/>
        <v>0</v>
      </c>
    </row>
    <row r="76" spans="1:16" s="61" customFormat="1" x14ac:dyDescent="0.2">
      <c r="A76" s="369">
        <v>31</v>
      </c>
      <c r="B76" s="223" t="str">
        <f t="shared" si="13"/>
        <v>L.c.</v>
      </c>
      <c r="C76" s="407" t="s">
        <v>761</v>
      </c>
      <c r="D76" s="308" t="s">
        <v>83</v>
      </c>
      <c r="E76" s="315">
        <v>8.1</v>
      </c>
      <c r="F76" s="315"/>
      <c r="G76" s="309"/>
      <c r="H76" s="310"/>
      <c r="I76" s="310"/>
      <c r="J76" s="310"/>
      <c r="K76" s="391">
        <f t="shared" si="14"/>
        <v>0</v>
      </c>
      <c r="L76" s="389">
        <f t="shared" si="15"/>
        <v>0</v>
      </c>
      <c r="M76" s="388">
        <f t="shared" si="16"/>
        <v>0</v>
      </c>
      <c r="N76" s="388">
        <f t="shared" si="17"/>
        <v>0</v>
      </c>
      <c r="O76" s="388">
        <f t="shared" si="18"/>
        <v>0</v>
      </c>
      <c r="P76" s="390">
        <f t="shared" si="19"/>
        <v>0</v>
      </c>
    </row>
    <row r="77" spans="1:16" s="61" customFormat="1" ht="15" x14ac:dyDescent="0.2">
      <c r="A77" s="367">
        <v>32</v>
      </c>
      <c r="B77" s="231" t="s">
        <v>126</v>
      </c>
      <c r="C77" s="371" t="s">
        <v>740</v>
      </c>
      <c r="D77" s="256" t="s">
        <v>199</v>
      </c>
      <c r="E77" s="334">
        <v>28</v>
      </c>
      <c r="F77" s="213"/>
      <c r="G77" s="213"/>
      <c r="H77" s="214"/>
      <c r="I77" s="214"/>
      <c r="J77" s="214"/>
      <c r="K77" s="391">
        <f t="shared" ref="K77" si="20">SUM(H77:J77)</f>
        <v>0</v>
      </c>
      <c r="L77" s="389">
        <f t="shared" si="15"/>
        <v>0</v>
      </c>
      <c r="M77" s="388">
        <f t="shared" si="16"/>
        <v>0</v>
      </c>
      <c r="N77" s="388">
        <f t="shared" si="17"/>
        <v>0</v>
      </c>
      <c r="O77" s="388">
        <f t="shared" si="18"/>
        <v>0</v>
      </c>
      <c r="P77" s="390">
        <f t="shared" si="19"/>
        <v>0</v>
      </c>
    </row>
    <row r="78" spans="1:16" s="61" customFormat="1" ht="31.5" x14ac:dyDescent="0.2">
      <c r="A78" s="368">
        <v>0</v>
      </c>
      <c r="B78" s="223">
        <f t="shared" si="13"/>
        <v>0</v>
      </c>
      <c r="C78" s="168" t="s">
        <v>469</v>
      </c>
      <c r="D78" s="146"/>
      <c r="E78" s="147"/>
      <c r="F78" s="148"/>
      <c r="G78" s="148"/>
      <c r="H78" s="149"/>
      <c r="I78" s="149"/>
      <c r="J78" s="149"/>
      <c r="K78" s="388">
        <f t="shared" si="14"/>
        <v>0</v>
      </c>
      <c r="L78" s="389">
        <f t="shared" si="15"/>
        <v>0</v>
      </c>
      <c r="M78" s="388">
        <f t="shared" si="16"/>
        <v>0</v>
      </c>
      <c r="N78" s="388">
        <f t="shared" si="17"/>
        <v>0</v>
      </c>
      <c r="O78" s="388">
        <f t="shared" si="18"/>
        <v>0</v>
      </c>
      <c r="P78" s="390">
        <f t="shared" si="19"/>
        <v>0</v>
      </c>
    </row>
    <row r="79" spans="1:16" s="61" customFormat="1" x14ac:dyDescent="0.2">
      <c r="A79" s="369">
        <v>0</v>
      </c>
      <c r="B79" s="223">
        <f t="shared" si="13"/>
        <v>0</v>
      </c>
      <c r="C79" s="197" t="s">
        <v>470</v>
      </c>
      <c r="D79" s="158"/>
      <c r="E79" s="158"/>
      <c r="F79" s="159"/>
      <c r="G79" s="159"/>
      <c r="H79" s="161"/>
      <c r="I79" s="161"/>
      <c r="J79" s="161"/>
      <c r="K79" s="388">
        <f t="shared" si="14"/>
        <v>0</v>
      </c>
      <c r="L79" s="389">
        <f t="shared" si="15"/>
        <v>0</v>
      </c>
      <c r="M79" s="388">
        <f t="shared" si="16"/>
        <v>0</v>
      </c>
      <c r="N79" s="388">
        <f t="shared" si="17"/>
        <v>0</v>
      </c>
      <c r="O79" s="388">
        <f t="shared" si="18"/>
        <v>0</v>
      </c>
      <c r="P79" s="390">
        <f t="shared" si="19"/>
        <v>0</v>
      </c>
    </row>
    <row r="80" spans="1:16" s="61" customFormat="1" ht="25.5" x14ac:dyDescent="0.2">
      <c r="A80" s="369">
        <v>33</v>
      </c>
      <c r="B80" s="223" t="str">
        <f t="shared" si="13"/>
        <v>L.c.</v>
      </c>
      <c r="C80" s="157" t="s">
        <v>114</v>
      </c>
      <c r="D80" s="158" t="s">
        <v>115</v>
      </c>
      <c r="E80" s="159">
        <v>26</v>
      </c>
      <c r="F80" s="160"/>
      <c r="G80" s="159"/>
      <c r="H80" s="161"/>
      <c r="I80" s="161"/>
      <c r="J80" s="162"/>
      <c r="K80" s="388">
        <f t="shared" si="14"/>
        <v>0</v>
      </c>
      <c r="L80" s="389">
        <f t="shared" si="15"/>
        <v>0</v>
      </c>
      <c r="M80" s="388">
        <f t="shared" si="16"/>
        <v>0</v>
      </c>
      <c r="N80" s="388">
        <f t="shared" si="17"/>
        <v>0</v>
      </c>
      <c r="O80" s="388">
        <f t="shared" si="18"/>
        <v>0</v>
      </c>
      <c r="P80" s="390">
        <f t="shared" si="19"/>
        <v>0</v>
      </c>
    </row>
    <row r="81" spans="1:16" s="61" customFormat="1" x14ac:dyDescent="0.2">
      <c r="A81" s="369">
        <v>34</v>
      </c>
      <c r="B81" s="223" t="str">
        <f t="shared" si="13"/>
        <v>L.c.</v>
      </c>
      <c r="C81" s="157" t="s">
        <v>116</v>
      </c>
      <c r="D81" s="158" t="s">
        <v>115</v>
      </c>
      <c r="E81" s="159">
        <v>6</v>
      </c>
      <c r="F81" s="163"/>
      <c r="G81" s="159"/>
      <c r="H81" s="161"/>
      <c r="I81" s="161"/>
      <c r="J81" s="162"/>
      <c r="K81" s="388">
        <f t="shared" si="14"/>
        <v>0</v>
      </c>
      <c r="L81" s="389">
        <f t="shared" si="15"/>
        <v>0</v>
      </c>
      <c r="M81" s="388">
        <f t="shared" si="16"/>
        <v>0</v>
      </c>
      <c r="N81" s="388">
        <f t="shared" si="17"/>
        <v>0</v>
      </c>
      <c r="O81" s="388">
        <f t="shared" si="18"/>
        <v>0</v>
      </c>
      <c r="P81" s="390">
        <f t="shared" si="19"/>
        <v>0</v>
      </c>
    </row>
    <row r="82" spans="1:16" s="61" customFormat="1" ht="25.5" x14ac:dyDescent="0.2">
      <c r="A82" s="369">
        <v>35</v>
      </c>
      <c r="B82" s="223" t="str">
        <f t="shared" si="13"/>
        <v>L.c.</v>
      </c>
      <c r="C82" s="157" t="s">
        <v>425</v>
      </c>
      <c r="D82" s="158" t="s">
        <v>115</v>
      </c>
      <c r="E82" s="164">
        <v>29</v>
      </c>
      <c r="F82" s="160"/>
      <c r="G82" s="159"/>
      <c r="H82" s="161"/>
      <c r="I82" s="161"/>
      <c r="J82" s="162"/>
      <c r="K82" s="388">
        <f t="shared" si="14"/>
        <v>0</v>
      </c>
      <c r="L82" s="389">
        <f t="shared" si="15"/>
        <v>0</v>
      </c>
      <c r="M82" s="388">
        <f t="shared" si="16"/>
        <v>0</v>
      </c>
      <c r="N82" s="388">
        <f t="shared" si="17"/>
        <v>0</v>
      </c>
      <c r="O82" s="388">
        <f t="shared" si="18"/>
        <v>0</v>
      </c>
      <c r="P82" s="390">
        <f t="shared" si="19"/>
        <v>0</v>
      </c>
    </row>
    <row r="83" spans="1:16" s="61" customFormat="1" ht="25.5" x14ac:dyDescent="0.2">
      <c r="A83" s="369">
        <v>36</v>
      </c>
      <c r="B83" s="223" t="str">
        <f t="shared" si="13"/>
        <v>L.c.</v>
      </c>
      <c r="C83" s="165" t="s">
        <v>426</v>
      </c>
      <c r="D83" s="158" t="s">
        <v>115</v>
      </c>
      <c r="E83" s="164">
        <v>3</v>
      </c>
      <c r="F83" s="160"/>
      <c r="G83" s="159"/>
      <c r="H83" s="161"/>
      <c r="I83" s="161"/>
      <c r="J83" s="162"/>
      <c r="K83" s="388">
        <f t="shared" si="14"/>
        <v>0</v>
      </c>
      <c r="L83" s="389">
        <f t="shared" si="15"/>
        <v>0</v>
      </c>
      <c r="M83" s="388">
        <f t="shared" si="16"/>
        <v>0</v>
      </c>
      <c r="N83" s="388">
        <f t="shared" si="17"/>
        <v>0</v>
      </c>
      <c r="O83" s="388">
        <f t="shared" si="18"/>
        <v>0</v>
      </c>
      <c r="P83" s="390">
        <f t="shared" si="19"/>
        <v>0</v>
      </c>
    </row>
    <row r="84" spans="1:16" s="61" customFormat="1" ht="25.5" x14ac:dyDescent="0.2">
      <c r="A84" s="369">
        <v>37</v>
      </c>
      <c r="B84" s="223" t="str">
        <f t="shared" si="13"/>
        <v>L.c.</v>
      </c>
      <c r="C84" s="157" t="s">
        <v>117</v>
      </c>
      <c r="D84" s="158" t="s">
        <v>115</v>
      </c>
      <c r="E84" s="164">
        <v>13</v>
      </c>
      <c r="F84" s="160"/>
      <c r="G84" s="159"/>
      <c r="H84" s="161"/>
      <c r="I84" s="161"/>
      <c r="J84" s="162"/>
      <c r="K84" s="388">
        <f t="shared" si="14"/>
        <v>0</v>
      </c>
      <c r="L84" s="389">
        <f t="shared" si="15"/>
        <v>0</v>
      </c>
      <c r="M84" s="388">
        <f t="shared" si="16"/>
        <v>0</v>
      </c>
      <c r="N84" s="388">
        <f t="shared" si="17"/>
        <v>0</v>
      </c>
      <c r="O84" s="388">
        <f t="shared" si="18"/>
        <v>0</v>
      </c>
      <c r="P84" s="390">
        <f t="shared" si="19"/>
        <v>0</v>
      </c>
    </row>
    <row r="85" spans="1:16" s="61" customFormat="1" ht="25.5" x14ac:dyDescent="0.2">
      <c r="A85" s="369">
        <v>38</v>
      </c>
      <c r="B85" s="223" t="str">
        <f t="shared" si="13"/>
        <v>L.c.</v>
      </c>
      <c r="C85" s="165" t="s">
        <v>118</v>
      </c>
      <c r="D85" s="158" t="s">
        <v>115</v>
      </c>
      <c r="E85" s="164">
        <v>3</v>
      </c>
      <c r="F85" s="160"/>
      <c r="G85" s="159"/>
      <c r="H85" s="161"/>
      <c r="I85" s="161"/>
      <c r="J85" s="162"/>
      <c r="K85" s="388">
        <f t="shared" si="14"/>
        <v>0</v>
      </c>
      <c r="L85" s="389">
        <f t="shared" si="15"/>
        <v>0</v>
      </c>
      <c r="M85" s="388">
        <f t="shared" si="16"/>
        <v>0</v>
      </c>
      <c r="N85" s="388">
        <f t="shared" si="17"/>
        <v>0</v>
      </c>
      <c r="O85" s="388">
        <f t="shared" si="18"/>
        <v>0</v>
      </c>
      <c r="P85" s="390">
        <f t="shared" si="19"/>
        <v>0</v>
      </c>
    </row>
    <row r="86" spans="1:16" s="61" customFormat="1" ht="25.5" x14ac:dyDescent="0.2">
      <c r="A86" s="369">
        <v>39</v>
      </c>
      <c r="B86" s="223" t="str">
        <f t="shared" si="13"/>
        <v>L.c.</v>
      </c>
      <c r="C86" s="175" t="s">
        <v>129</v>
      </c>
      <c r="D86" s="158" t="s">
        <v>78</v>
      </c>
      <c r="E86" s="159">
        <v>3.2</v>
      </c>
      <c r="F86" s="161"/>
      <c r="G86" s="159"/>
      <c r="H86" s="161"/>
      <c r="I86" s="161"/>
      <c r="J86" s="161"/>
      <c r="K86" s="388">
        <f t="shared" si="14"/>
        <v>0</v>
      </c>
      <c r="L86" s="389">
        <f t="shared" si="15"/>
        <v>0</v>
      </c>
      <c r="M86" s="388">
        <f t="shared" si="16"/>
        <v>0</v>
      </c>
      <c r="N86" s="388">
        <f t="shared" si="17"/>
        <v>0</v>
      </c>
      <c r="O86" s="388">
        <f t="shared" si="18"/>
        <v>0</v>
      </c>
      <c r="P86" s="390">
        <f t="shared" si="19"/>
        <v>0</v>
      </c>
    </row>
    <row r="87" spans="1:16" s="61" customFormat="1" ht="25.5" x14ac:dyDescent="0.2">
      <c r="A87" s="369">
        <v>40</v>
      </c>
      <c r="B87" s="223" t="str">
        <f t="shared" si="13"/>
        <v>L.c.</v>
      </c>
      <c r="C87" s="173" t="s">
        <v>128</v>
      </c>
      <c r="D87" s="158" t="s">
        <v>83</v>
      </c>
      <c r="E87" s="164">
        <v>47</v>
      </c>
      <c r="F87" s="161"/>
      <c r="G87" s="159"/>
      <c r="H87" s="161"/>
      <c r="I87" s="161"/>
      <c r="J87" s="161"/>
      <c r="K87" s="388">
        <f t="shared" si="14"/>
        <v>0</v>
      </c>
      <c r="L87" s="389">
        <f t="shared" si="15"/>
        <v>0</v>
      </c>
      <c r="M87" s="388">
        <f t="shared" si="16"/>
        <v>0</v>
      </c>
      <c r="N87" s="388">
        <f t="shared" si="17"/>
        <v>0</v>
      </c>
      <c r="O87" s="388">
        <f t="shared" si="18"/>
        <v>0</v>
      </c>
      <c r="P87" s="390">
        <f t="shared" si="19"/>
        <v>0</v>
      </c>
    </row>
    <row r="88" spans="1:16" s="61" customFormat="1" ht="25.5" x14ac:dyDescent="0.2">
      <c r="A88" s="369">
        <v>41</v>
      </c>
      <c r="B88" s="223" t="str">
        <f t="shared" si="13"/>
        <v>L.c.</v>
      </c>
      <c r="C88" s="173" t="s">
        <v>127</v>
      </c>
      <c r="D88" s="174" t="s">
        <v>83</v>
      </c>
      <c r="E88" s="172">
        <v>0.9</v>
      </c>
      <c r="F88" s="161"/>
      <c r="G88" s="159"/>
      <c r="H88" s="161"/>
      <c r="I88" s="161"/>
      <c r="J88" s="161"/>
      <c r="K88" s="388">
        <f t="shared" si="14"/>
        <v>0</v>
      </c>
      <c r="L88" s="389">
        <f t="shared" si="15"/>
        <v>0</v>
      </c>
      <c r="M88" s="388">
        <f t="shared" si="16"/>
        <v>0</v>
      </c>
      <c r="N88" s="388">
        <f t="shared" si="17"/>
        <v>0</v>
      </c>
      <c r="O88" s="388">
        <f t="shared" si="18"/>
        <v>0</v>
      </c>
      <c r="P88" s="390">
        <f t="shared" si="19"/>
        <v>0</v>
      </c>
    </row>
    <row r="89" spans="1:16" s="61" customFormat="1" ht="89.25" x14ac:dyDescent="0.2">
      <c r="A89" s="369">
        <v>42</v>
      </c>
      <c r="B89" s="223" t="str">
        <f t="shared" si="13"/>
        <v>L.c.</v>
      </c>
      <c r="C89" s="176" t="s">
        <v>130</v>
      </c>
      <c r="D89" s="158" t="s">
        <v>131</v>
      </c>
      <c r="E89" s="164">
        <v>481.67</v>
      </c>
      <c r="F89" s="177"/>
      <c r="G89" s="159"/>
      <c r="H89" s="161"/>
      <c r="I89" s="161"/>
      <c r="J89" s="161"/>
      <c r="K89" s="388">
        <f t="shared" si="14"/>
        <v>0</v>
      </c>
      <c r="L89" s="389">
        <f t="shared" si="15"/>
        <v>0</v>
      </c>
      <c r="M89" s="388">
        <f t="shared" si="16"/>
        <v>0</v>
      </c>
      <c r="N89" s="388">
        <f t="shared" si="17"/>
        <v>0</v>
      </c>
      <c r="O89" s="388">
        <f t="shared" si="18"/>
        <v>0</v>
      </c>
      <c r="P89" s="390">
        <f t="shared" si="19"/>
        <v>0</v>
      </c>
    </row>
    <row r="90" spans="1:16" s="61" customFormat="1" x14ac:dyDescent="0.2">
      <c r="A90" s="369">
        <v>0</v>
      </c>
      <c r="B90" s="223">
        <f t="shared" si="13"/>
        <v>0</v>
      </c>
      <c r="C90" s="178" t="s">
        <v>132</v>
      </c>
      <c r="D90" s="179" t="s">
        <v>131</v>
      </c>
      <c r="E90" s="180">
        <f>E89*1.15</f>
        <v>553.92049999999995</v>
      </c>
      <c r="F90" s="159"/>
      <c r="G90" s="159"/>
      <c r="H90" s="161"/>
      <c r="I90" s="161"/>
      <c r="J90" s="161"/>
      <c r="K90" s="388">
        <f t="shared" si="14"/>
        <v>0</v>
      </c>
      <c r="L90" s="389">
        <f t="shared" si="15"/>
        <v>0</v>
      </c>
      <c r="M90" s="388">
        <f t="shared" si="16"/>
        <v>0</v>
      </c>
      <c r="N90" s="388">
        <f t="shared" si="17"/>
        <v>0</v>
      </c>
      <c r="O90" s="388">
        <f t="shared" si="18"/>
        <v>0</v>
      </c>
      <c r="P90" s="390">
        <f t="shared" si="19"/>
        <v>0</v>
      </c>
    </row>
    <row r="91" spans="1:16" s="61" customFormat="1" ht="25.5" x14ac:dyDescent="0.2">
      <c r="A91" s="369">
        <v>0</v>
      </c>
      <c r="B91" s="223">
        <f t="shared" si="13"/>
        <v>0</v>
      </c>
      <c r="C91" s="181" t="s">
        <v>133</v>
      </c>
      <c r="D91" s="158" t="s">
        <v>66</v>
      </c>
      <c r="E91" s="182">
        <v>1</v>
      </c>
      <c r="F91" s="159"/>
      <c r="G91" s="159"/>
      <c r="H91" s="161"/>
      <c r="I91" s="161"/>
      <c r="J91" s="161"/>
      <c r="K91" s="388">
        <f t="shared" si="14"/>
        <v>0</v>
      </c>
      <c r="L91" s="389">
        <f t="shared" si="15"/>
        <v>0</v>
      </c>
      <c r="M91" s="388">
        <f t="shared" si="16"/>
        <v>0</v>
      </c>
      <c r="N91" s="388">
        <f t="shared" si="17"/>
        <v>0</v>
      </c>
      <c r="O91" s="388">
        <f t="shared" si="18"/>
        <v>0</v>
      </c>
      <c r="P91" s="390">
        <f t="shared" si="19"/>
        <v>0</v>
      </c>
    </row>
    <row r="92" spans="1:16" s="61" customFormat="1" ht="25.5" x14ac:dyDescent="0.2">
      <c r="A92" s="369">
        <v>43</v>
      </c>
      <c r="B92" s="223" t="str">
        <f t="shared" si="13"/>
        <v>L.c.</v>
      </c>
      <c r="C92" s="176" t="s">
        <v>157</v>
      </c>
      <c r="D92" s="179" t="s">
        <v>78</v>
      </c>
      <c r="E92" s="159">
        <v>5.65</v>
      </c>
      <c r="F92" s="159"/>
      <c r="G92" s="159"/>
      <c r="H92" s="161"/>
      <c r="I92" s="161"/>
      <c r="J92" s="161"/>
      <c r="K92" s="388">
        <f t="shared" si="14"/>
        <v>0</v>
      </c>
      <c r="L92" s="389">
        <f t="shared" si="15"/>
        <v>0</v>
      </c>
      <c r="M92" s="388">
        <f t="shared" si="16"/>
        <v>0</v>
      </c>
      <c r="N92" s="388">
        <f t="shared" si="17"/>
        <v>0</v>
      </c>
      <c r="O92" s="388">
        <f t="shared" si="18"/>
        <v>0</v>
      </c>
      <c r="P92" s="390">
        <f t="shared" si="19"/>
        <v>0</v>
      </c>
    </row>
    <row r="93" spans="1:16" s="61" customFormat="1" x14ac:dyDescent="0.2">
      <c r="A93" s="369">
        <v>0</v>
      </c>
      <c r="B93" s="223">
        <f t="shared" si="13"/>
        <v>0</v>
      </c>
      <c r="C93" s="183" t="s">
        <v>158</v>
      </c>
      <c r="D93" s="179" t="s">
        <v>78</v>
      </c>
      <c r="E93" s="184">
        <f>E92*1.05</f>
        <v>5.932500000000001</v>
      </c>
      <c r="F93" s="185"/>
      <c r="G93" s="159"/>
      <c r="H93" s="161"/>
      <c r="I93" s="161"/>
      <c r="J93" s="161"/>
      <c r="K93" s="388">
        <f t="shared" si="14"/>
        <v>0</v>
      </c>
      <c r="L93" s="389">
        <f t="shared" si="15"/>
        <v>0</v>
      </c>
      <c r="M93" s="388">
        <f t="shared" si="16"/>
        <v>0</v>
      </c>
      <c r="N93" s="388">
        <f t="shared" si="17"/>
        <v>0</v>
      </c>
      <c r="O93" s="388">
        <f t="shared" si="18"/>
        <v>0</v>
      </c>
      <c r="P93" s="390">
        <f t="shared" si="19"/>
        <v>0</v>
      </c>
    </row>
    <row r="94" spans="1:16" s="61" customFormat="1" x14ac:dyDescent="0.2">
      <c r="A94" s="369">
        <v>0</v>
      </c>
      <c r="B94" s="223">
        <f t="shared" si="13"/>
        <v>0</v>
      </c>
      <c r="C94" s="183" t="s">
        <v>136</v>
      </c>
      <c r="D94" s="179" t="s">
        <v>137</v>
      </c>
      <c r="E94" s="184">
        <f>E92*0.25</f>
        <v>1.4125000000000001</v>
      </c>
      <c r="F94" s="185"/>
      <c r="G94" s="159"/>
      <c r="H94" s="161"/>
      <c r="I94" s="154"/>
      <c r="J94" s="161"/>
      <c r="K94" s="388">
        <f t="shared" si="14"/>
        <v>0</v>
      </c>
      <c r="L94" s="389">
        <f t="shared" si="15"/>
        <v>0</v>
      </c>
      <c r="M94" s="388">
        <f t="shared" si="16"/>
        <v>0</v>
      </c>
      <c r="N94" s="388">
        <f t="shared" si="17"/>
        <v>0</v>
      </c>
      <c r="O94" s="388">
        <f t="shared" si="18"/>
        <v>0</v>
      </c>
      <c r="P94" s="390">
        <f t="shared" si="19"/>
        <v>0</v>
      </c>
    </row>
    <row r="95" spans="1:16" s="61" customFormat="1" ht="45" x14ac:dyDescent="0.2">
      <c r="A95" s="369">
        <v>44</v>
      </c>
      <c r="B95" s="223" t="str">
        <f t="shared" si="13"/>
        <v>L.c.</v>
      </c>
      <c r="C95" s="338" t="s">
        <v>170</v>
      </c>
      <c r="D95" s="315" t="s">
        <v>78</v>
      </c>
      <c r="E95" s="309">
        <v>1.83</v>
      </c>
      <c r="F95" s="309"/>
      <c r="G95" s="309"/>
      <c r="H95" s="310"/>
      <c r="I95" s="310"/>
      <c r="J95" s="310"/>
      <c r="K95" s="388">
        <f t="shared" si="14"/>
        <v>0</v>
      </c>
      <c r="L95" s="389">
        <f t="shared" si="15"/>
        <v>0</v>
      </c>
      <c r="M95" s="388">
        <f t="shared" si="16"/>
        <v>0</v>
      </c>
      <c r="N95" s="388">
        <f t="shared" si="17"/>
        <v>0</v>
      </c>
      <c r="O95" s="388">
        <f t="shared" si="18"/>
        <v>0</v>
      </c>
      <c r="P95" s="390">
        <f t="shared" si="19"/>
        <v>0</v>
      </c>
    </row>
    <row r="96" spans="1:16" s="61" customFormat="1" ht="15" x14ac:dyDescent="0.25">
      <c r="A96" s="369">
        <v>0</v>
      </c>
      <c r="B96" s="223">
        <f t="shared" si="13"/>
        <v>0</v>
      </c>
      <c r="C96" s="326" t="s">
        <v>171</v>
      </c>
      <c r="D96" s="315" t="s">
        <v>78</v>
      </c>
      <c r="E96" s="319">
        <f>E95*1.05</f>
        <v>1.9215000000000002</v>
      </c>
      <c r="F96" s="320"/>
      <c r="G96" s="309"/>
      <c r="H96" s="310"/>
      <c r="I96" s="310"/>
      <c r="J96" s="310"/>
      <c r="K96" s="388">
        <f t="shared" si="14"/>
        <v>0</v>
      </c>
      <c r="L96" s="389">
        <f t="shared" si="15"/>
        <v>0</v>
      </c>
      <c r="M96" s="388">
        <f t="shared" si="16"/>
        <v>0</v>
      </c>
      <c r="N96" s="388">
        <f t="shared" si="17"/>
        <v>0</v>
      </c>
      <c r="O96" s="388">
        <f t="shared" si="18"/>
        <v>0</v>
      </c>
      <c r="P96" s="390">
        <f t="shared" si="19"/>
        <v>0</v>
      </c>
    </row>
    <row r="97" spans="1:16" s="61" customFormat="1" x14ac:dyDescent="0.2">
      <c r="A97" s="369">
        <v>0</v>
      </c>
      <c r="B97" s="223">
        <f t="shared" si="13"/>
        <v>0</v>
      </c>
      <c r="C97" s="318" t="s">
        <v>136</v>
      </c>
      <c r="D97" s="315" t="s">
        <v>137</v>
      </c>
      <c r="E97" s="319">
        <f>E95*0.25</f>
        <v>0.45750000000000002</v>
      </c>
      <c r="F97" s="320"/>
      <c r="G97" s="309"/>
      <c r="H97" s="310"/>
      <c r="I97" s="321"/>
      <c r="J97" s="310"/>
      <c r="K97" s="388">
        <f t="shared" si="14"/>
        <v>0</v>
      </c>
      <c r="L97" s="389">
        <f t="shared" si="15"/>
        <v>0</v>
      </c>
      <c r="M97" s="388">
        <f t="shared" si="16"/>
        <v>0</v>
      </c>
      <c r="N97" s="388">
        <f t="shared" si="17"/>
        <v>0</v>
      </c>
      <c r="O97" s="388">
        <f t="shared" si="18"/>
        <v>0</v>
      </c>
      <c r="P97" s="390">
        <f t="shared" si="19"/>
        <v>0</v>
      </c>
    </row>
    <row r="98" spans="1:16" s="61" customFormat="1" ht="25.5" x14ac:dyDescent="0.2">
      <c r="A98" s="369">
        <v>45</v>
      </c>
      <c r="B98" s="223" t="str">
        <f t="shared" si="13"/>
        <v>L.c.</v>
      </c>
      <c r="C98" s="312" t="s">
        <v>138</v>
      </c>
      <c r="D98" s="315" t="s">
        <v>78</v>
      </c>
      <c r="E98" s="309">
        <v>0.66</v>
      </c>
      <c r="F98" s="309"/>
      <c r="G98" s="309"/>
      <c r="H98" s="310"/>
      <c r="I98" s="310"/>
      <c r="J98" s="310"/>
      <c r="K98" s="388">
        <f t="shared" si="14"/>
        <v>0</v>
      </c>
      <c r="L98" s="389">
        <f t="shared" si="15"/>
        <v>0</v>
      </c>
      <c r="M98" s="388">
        <f t="shared" si="16"/>
        <v>0</v>
      </c>
      <c r="N98" s="388">
        <f t="shared" si="17"/>
        <v>0</v>
      </c>
      <c r="O98" s="388">
        <f t="shared" si="18"/>
        <v>0</v>
      </c>
      <c r="P98" s="390">
        <f t="shared" si="19"/>
        <v>0</v>
      </c>
    </row>
    <row r="99" spans="1:16" s="61" customFormat="1" x14ac:dyDescent="0.2">
      <c r="A99" s="369">
        <v>0</v>
      </c>
      <c r="B99" s="223">
        <f t="shared" si="13"/>
        <v>0</v>
      </c>
      <c r="C99" s="318" t="s">
        <v>139</v>
      </c>
      <c r="D99" s="315" t="s">
        <v>78</v>
      </c>
      <c r="E99" s="319">
        <f>E98*1.05</f>
        <v>0.69300000000000006</v>
      </c>
      <c r="F99" s="320"/>
      <c r="G99" s="309"/>
      <c r="H99" s="310"/>
      <c r="I99" s="310"/>
      <c r="J99" s="310"/>
      <c r="K99" s="388">
        <f t="shared" si="14"/>
        <v>0</v>
      </c>
      <c r="L99" s="389">
        <f t="shared" si="15"/>
        <v>0</v>
      </c>
      <c r="M99" s="388">
        <f t="shared" si="16"/>
        <v>0</v>
      </c>
      <c r="N99" s="388">
        <f t="shared" si="17"/>
        <v>0</v>
      </c>
      <c r="O99" s="388">
        <f t="shared" si="18"/>
        <v>0</v>
      </c>
      <c r="P99" s="390">
        <f t="shared" si="19"/>
        <v>0</v>
      </c>
    </row>
    <row r="100" spans="1:16" s="61" customFormat="1" x14ac:dyDescent="0.2">
      <c r="A100" s="369">
        <v>0</v>
      </c>
      <c r="B100" s="223">
        <f t="shared" si="13"/>
        <v>0</v>
      </c>
      <c r="C100" s="318" t="s">
        <v>136</v>
      </c>
      <c r="D100" s="315" t="s">
        <v>137</v>
      </c>
      <c r="E100" s="319">
        <f>E98*0.25</f>
        <v>0.16500000000000001</v>
      </c>
      <c r="F100" s="320"/>
      <c r="G100" s="309"/>
      <c r="H100" s="310"/>
      <c r="I100" s="321"/>
      <c r="J100" s="310"/>
      <c r="K100" s="388">
        <f t="shared" si="14"/>
        <v>0</v>
      </c>
      <c r="L100" s="389">
        <f t="shared" si="15"/>
        <v>0</v>
      </c>
      <c r="M100" s="388">
        <f t="shared" si="16"/>
        <v>0</v>
      </c>
      <c r="N100" s="388">
        <f t="shared" si="17"/>
        <v>0</v>
      </c>
      <c r="O100" s="388">
        <f t="shared" si="18"/>
        <v>0</v>
      </c>
      <c r="P100" s="390">
        <f t="shared" si="19"/>
        <v>0</v>
      </c>
    </row>
    <row r="101" spans="1:16" s="61" customFormat="1" ht="25.5" x14ac:dyDescent="0.2">
      <c r="A101" s="369">
        <v>46</v>
      </c>
      <c r="B101" s="223" t="str">
        <f t="shared" si="13"/>
        <v>L.c.</v>
      </c>
      <c r="C101" s="186" t="s">
        <v>471</v>
      </c>
      <c r="D101" s="158" t="s">
        <v>57</v>
      </c>
      <c r="E101" s="158">
        <v>7</v>
      </c>
      <c r="F101" s="159"/>
      <c r="G101" s="159"/>
      <c r="H101" s="161"/>
      <c r="I101" s="161"/>
      <c r="J101" s="161"/>
      <c r="K101" s="388">
        <f t="shared" si="14"/>
        <v>0</v>
      </c>
      <c r="L101" s="389">
        <f t="shared" si="15"/>
        <v>0</v>
      </c>
      <c r="M101" s="388">
        <f t="shared" si="16"/>
        <v>0</v>
      </c>
      <c r="N101" s="388">
        <f t="shared" si="17"/>
        <v>0</v>
      </c>
      <c r="O101" s="388">
        <f t="shared" si="18"/>
        <v>0</v>
      </c>
      <c r="P101" s="390">
        <f t="shared" si="19"/>
        <v>0</v>
      </c>
    </row>
    <row r="102" spans="1:16" s="61" customFormat="1" ht="25.5" x14ac:dyDescent="0.2">
      <c r="A102" s="369">
        <v>47</v>
      </c>
      <c r="B102" s="223" t="str">
        <f t="shared" si="13"/>
        <v>L.c.</v>
      </c>
      <c r="C102" s="186" t="s">
        <v>472</v>
      </c>
      <c r="D102" s="158" t="s">
        <v>59</v>
      </c>
      <c r="E102" s="158">
        <v>8</v>
      </c>
      <c r="F102" s="159"/>
      <c r="G102" s="159"/>
      <c r="H102" s="161"/>
      <c r="I102" s="161"/>
      <c r="J102" s="161"/>
      <c r="K102" s="388">
        <f t="shared" si="14"/>
        <v>0</v>
      </c>
      <c r="L102" s="389">
        <f t="shared" si="15"/>
        <v>0</v>
      </c>
      <c r="M102" s="388">
        <f t="shared" si="16"/>
        <v>0</v>
      </c>
      <c r="N102" s="388">
        <f t="shared" si="17"/>
        <v>0</v>
      </c>
      <c r="O102" s="388">
        <f t="shared" si="18"/>
        <v>0</v>
      </c>
      <c r="P102" s="390">
        <f t="shared" si="19"/>
        <v>0</v>
      </c>
    </row>
    <row r="103" spans="1:16" s="61" customFormat="1" x14ac:dyDescent="0.2">
      <c r="A103" s="369">
        <v>0</v>
      </c>
      <c r="B103" s="156"/>
      <c r="C103" s="186"/>
      <c r="D103" s="158"/>
      <c r="E103" s="158"/>
      <c r="F103" s="159"/>
      <c r="G103" s="159"/>
      <c r="H103" s="161"/>
      <c r="I103" s="161"/>
      <c r="J103" s="161"/>
      <c r="K103" s="388">
        <f t="shared" si="14"/>
        <v>0</v>
      </c>
      <c r="L103" s="389">
        <f t="shared" si="15"/>
        <v>0</v>
      </c>
      <c r="M103" s="388">
        <f t="shared" si="16"/>
        <v>0</v>
      </c>
      <c r="N103" s="388">
        <f t="shared" si="17"/>
        <v>0</v>
      </c>
      <c r="O103" s="388">
        <f t="shared" si="18"/>
        <v>0</v>
      </c>
      <c r="P103" s="390">
        <f t="shared" si="19"/>
        <v>0</v>
      </c>
    </row>
    <row r="104" spans="1:16" s="61" customFormat="1" x14ac:dyDescent="0.2">
      <c r="A104" s="369">
        <v>0</v>
      </c>
      <c r="B104" s="156"/>
      <c r="C104" s="197" t="s">
        <v>473</v>
      </c>
      <c r="D104" s="158"/>
      <c r="E104" s="158"/>
      <c r="F104" s="159"/>
      <c r="G104" s="159"/>
      <c r="H104" s="161"/>
      <c r="I104" s="161"/>
      <c r="J104" s="161"/>
      <c r="K104" s="388">
        <f t="shared" si="14"/>
        <v>0</v>
      </c>
      <c r="L104" s="389">
        <f t="shared" si="15"/>
        <v>0</v>
      </c>
      <c r="M104" s="388">
        <f t="shared" si="16"/>
        <v>0</v>
      </c>
      <c r="N104" s="388">
        <f t="shared" si="17"/>
        <v>0</v>
      </c>
      <c r="O104" s="388">
        <f t="shared" si="18"/>
        <v>0</v>
      </c>
      <c r="P104" s="390">
        <f t="shared" si="19"/>
        <v>0</v>
      </c>
    </row>
    <row r="105" spans="1:16" s="61" customFormat="1" ht="25.5" x14ac:dyDescent="0.2">
      <c r="A105" s="369">
        <v>48</v>
      </c>
      <c r="B105" s="156" t="s">
        <v>55</v>
      </c>
      <c r="C105" s="157" t="s">
        <v>114</v>
      </c>
      <c r="D105" s="158" t="s">
        <v>115</v>
      </c>
      <c r="E105" s="159">
        <v>21</v>
      </c>
      <c r="F105" s="160"/>
      <c r="G105" s="159"/>
      <c r="H105" s="161"/>
      <c r="I105" s="161"/>
      <c r="J105" s="162"/>
      <c r="K105" s="388">
        <f t="shared" si="14"/>
        <v>0</v>
      </c>
      <c r="L105" s="389">
        <f t="shared" si="15"/>
        <v>0</v>
      </c>
      <c r="M105" s="388">
        <f t="shared" si="16"/>
        <v>0</v>
      </c>
      <c r="N105" s="388">
        <f t="shared" si="17"/>
        <v>0</v>
      </c>
      <c r="O105" s="388">
        <f t="shared" si="18"/>
        <v>0</v>
      </c>
      <c r="P105" s="390">
        <f t="shared" si="19"/>
        <v>0</v>
      </c>
    </row>
    <row r="106" spans="1:16" s="61" customFormat="1" x14ac:dyDescent="0.2">
      <c r="A106" s="369">
        <v>49</v>
      </c>
      <c r="B106" s="156" t="s">
        <v>55</v>
      </c>
      <c r="C106" s="157" t="s">
        <v>116</v>
      </c>
      <c r="D106" s="158" t="s">
        <v>115</v>
      </c>
      <c r="E106" s="159">
        <v>4</v>
      </c>
      <c r="F106" s="163"/>
      <c r="G106" s="159"/>
      <c r="H106" s="161"/>
      <c r="I106" s="161"/>
      <c r="J106" s="162"/>
      <c r="K106" s="388">
        <f t="shared" si="14"/>
        <v>0</v>
      </c>
      <c r="L106" s="389">
        <f t="shared" si="15"/>
        <v>0</v>
      </c>
      <c r="M106" s="388">
        <f t="shared" si="16"/>
        <v>0</v>
      </c>
      <c r="N106" s="388">
        <f t="shared" si="17"/>
        <v>0</v>
      </c>
      <c r="O106" s="388">
        <f t="shared" si="18"/>
        <v>0</v>
      </c>
      <c r="P106" s="390">
        <f t="shared" si="19"/>
        <v>0</v>
      </c>
    </row>
    <row r="107" spans="1:16" s="61" customFormat="1" ht="25.5" x14ac:dyDescent="0.2">
      <c r="A107" s="369">
        <v>50</v>
      </c>
      <c r="B107" s="156" t="s">
        <v>55</v>
      </c>
      <c r="C107" s="157" t="s">
        <v>425</v>
      </c>
      <c r="D107" s="158" t="s">
        <v>115</v>
      </c>
      <c r="E107" s="164">
        <v>18</v>
      </c>
      <c r="F107" s="160"/>
      <c r="G107" s="159"/>
      <c r="H107" s="161"/>
      <c r="I107" s="161"/>
      <c r="J107" s="162"/>
      <c r="K107" s="388">
        <f t="shared" si="14"/>
        <v>0</v>
      </c>
      <c r="L107" s="389">
        <f t="shared" si="15"/>
        <v>0</v>
      </c>
      <c r="M107" s="388">
        <f t="shared" si="16"/>
        <v>0</v>
      </c>
      <c r="N107" s="388">
        <f t="shared" si="17"/>
        <v>0</v>
      </c>
      <c r="O107" s="388">
        <f t="shared" si="18"/>
        <v>0</v>
      </c>
      <c r="P107" s="390">
        <f t="shared" si="19"/>
        <v>0</v>
      </c>
    </row>
    <row r="108" spans="1:16" s="61" customFormat="1" ht="25.5" x14ac:dyDescent="0.2">
      <c r="A108" s="369">
        <v>51</v>
      </c>
      <c r="B108" s="156" t="s">
        <v>55</v>
      </c>
      <c r="C108" s="165" t="s">
        <v>426</v>
      </c>
      <c r="D108" s="158" t="s">
        <v>115</v>
      </c>
      <c r="E108" s="164">
        <v>7</v>
      </c>
      <c r="F108" s="160"/>
      <c r="G108" s="159"/>
      <c r="H108" s="161"/>
      <c r="I108" s="161"/>
      <c r="J108" s="162"/>
      <c r="K108" s="388">
        <f t="shared" si="14"/>
        <v>0</v>
      </c>
      <c r="L108" s="389">
        <f t="shared" si="15"/>
        <v>0</v>
      </c>
      <c r="M108" s="388">
        <f t="shared" si="16"/>
        <v>0</v>
      </c>
      <c r="N108" s="388">
        <f t="shared" si="17"/>
        <v>0</v>
      </c>
      <c r="O108" s="388">
        <f t="shared" si="18"/>
        <v>0</v>
      </c>
      <c r="P108" s="390">
        <f t="shared" si="19"/>
        <v>0</v>
      </c>
    </row>
    <row r="109" spans="1:16" s="61" customFormat="1" ht="25.5" x14ac:dyDescent="0.2">
      <c r="A109" s="369">
        <v>52</v>
      </c>
      <c r="B109" s="156" t="s">
        <v>55</v>
      </c>
      <c r="C109" s="157" t="s">
        <v>117</v>
      </c>
      <c r="D109" s="158" t="s">
        <v>115</v>
      </c>
      <c r="E109" s="164">
        <v>10</v>
      </c>
      <c r="F109" s="160"/>
      <c r="G109" s="159"/>
      <c r="H109" s="161"/>
      <c r="I109" s="161"/>
      <c r="J109" s="162"/>
      <c r="K109" s="388">
        <f t="shared" si="14"/>
        <v>0</v>
      </c>
      <c r="L109" s="389">
        <f t="shared" si="15"/>
        <v>0</v>
      </c>
      <c r="M109" s="388">
        <f t="shared" si="16"/>
        <v>0</v>
      </c>
      <c r="N109" s="388">
        <f t="shared" si="17"/>
        <v>0</v>
      </c>
      <c r="O109" s="388">
        <f t="shared" si="18"/>
        <v>0</v>
      </c>
      <c r="P109" s="390">
        <f t="shared" si="19"/>
        <v>0</v>
      </c>
    </row>
    <row r="110" spans="1:16" s="61" customFormat="1" ht="25.5" x14ac:dyDescent="0.2">
      <c r="A110" s="369">
        <v>53</v>
      </c>
      <c r="B110" s="156" t="s">
        <v>55</v>
      </c>
      <c r="C110" s="165" t="s">
        <v>118</v>
      </c>
      <c r="D110" s="158" t="s">
        <v>115</v>
      </c>
      <c r="E110" s="164">
        <v>2</v>
      </c>
      <c r="F110" s="160"/>
      <c r="G110" s="159"/>
      <c r="H110" s="161"/>
      <c r="I110" s="161"/>
      <c r="J110" s="162"/>
      <c r="K110" s="388">
        <f t="shared" si="14"/>
        <v>0</v>
      </c>
      <c r="L110" s="389">
        <f t="shared" si="15"/>
        <v>0</v>
      </c>
      <c r="M110" s="388">
        <f t="shared" si="16"/>
        <v>0</v>
      </c>
      <c r="N110" s="388">
        <f t="shared" si="17"/>
        <v>0</v>
      </c>
      <c r="O110" s="388">
        <f t="shared" si="18"/>
        <v>0</v>
      </c>
      <c r="P110" s="390">
        <f t="shared" si="19"/>
        <v>0</v>
      </c>
    </row>
    <row r="111" spans="1:16" s="61" customFormat="1" ht="25.5" x14ac:dyDescent="0.2">
      <c r="A111" s="369">
        <v>54</v>
      </c>
      <c r="B111" s="281" t="s">
        <v>55</v>
      </c>
      <c r="C111" s="176" t="s">
        <v>128</v>
      </c>
      <c r="D111" s="182" t="s">
        <v>83</v>
      </c>
      <c r="E111" s="164">
        <v>42</v>
      </c>
      <c r="F111" s="167"/>
      <c r="G111" s="164"/>
      <c r="H111" s="167"/>
      <c r="I111" s="167"/>
      <c r="J111" s="167"/>
      <c r="K111" s="388">
        <f t="shared" si="14"/>
        <v>0</v>
      </c>
      <c r="L111" s="389">
        <f t="shared" si="15"/>
        <v>0</v>
      </c>
      <c r="M111" s="388">
        <f t="shared" si="16"/>
        <v>0</v>
      </c>
      <c r="N111" s="388">
        <f t="shared" si="17"/>
        <v>0</v>
      </c>
      <c r="O111" s="388">
        <f t="shared" si="18"/>
        <v>0</v>
      </c>
      <c r="P111" s="390">
        <f t="shared" si="19"/>
        <v>0</v>
      </c>
    </row>
    <row r="112" spans="1:16" s="61" customFormat="1" ht="25.5" x14ac:dyDescent="0.2">
      <c r="A112" s="369">
        <v>55</v>
      </c>
      <c r="B112" s="156" t="s">
        <v>55</v>
      </c>
      <c r="C112" s="173" t="s">
        <v>127</v>
      </c>
      <c r="D112" s="174" t="s">
        <v>83</v>
      </c>
      <c r="E112" s="172">
        <v>1.1000000000000001</v>
      </c>
      <c r="F112" s="161"/>
      <c r="G112" s="159"/>
      <c r="H112" s="161"/>
      <c r="I112" s="161"/>
      <c r="J112" s="161"/>
      <c r="K112" s="388">
        <f t="shared" si="14"/>
        <v>0</v>
      </c>
      <c r="L112" s="389">
        <f t="shared" si="15"/>
        <v>0</v>
      </c>
      <c r="M112" s="388">
        <f t="shared" si="16"/>
        <v>0</v>
      </c>
      <c r="N112" s="388">
        <f t="shared" si="17"/>
        <v>0</v>
      </c>
      <c r="O112" s="388">
        <f t="shared" si="18"/>
        <v>0</v>
      </c>
      <c r="P112" s="390">
        <f t="shared" si="19"/>
        <v>0</v>
      </c>
    </row>
    <row r="113" spans="1:16" s="61" customFormat="1" ht="89.25" x14ac:dyDescent="0.2">
      <c r="A113" s="369">
        <v>56</v>
      </c>
      <c r="B113" s="156" t="s">
        <v>126</v>
      </c>
      <c r="C113" s="176" t="s">
        <v>130</v>
      </c>
      <c r="D113" s="158" t="s">
        <v>131</v>
      </c>
      <c r="E113" s="164">
        <v>403.4</v>
      </c>
      <c r="F113" s="177"/>
      <c r="G113" s="159"/>
      <c r="H113" s="161"/>
      <c r="I113" s="161"/>
      <c r="J113" s="161"/>
      <c r="K113" s="388">
        <f t="shared" si="14"/>
        <v>0</v>
      </c>
      <c r="L113" s="389">
        <f t="shared" si="15"/>
        <v>0</v>
      </c>
      <c r="M113" s="388">
        <f t="shared" si="16"/>
        <v>0</v>
      </c>
      <c r="N113" s="388">
        <f t="shared" si="17"/>
        <v>0</v>
      </c>
      <c r="O113" s="388">
        <f t="shared" si="18"/>
        <v>0</v>
      </c>
      <c r="P113" s="390">
        <f t="shared" si="19"/>
        <v>0</v>
      </c>
    </row>
    <row r="114" spans="1:16" s="61" customFormat="1" x14ac:dyDescent="0.2">
      <c r="A114" s="369">
        <v>0</v>
      </c>
      <c r="B114" s="156"/>
      <c r="C114" s="178" t="s">
        <v>132</v>
      </c>
      <c r="D114" s="179" t="s">
        <v>131</v>
      </c>
      <c r="E114" s="180">
        <f>E113*1.15</f>
        <v>463.90999999999991</v>
      </c>
      <c r="F114" s="159"/>
      <c r="G114" s="159"/>
      <c r="H114" s="161"/>
      <c r="I114" s="161"/>
      <c r="J114" s="161"/>
      <c r="K114" s="388">
        <f t="shared" si="14"/>
        <v>0</v>
      </c>
      <c r="L114" s="389">
        <f t="shared" si="15"/>
        <v>0</v>
      </c>
      <c r="M114" s="388">
        <f t="shared" si="16"/>
        <v>0</v>
      </c>
      <c r="N114" s="388">
        <f t="shared" si="17"/>
        <v>0</v>
      </c>
      <c r="O114" s="388">
        <f t="shared" si="18"/>
        <v>0</v>
      </c>
      <c r="P114" s="390">
        <f t="shared" si="19"/>
        <v>0</v>
      </c>
    </row>
    <row r="115" spans="1:16" s="61" customFormat="1" ht="25.5" x14ac:dyDescent="0.2">
      <c r="A115" s="369">
        <v>0</v>
      </c>
      <c r="B115" s="156"/>
      <c r="C115" s="181" t="s">
        <v>133</v>
      </c>
      <c r="D115" s="158" t="s">
        <v>66</v>
      </c>
      <c r="E115" s="182">
        <v>1</v>
      </c>
      <c r="F115" s="159"/>
      <c r="G115" s="159"/>
      <c r="H115" s="161"/>
      <c r="I115" s="161"/>
      <c r="J115" s="161"/>
      <c r="K115" s="388">
        <f t="shared" si="14"/>
        <v>0</v>
      </c>
      <c r="L115" s="389">
        <f t="shared" si="15"/>
        <v>0</v>
      </c>
      <c r="M115" s="388">
        <f t="shared" si="16"/>
        <v>0</v>
      </c>
      <c r="N115" s="388">
        <f t="shared" si="17"/>
        <v>0</v>
      </c>
      <c r="O115" s="388">
        <f t="shared" si="18"/>
        <v>0</v>
      </c>
      <c r="P115" s="390">
        <f t="shared" si="19"/>
        <v>0</v>
      </c>
    </row>
    <row r="116" spans="1:16" s="61" customFormat="1" ht="25.5" x14ac:dyDescent="0.2">
      <c r="A116" s="369">
        <v>57</v>
      </c>
      <c r="B116" s="156" t="s">
        <v>126</v>
      </c>
      <c r="C116" s="176" t="s">
        <v>157</v>
      </c>
      <c r="D116" s="179" t="s">
        <v>78</v>
      </c>
      <c r="E116" s="159">
        <v>5.36</v>
      </c>
      <c r="F116" s="159"/>
      <c r="G116" s="159"/>
      <c r="H116" s="161"/>
      <c r="I116" s="161"/>
      <c r="J116" s="161"/>
      <c r="K116" s="388">
        <f t="shared" si="14"/>
        <v>0</v>
      </c>
      <c r="L116" s="389">
        <f t="shared" si="15"/>
        <v>0</v>
      </c>
      <c r="M116" s="388">
        <f t="shared" si="16"/>
        <v>0</v>
      </c>
      <c r="N116" s="388">
        <f t="shared" si="17"/>
        <v>0</v>
      </c>
      <c r="O116" s="388">
        <f t="shared" si="18"/>
        <v>0</v>
      </c>
      <c r="P116" s="390">
        <f t="shared" si="19"/>
        <v>0</v>
      </c>
    </row>
    <row r="117" spans="1:16" s="61" customFormat="1" x14ac:dyDescent="0.2">
      <c r="A117" s="369">
        <v>0</v>
      </c>
      <c r="B117" s="151"/>
      <c r="C117" s="183" t="s">
        <v>158</v>
      </c>
      <c r="D117" s="179" t="s">
        <v>78</v>
      </c>
      <c r="E117" s="184">
        <f>E116*1.05</f>
        <v>5.628000000000001</v>
      </c>
      <c r="F117" s="185"/>
      <c r="G117" s="159"/>
      <c r="H117" s="161"/>
      <c r="I117" s="161"/>
      <c r="J117" s="161"/>
      <c r="K117" s="388">
        <f t="shared" si="14"/>
        <v>0</v>
      </c>
      <c r="L117" s="389">
        <f t="shared" si="15"/>
        <v>0</v>
      </c>
      <c r="M117" s="388">
        <f t="shared" si="16"/>
        <v>0</v>
      </c>
      <c r="N117" s="388">
        <f t="shared" si="17"/>
        <v>0</v>
      </c>
      <c r="O117" s="388">
        <f t="shared" si="18"/>
        <v>0</v>
      </c>
      <c r="P117" s="390">
        <f t="shared" si="19"/>
        <v>0</v>
      </c>
    </row>
    <row r="118" spans="1:16" s="61" customFormat="1" x14ac:dyDescent="0.2">
      <c r="A118" s="369">
        <v>0</v>
      </c>
      <c r="B118" s="151"/>
      <c r="C118" s="183" t="s">
        <v>136</v>
      </c>
      <c r="D118" s="179" t="s">
        <v>137</v>
      </c>
      <c r="E118" s="184">
        <f>E116*0.25</f>
        <v>1.34</v>
      </c>
      <c r="F118" s="185"/>
      <c r="G118" s="159"/>
      <c r="H118" s="161"/>
      <c r="I118" s="154"/>
      <c r="J118" s="161"/>
      <c r="K118" s="388">
        <f t="shared" si="14"/>
        <v>0</v>
      </c>
      <c r="L118" s="389">
        <f t="shared" si="15"/>
        <v>0</v>
      </c>
      <c r="M118" s="388">
        <f t="shared" si="16"/>
        <v>0</v>
      </c>
      <c r="N118" s="388">
        <f t="shared" si="17"/>
        <v>0</v>
      </c>
      <c r="O118" s="388">
        <f t="shared" si="18"/>
        <v>0</v>
      </c>
      <c r="P118" s="390">
        <f t="shared" si="19"/>
        <v>0</v>
      </c>
    </row>
    <row r="119" spans="1:16" s="61" customFormat="1" ht="45" x14ac:dyDescent="0.2">
      <c r="A119" s="369">
        <v>58</v>
      </c>
      <c r="B119" s="348"/>
      <c r="C119" s="338" t="s">
        <v>170</v>
      </c>
      <c r="D119" s="315" t="s">
        <v>78</v>
      </c>
      <c r="E119" s="309">
        <v>1.44</v>
      </c>
      <c r="F119" s="309"/>
      <c r="G119" s="309"/>
      <c r="H119" s="310"/>
      <c r="I119" s="310"/>
      <c r="J119" s="310"/>
      <c r="K119" s="391">
        <f t="shared" si="14"/>
        <v>0</v>
      </c>
      <c r="L119" s="392">
        <f t="shared" si="15"/>
        <v>0</v>
      </c>
      <c r="M119" s="391">
        <f t="shared" si="16"/>
        <v>0</v>
      </c>
      <c r="N119" s="391">
        <f t="shared" si="17"/>
        <v>0</v>
      </c>
      <c r="O119" s="391">
        <f t="shared" si="18"/>
        <v>0</v>
      </c>
      <c r="P119" s="393">
        <f t="shared" si="19"/>
        <v>0</v>
      </c>
    </row>
    <row r="120" spans="1:16" s="61" customFormat="1" ht="15" x14ac:dyDescent="0.25">
      <c r="A120" s="369">
        <v>0</v>
      </c>
      <c r="B120" s="348"/>
      <c r="C120" s="326" t="s">
        <v>171</v>
      </c>
      <c r="D120" s="315" t="s">
        <v>78</v>
      </c>
      <c r="E120" s="319">
        <f>E119*1.05</f>
        <v>1.512</v>
      </c>
      <c r="F120" s="320"/>
      <c r="G120" s="309"/>
      <c r="H120" s="310"/>
      <c r="I120" s="310"/>
      <c r="J120" s="310"/>
      <c r="K120" s="391">
        <f t="shared" si="14"/>
        <v>0</v>
      </c>
      <c r="L120" s="392">
        <f t="shared" si="15"/>
        <v>0</v>
      </c>
      <c r="M120" s="391">
        <f t="shared" si="16"/>
        <v>0</v>
      </c>
      <c r="N120" s="391">
        <f t="shared" si="17"/>
        <v>0</v>
      </c>
      <c r="O120" s="391">
        <f t="shared" si="18"/>
        <v>0</v>
      </c>
      <c r="P120" s="393">
        <f t="shared" si="19"/>
        <v>0</v>
      </c>
    </row>
    <row r="121" spans="1:16" s="61" customFormat="1" x14ac:dyDescent="0.2">
      <c r="A121" s="369">
        <v>0</v>
      </c>
      <c r="B121" s="348"/>
      <c r="C121" s="318" t="s">
        <v>136</v>
      </c>
      <c r="D121" s="315" t="s">
        <v>137</v>
      </c>
      <c r="E121" s="319">
        <f>E119*0.25</f>
        <v>0.36</v>
      </c>
      <c r="F121" s="320"/>
      <c r="G121" s="309"/>
      <c r="H121" s="310"/>
      <c r="I121" s="321"/>
      <c r="J121" s="310"/>
      <c r="K121" s="391">
        <f t="shared" si="14"/>
        <v>0</v>
      </c>
      <c r="L121" s="392">
        <f t="shared" si="15"/>
        <v>0</v>
      </c>
      <c r="M121" s="391">
        <f t="shared" si="16"/>
        <v>0</v>
      </c>
      <c r="N121" s="391">
        <f t="shared" si="17"/>
        <v>0</v>
      </c>
      <c r="O121" s="391">
        <f t="shared" si="18"/>
        <v>0</v>
      </c>
      <c r="P121" s="393">
        <f t="shared" si="19"/>
        <v>0</v>
      </c>
    </row>
    <row r="122" spans="1:16" s="61" customFormat="1" ht="25.5" x14ac:dyDescent="0.2">
      <c r="A122" s="369">
        <v>59</v>
      </c>
      <c r="B122" s="339" t="s">
        <v>126</v>
      </c>
      <c r="C122" s="312" t="s">
        <v>138</v>
      </c>
      <c r="D122" s="315" t="s">
        <v>78</v>
      </c>
      <c r="E122" s="309">
        <v>0.63</v>
      </c>
      <c r="F122" s="309"/>
      <c r="G122" s="309"/>
      <c r="H122" s="310"/>
      <c r="I122" s="310"/>
      <c r="J122" s="310"/>
      <c r="K122" s="391">
        <f t="shared" si="14"/>
        <v>0</v>
      </c>
      <c r="L122" s="392">
        <f t="shared" si="15"/>
        <v>0</v>
      </c>
      <c r="M122" s="391">
        <f t="shared" si="16"/>
        <v>0</v>
      </c>
      <c r="N122" s="391">
        <f t="shared" si="17"/>
        <v>0</v>
      </c>
      <c r="O122" s="391">
        <f t="shared" si="18"/>
        <v>0</v>
      </c>
      <c r="P122" s="393">
        <f t="shared" si="19"/>
        <v>0</v>
      </c>
    </row>
    <row r="123" spans="1:16" s="61" customFormat="1" x14ac:dyDescent="0.2">
      <c r="A123" s="369">
        <v>0</v>
      </c>
      <c r="B123" s="348"/>
      <c r="C123" s="318" t="s">
        <v>139</v>
      </c>
      <c r="D123" s="315" t="s">
        <v>78</v>
      </c>
      <c r="E123" s="319">
        <f>E122*1.05</f>
        <v>0.66150000000000009</v>
      </c>
      <c r="F123" s="320"/>
      <c r="G123" s="309"/>
      <c r="H123" s="310"/>
      <c r="I123" s="310"/>
      <c r="J123" s="310"/>
      <c r="K123" s="391">
        <f t="shared" si="14"/>
        <v>0</v>
      </c>
      <c r="L123" s="392">
        <f t="shared" si="15"/>
        <v>0</v>
      </c>
      <c r="M123" s="391">
        <f t="shared" si="16"/>
        <v>0</v>
      </c>
      <c r="N123" s="391">
        <f t="shared" si="17"/>
        <v>0</v>
      </c>
      <c r="O123" s="391">
        <f t="shared" si="18"/>
        <v>0</v>
      </c>
      <c r="P123" s="393">
        <f t="shared" si="19"/>
        <v>0</v>
      </c>
    </row>
    <row r="124" spans="1:16" s="61" customFormat="1" x14ac:dyDescent="0.2">
      <c r="A124" s="369">
        <v>0</v>
      </c>
      <c r="B124" s="348"/>
      <c r="C124" s="318" t="s">
        <v>136</v>
      </c>
      <c r="D124" s="315" t="s">
        <v>137</v>
      </c>
      <c r="E124" s="319">
        <f>E122*0.25</f>
        <v>0.1575</v>
      </c>
      <c r="F124" s="320"/>
      <c r="G124" s="309"/>
      <c r="H124" s="310"/>
      <c r="I124" s="321"/>
      <c r="J124" s="310"/>
      <c r="K124" s="391">
        <f t="shared" si="14"/>
        <v>0</v>
      </c>
      <c r="L124" s="392">
        <f t="shared" si="15"/>
        <v>0</v>
      </c>
      <c r="M124" s="391">
        <f t="shared" si="16"/>
        <v>0</v>
      </c>
      <c r="N124" s="391">
        <f t="shared" si="17"/>
        <v>0</v>
      </c>
      <c r="O124" s="391">
        <f t="shared" si="18"/>
        <v>0</v>
      </c>
      <c r="P124" s="393">
        <f t="shared" si="19"/>
        <v>0</v>
      </c>
    </row>
    <row r="125" spans="1:16" s="61" customFormat="1" ht="25.5" x14ac:dyDescent="0.2">
      <c r="A125" s="369">
        <v>60</v>
      </c>
      <c r="B125" s="339"/>
      <c r="C125" s="327" t="s">
        <v>471</v>
      </c>
      <c r="D125" s="308" t="s">
        <v>57</v>
      </c>
      <c r="E125" s="308">
        <v>5.7</v>
      </c>
      <c r="F125" s="309"/>
      <c r="G125" s="309"/>
      <c r="H125" s="310"/>
      <c r="I125" s="310"/>
      <c r="J125" s="310"/>
      <c r="K125" s="391">
        <f t="shared" si="14"/>
        <v>0</v>
      </c>
      <c r="L125" s="392">
        <f t="shared" si="15"/>
        <v>0</v>
      </c>
      <c r="M125" s="391">
        <f t="shared" si="16"/>
        <v>0</v>
      </c>
      <c r="N125" s="391">
        <f t="shared" si="17"/>
        <v>0</v>
      </c>
      <c r="O125" s="391">
        <f t="shared" si="18"/>
        <v>0</v>
      </c>
      <c r="P125" s="393">
        <f t="shared" si="19"/>
        <v>0</v>
      </c>
    </row>
    <row r="126" spans="1:16" s="61" customFormat="1" ht="25.5" x14ac:dyDescent="0.2">
      <c r="A126" s="369">
        <v>61</v>
      </c>
      <c r="B126" s="339"/>
      <c r="C126" s="327" t="s">
        <v>472</v>
      </c>
      <c r="D126" s="308" t="s">
        <v>59</v>
      </c>
      <c r="E126" s="308">
        <v>11</v>
      </c>
      <c r="F126" s="309"/>
      <c r="G126" s="309"/>
      <c r="H126" s="310"/>
      <c r="I126" s="310"/>
      <c r="J126" s="310"/>
      <c r="K126" s="391">
        <f t="shared" si="14"/>
        <v>0</v>
      </c>
      <c r="L126" s="392">
        <f t="shared" si="15"/>
        <v>0</v>
      </c>
      <c r="M126" s="391">
        <f t="shared" si="16"/>
        <v>0</v>
      </c>
      <c r="N126" s="391">
        <f t="shared" si="17"/>
        <v>0</v>
      </c>
      <c r="O126" s="391">
        <f t="shared" si="18"/>
        <v>0</v>
      </c>
      <c r="P126" s="393">
        <f t="shared" si="19"/>
        <v>0</v>
      </c>
    </row>
    <row r="127" spans="1:16" s="61" customFormat="1" ht="15" x14ac:dyDescent="0.25">
      <c r="A127" s="369">
        <v>0</v>
      </c>
      <c r="B127" s="339"/>
      <c r="C127" s="394"/>
      <c r="D127" s="394"/>
      <c r="E127" s="394"/>
      <c r="F127" s="394"/>
      <c r="G127" s="394"/>
      <c r="H127" s="394"/>
      <c r="I127" s="394"/>
      <c r="J127" s="394"/>
      <c r="K127" s="394"/>
      <c r="L127" s="394"/>
      <c r="M127" s="394"/>
      <c r="N127" s="394"/>
      <c r="O127" s="394"/>
      <c r="P127" s="395"/>
    </row>
    <row r="128" spans="1:16" s="61" customFormat="1" x14ac:dyDescent="0.2">
      <c r="A128" s="369">
        <v>0</v>
      </c>
      <c r="B128" s="339"/>
      <c r="C128" s="197" t="s">
        <v>770</v>
      </c>
      <c r="D128" s="308"/>
      <c r="E128" s="308"/>
      <c r="F128" s="309"/>
      <c r="G128" s="309"/>
      <c r="H128" s="310"/>
      <c r="I128" s="310"/>
      <c r="J128" s="310"/>
      <c r="K128" s="391">
        <f t="shared" si="14"/>
        <v>0</v>
      </c>
      <c r="L128" s="392">
        <f t="shared" si="15"/>
        <v>0</v>
      </c>
      <c r="M128" s="391">
        <f t="shared" si="16"/>
        <v>0</v>
      </c>
      <c r="N128" s="391">
        <f t="shared" si="17"/>
        <v>0</v>
      </c>
      <c r="O128" s="391">
        <f t="shared" si="18"/>
        <v>0</v>
      </c>
      <c r="P128" s="393">
        <f t="shared" si="19"/>
        <v>0</v>
      </c>
    </row>
    <row r="129" spans="1:16" s="61" customFormat="1" x14ac:dyDescent="0.2">
      <c r="A129" s="369">
        <v>62</v>
      </c>
      <c r="B129" s="339" t="s">
        <v>55</v>
      </c>
      <c r="C129" s="341" t="s">
        <v>116</v>
      </c>
      <c r="D129" s="308" t="s">
        <v>115</v>
      </c>
      <c r="E129" s="309">
        <v>6</v>
      </c>
      <c r="F129" s="344"/>
      <c r="G129" s="309"/>
      <c r="H129" s="310"/>
      <c r="I129" s="310"/>
      <c r="J129" s="343"/>
      <c r="K129" s="391">
        <f t="shared" si="14"/>
        <v>0</v>
      </c>
      <c r="L129" s="392">
        <f t="shared" si="15"/>
        <v>0</v>
      </c>
      <c r="M129" s="391">
        <f t="shared" si="16"/>
        <v>0</v>
      </c>
      <c r="N129" s="391">
        <f t="shared" si="17"/>
        <v>0</v>
      </c>
      <c r="O129" s="391">
        <f t="shared" si="18"/>
        <v>0</v>
      </c>
      <c r="P129" s="393">
        <f t="shared" si="19"/>
        <v>0</v>
      </c>
    </row>
    <row r="130" spans="1:16" s="61" customFormat="1" ht="30" x14ac:dyDescent="0.2">
      <c r="A130" s="369">
        <v>63</v>
      </c>
      <c r="B130" s="339" t="s">
        <v>55</v>
      </c>
      <c r="C130" s="372" t="s">
        <v>474</v>
      </c>
      <c r="D130" s="308" t="s">
        <v>115</v>
      </c>
      <c r="E130" s="309">
        <v>2.8</v>
      </c>
      <c r="F130" s="342"/>
      <c r="G130" s="309"/>
      <c r="H130" s="310"/>
      <c r="I130" s="310"/>
      <c r="J130" s="343"/>
      <c r="K130" s="391">
        <f t="shared" si="14"/>
        <v>0</v>
      </c>
      <c r="L130" s="392">
        <f t="shared" si="15"/>
        <v>0</v>
      </c>
      <c r="M130" s="391">
        <f t="shared" si="16"/>
        <v>0</v>
      </c>
      <c r="N130" s="391">
        <f t="shared" si="17"/>
        <v>0</v>
      </c>
      <c r="O130" s="391">
        <f t="shared" si="18"/>
        <v>0</v>
      </c>
      <c r="P130" s="393">
        <f t="shared" si="19"/>
        <v>0</v>
      </c>
    </row>
    <row r="131" spans="1:16" s="61" customFormat="1" ht="25.5" x14ac:dyDescent="0.2">
      <c r="A131" s="369">
        <v>64</v>
      </c>
      <c r="B131" s="339" t="s">
        <v>55</v>
      </c>
      <c r="C131" s="312" t="s">
        <v>128</v>
      </c>
      <c r="D131" s="308" t="s">
        <v>83</v>
      </c>
      <c r="E131" s="309">
        <f>8*0.5*2</f>
        <v>8</v>
      </c>
      <c r="F131" s="310"/>
      <c r="G131" s="309"/>
      <c r="H131" s="310"/>
      <c r="I131" s="310"/>
      <c r="J131" s="310"/>
      <c r="K131" s="391">
        <f t="shared" si="14"/>
        <v>0</v>
      </c>
      <c r="L131" s="392">
        <f t="shared" si="15"/>
        <v>0</v>
      </c>
      <c r="M131" s="391">
        <f t="shared" si="16"/>
        <v>0</v>
      </c>
      <c r="N131" s="391">
        <f t="shared" si="17"/>
        <v>0</v>
      </c>
      <c r="O131" s="391">
        <f t="shared" si="18"/>
        <v>0</v>
      </c>
      <c r="P131" s="393">
        <f t="shared" si="19"/>
        <v>0</v>
      </c>
    </row>
    <row r="132" spans="1:16" s="61" customFormat="1" ht="25.5" x14ac:dyDescent="0.2">
      <c r="A132" s="369">
        <v>65</v>
      </c>
      <c r="B132" s="339" t="s">
        <v>55</v>
      </c>
      <c r="C132" s="311" t="s">
        <v>127</v>
      </c>
      <c r="D132" s="346" t="s">
        <v>83</v>
      </c>
      <c r="E132" s="347">
        <v>9</v>
      </c>
      <c r="F132" s="310"/>
      <c r="G132" s="309"/>
      <c r="H132" s="310"/>
      <c r="I132" s="310"/>
      <c r="J132" s="310"/>
      <c r="K132" s="391">
        <f t="shared" si="14"/>
        <v>0</v>
      </c>
      <c r="L132" s="392">
        <f t="shared" si="15"/>
        <v>0</v>
      </c>
      <c r="M132" s="391">
        <f t="shared" si="16"/>
        <v>0</v>
      </c>
      <c r="N132" s="391">
        <f t="shared" si="17"/>
        <v>0</v>
      </c>
      <c r="O132" s="391">
        <f t="shared" si="18"/>
        <v>0</v>
      </c>
      <c r="P132" s="393">
        <f t="shared" si="19"/>
        <v>0</v>
      </c>
    </row>
    <row r="133" spans="1:16" s="61" customFormat="1" ht="89.25" x14ac:dyDescent="0.2">
      <c r="A133" s="369">
        <v>66</v>
      </c>
      <c r="B133" s="339" t="s">
        <v>126</v>
      </c>
      <c r="C133" s="312" t="s">
        <v>130</v>
      </c>
      <c r="D133" s="308" t="s">
        <v>131</v>
      </c>
      <c r="E133" s="309">
        <f>124.75+83.08+1.75</f>
        <v>209.57999999999998</v>
      </c>
      <c r="F133" s="313"/>
      <c r="G133" s="309"/>
      <c r="H133" s="310"/>
      <c r="I133" s="310"/>
      <c r="J133" s="310"/>
      <c r="K133" s="391">
        <f t="shared" ref="K133:K214" si="21">SUM(H133:J133)</f>
        <v>0</v>
      </c>
      <c r="L133" s="392">
        <f t="shared" ref="L133:L214" si="22">ROUND(F133*E133,2)</f>
        <v>0</v>
      </c>
      <c r="M133" s="391">
        <f t="shared" ref="M133:M214" si="23">ROUND(H133*E133,2)</f>
        <v>0</v>
      </c>
      <c r="N133" s="391">
        <f t="shared" ref="N133:N214" si="24">ROUND(I133*E133,2)</f>
        <v>0</v>
      </c>
      <c r="O133" s="391">
        <f t="shared" ref="O133:O214" si="25">ROUND(J133*E133,2)</f>
        <v>0</v>
      </c>
      <c r="P133" s="393">
        <f t="shared" ref="P133:P214" si="26">SUM(M133:O133)</f>
        <v>0</v>
      </c>
    </row>
    <row r="134" spans="1:16" s="61" customFormat="1" x14ac:dyDescent="0.2">
      <c r="A134" s="369">
        <v>0</v>
      </c>
      <c r="B134" s="339"/>
      <c r="C134" s="314" t="s">
        <v>132</v>
      </c>
      <c r="D134" s="315" t="s">
        <v>131</v>
      </c>
      <c r="E134" s="316">
        <f>E133*1.15</f>
        <v>241.01699999999997</v>
      </c>
      <c r="F134" s="309"/>
      <c r="G134" s="309"/>
      <c r="H134" s="310"/>
      <c r="I134" s="310"/>
      <c r="J134" s="310"/>
      <c r="K134" s="391">
        <f t="shared" si="21"/>
        <v>0</v>
      </c>
      <c r="L134" s="392">
        <f t="shared" si="22"/>
        <v>0</v>
      </c>
      <c r="M134" s="391">
        <f t="shared" si="23"/>
        <v>0</v>
      </c>
      <c r="N134" s="391">
        <f t="shared" si="24"/>
        <v>0</v>
      </c>
      <c r="O134" s="391">
        <f t="shared" si="25"/>
        <v>0</v>
      </c>
      <c r="P134" s="393">
        <f t="shared" si="26"/>
        <v>0</v>
      </c>
    </row>
    <row r="135" spans="1:16" s="61" customFormat="1" ht="25.5" x14ac:dyDescent="0.2">
      <c r="A135" s="369">
        <v>0</v>
      </c>
      <c r="B135" s="339"/>
      <c r="C135" s="317" t="s">
        <v>133</v>
      </c>
      <c r="D135" s="308" t="s">
        <v>66</v>
      </c>
      <c r="E135" s="308">
        <v>1</v>
      </c>
      <c r="F135" s="309"/>
      <c r="G135" s="309"/>
      <c r="H135" s="310"/>
      <c r="I135" s="310"/>
      <c r="J135" s="310"/>
      <c r="K135" s="391">
        <f t="shared" si="21"/>
        <v>0</v>
      </c>
      <c r="L135" s="392">
        <f t="shared" si="22"/>
        <v>0</v>
      </c>
      <c r="M135" s="391">
        <f t="shared" si="23"/>
        <v>0</v>
      </c>
      <c r="N135" s="391">
        <f t="shared" si="24"/>
        <v>0</v>
      </c>
      <c r="O135" s="391">
        <f t="shared" si="25"/>
        <v>0</v>
      </c>
      <c r="P135" s="393">
        <f t="shared" si="26"/>
        <v>0</v>
      </c>
    </row>
    <row r="136" spans="1:16" s="61" customFormat="1" ht="50.25" customHeight="1" x14ac:dyDescent="0.2">
      <c r="A136" s="369">
        <v>67</v>
      </c>
      <c r="B136" s="339" t="s">
        <v>126</v>
      </c>
      <c r="C136" s="312" t="s">
        <v>170</v>
      </c>
      <c r="D136" s="315" t="s">
        <v>78</v>
      </c>
      <c r="E136" s="309">
        <v>3.67</v>
      </c>
      <c r="F136" s="309"/>
      <c r="G136" s="309"/>
      <c r="H136" s="310"/>
      <c r="I136" s="310"/>
      <c r="J136" s="310"/>
      <c r="K136" s="391">
        <f t="shared" si="21"/>
        <v>0</v>
      </c>
      <c r="L136" s="392">
        <f t="shared" si="22"/>
        <v>0</v>
      </c>
      <c r="M136" s="391">
        <f t="shared" si="23"/>
        <v>0</v>
      </c>
      <c r="N136" s="391">
        <f t="shared" si="24"/>
        <v>0</v>
      </c>
      <c r="O136" s="391">
        <f t="shared" si="25"/>
        <v>0</v>
      </c>
      <c r="P136" s="393">
        <f t="shared" si="26"/>
        <v>0</v>
      </c>
    </row>
    <row r="137" spans="1:16" s="61" customFormat="1" x14ac:dyDescent="0.2">
      <c r="A137" s="369">
        <v>0</v>
      </c>
      <c r="B137" s="348"/>
      <c r="C137" s="318" t="s">
        <v>171</v>
      </c>
      <c r="D137" s="315" t="s">
        <v>78</v>
      </c>
      <c r="E137" s="319">
        <f>E136*1.05</f>
        <v>3.8534999999999999</v>
      </c>
      <c r="F137" s="320"/>
      <c r="G137" s="309"/>
      <c r="H137" s="310"/>
      <c r="I137" s="310"/>
      <c r="J137" s="310"/>
      <c r="K137" s="391">
        <f t="shared" si="21"/>
        <v>0</v>
      </c>
      <c r="L137" s="392">
        <f t="shared" si="22"/>
        <v>0</v>
      </c>
      <c r="M137" s="391">
        <f t="shared" si="23"/>
        <v>0</v>
      </c>
      <c r="N137" s="391">
        <f t="shared" si="24"/>
        <v>0</v>
      </c>
      <c r="O137" s="391">
        <f t="shared" si="25"/>
        <v>0</v>
      </c>
      <c r="P137" s="393">
        <f t="shared" si="26"/>
        <v>0</v>
      </c>
    </row>
    <row r="138" spans="1:16" s="61" customFormat="1" x14ac:dyDescent="0.2">
      <c r="A138" s="369">
        <v>0</v>
      </c>
      <c r="B138" s="348"/>
      <c r="C138" s="318" t="s">
        <v>136</v>
      </c>
      <c r="D138" s="315" t="s">
        <v>137</v>
      </c>
      <c r="E138" s="319">
        <f>E136*0.25</f>
        <v>0.91749999999999998</v>
      </c>
      <c r="F138" s="320"/>
      <c r="G138" s="309"/>
      <c r="H138" s="310"/>
      <c r="I138" s="321"/>
      <c r="J138" s="310"/>
      <c r="K138" s="391">
        <f t="shared" si="21"/>
        <v>0</v>
      </c>
      <c r="L138" s="392">
        <f t="shared" si="22"/>
        <v>0</v>
      </c>
      <c r="M138" s="391">
        <f t="shared" si="23"/>
        <v>0</v>
      </c>
      <c r="N138" s="391">
        <f t="shared" si="24"/>
        <v>0</v>
      </c>
      <c r="O138" s="391">
        <f t="shared" si="25"/>
        <v>0</v>
      </c>
      <c r="P138" s="393">
        <f t="shared" si="26"/>
        <v>0</v>
      </c>
    </row>
    <row r="139" spans="1:16" s="61" customFormat="1" ht="42.75" customHeight="1" x14ac:dyDescent="0.2">
      <c r="A139" s="369">
        <v>68</v>
      </c>
      <c r="B139" s="339" t="s">
        <v>126</v>
      </c>
      <c r="C139" s="312" t="s">
        <v>138</v>
      </c>
      <c r="D139" s="315" t="s">
        <v>78</v>
      </c>
      <c r="E139" s="309">
        <v>2.0299999999999998</v>
      </c>
      <c r="F139" s="309"/>
      <c r="G139" s="309"/>
      <c r="H139" s="310"/>
      <c r="I139" s="310"/>
      <c r="J139" s="310"/>
      <c r="K139" s="391">
        <f t="shared" si="21"/>
        <v>0</v>
      </c>
      <c r="L139" s="392">
        <f t="shared" si="22"/>
        <v>0</v>
      </c>
      <c r="M139" s="391">
        <f t="shared" si="23"/>
        <v>0</v>
      </c>
      <c r="N139" s="391">
        <f t="shared" si="24"/>
        <v>0</v>
      </c>
      <c r="O139" s="391">
        <f t="shared" si="25"/>
        <v>0</v>
      </c>
      <c r="P139" s="393">
        <f t="shared" si="26"/>
        <v>0</v>
      </c>
    </row>
    <row r="140" spans="1:16" s="61" customFormat="1" x14ac:dyDescent="0.2">
      <c r="A140" s="369">
        <v>0</v>
      </c>
      <c r="B140" s="348"/>
      <c r="C140" s="318" t="s">
        <v>139</v>
      </c>
      <c r="D140" s="315" t="s">
        <v>78</v>
      </c>
      <c r="E140" s="319">
        <f>E139*1.05</f>
        <v>2.1315</v>
      </c>
      <c r="F140" s="320"/>
      <c r="G140" s="309"/>
      <c r="H140" s="310"/>
      <c r="I140" s="310"/>
      <c r="J140" s="310"/>
      <c r="K140" s="391">
        <f t="shared" si="21"/>
        <v>0</v>
      </c>
      <c r="L140" s="392">
        <f t="shared" si="22"/>
        <v>0</v>
      </c>
      <c r="M140" s="391">
        <f t="shared" si="23"/>
        <v>0</v>
      </c>
      <c r="N140" s="391">
        <f t="shared" si="24"/>
        <v>0</v>
      </c>
      <c r="O140" s="391">
        <f t="shared" si="25"/>
        <v>0</v>
      </c>
      <c r="P140" s="393">
        <f t="shared" si="26"/>
        <v>0</v>
      </c>
    </row>
    <row r="141" spans="1:16" s="61" customFormat="1" x14ac:dyDescent="0.2">
      <c r="A141" s="369">
        <v>0</v>
      </c>
      <c r="B141" s="348"/>
      <c r="C141" s="318" t="s">
        <v>136</v>
      </c>
      <c r="D141" s="315" t="s">
        <v>137</v>
      </c>
      <c r="E141" s="319">
        <f>E139*0.25</f>
        <v>0.50749999999999995</v>
      </c>
      <c r="F141" s="320"/>
      <c r="G141" s="309"/>
      <c r="H141" s="310"/>
      <c r="I141" s="321"/>
      <c r="J141" s="310"/>
      <c r="K141" s="391">
        <f t="shared" si="21"/>
        <v>0</v>
      </c>
      <c r="L141" s="392">
        <f t="shared" si="22"/>
        <v>0</v>
      </c>
      <c r="M141" s="391">
        <f t="shared" si="23"/>
        <v>0</v>
      </c>
      <c r="N141" s="391">
        <f t="shared" si="24"/>
        <v>0</v>
      </c>
      <c r="O141" s="391">
        <f t="shared" si="25"/>
        <v>0</v>
      </c>
      <c r="P141" s="393">
        <f t="shared" si="26"/>
        <v>0</v>
      </c>
    </row>
    <row r="142" spans="1:16" s="61" customFormat="1" ht="30" x14ac:dyDescent="0.25">
      <c r="A142" s="369">
        <v>69</v>
      </c>
      <c r="B142" s="339"/>
      <c r="C142" s="328" t="s">
        <v>475</v>
      </c>
      <c r="D142" s="308" t="s">
        <v>59</v>
      </c>
      <c r="E142" s="308">
        <v>4</v>
      </c>
      <c r="F142" s="309"/>
      <c r="G142" s="309"/>
      <c r="H142" s="310"/>
      <c r="I142" s="310"/>
      <c r="J142" s="310"/>
      <c r="K142" s="391">
        <f t="shared" si="21"/>
        <v>0</v>
      </c>
      <c r="L142" s="392">
        <f t="shared" si="22"/>
        <v>0</v>
      </c>
      <c r="M142" s="391">
        <f t="shared" si="23"/>
        <v>0</v>
      </c>
      <c r="N142" s="391">
        <f t="shared" si="24"/>
        <v>0</v>
      </c>
      <c r="O142" s="391">
        <f t="shared" si="25"/>
        <v>0</v>
      </c>
      <c r="P142" s="393">
        <f t="shared" si="26"/>
        <v>0</v>
      </c>
    </row>
    <row r="143" spans="1:16" s="61" customFormat="1" ht="15" x14ac:dyDescent="0.2">
      <c r="A143" s="369">
        <v>70</v>
      </c>
      <c r="B143" s="330"/>
      <c r="C143" s="349" t="s">
        <v>737</v>
      </c>
      <c r="D143" s="352" t="s">
        <v>83</v>
      </c>
      <c r="E143" s="339">
        <v>17</v>
      </c>
      <c r="F143" s="213"/>
      <c r="G143" s="213"/>
      <c r="H143" s="214"/>
      <c r="I143" s="214"/>
      <c r="J143" s="214"/>
      <c r="K143" s="391">
        <f t="shared" si="21"/>
        <v>0</v>
      </c>
      <c r="L143" s="392">
        <f t="shared" si="22"/>
        <v>0</v>
      </c>
      <c r="M143" s="391">
        <f t="shared" si="23"/>
        <v>0</v>
      </c>
      <c r="N143" s="391">
        <f t="shared" si="24"/>
        <v>0</v>
      </c>
      <c r="O143" s="391">
        <f t="shared" si="25"/>
        <v>0</v>
      </c>
      <c r="P143" s="393">
        <f t="shared" si="26"/>
        <v>0</v>
      </c>
    </row>
    <row r="144" spans="1:16" s="61" customFormat="1" x14ac:dyDescent="0.2">
      <c r="A144" s="369">
        <v>0</v>
      </c>
      <c r="B144" s="330"/>
      <c r="C144" s="330"/>
      <c r="D144" s="330"/>
      <c r="E144" s="330"/>
      <c r="F144" s="330"/>
      <c r="G144" s="330"/>
      <c r="H144" s="330"/>
      <c r="I144" s="330"/>
      <c r="J144" s="330"/>
      <c r="K144" s="391">
        <f t="shared" si="21"/>
        <v>0</v>
      </c>
      <c r="L144" s="392">
        <f t="shared" si="22"/>
        <v>0</v>
      </c>
      <c r="M144" s="391">
        <f t="shared" si="23"/>
        <v>0</v>
      </c>
      <c r="N144" s="391">
        <f t="shared" si="24"/>
        <v>0</v>
      </c>
      <c r="O144" s="391">
        <f t="shared" si="25"/>
        <v>0</v>
      </c>
      <c r="P144" s="393">
        <f t="shared" si="26"/>
        <v>0</v>
      </c>
    </row>
    <row r="145" spans="1:16" s="61" customFormat="1" x14ac:dyDescent="0.2">
      <c r="A145" s="369">
        <v>0</v>
      </c>
      <c r="B145" s="330"/>
      <c r="C145" s="330"/>
      <c r="D145" s="330"/>
      <c r="E145" s="330"/>
      <c r="F145" s="330"/>
      <c r="G145" s="330"/>
      <c r="H145" s="330"/>
      <c r="I145" s="330"/>
      <c r="J145" s="330"/>
      <c r="K145" s="391">
        <f t="shared" si="21"/>
        <v>0</v>
      </c>
      <c r="L145" s="392">
        <f t="shared" si="22"/>
        <v>0</v>
      </c>
      <c r="M145" s="391">
        <f t="shared" si="23"/>
        <v>0</v>
      </c>
      <c r="N145" s="391">
        <f t="shared" si="24"/>
        <v>0</v>
      </c>
      <c r="O145" s="391">
        <f t="shared" si="25"/>
        <v>0</v>
      </c>
      <c r="P145" s="393">
        <f t="shared" si="26"/>
        <v>0</v>
      </c>
    </row>
    <row r="146" spans="1:16" s="61" customFormat="1" x14ac:dyDescent="0.2">
      <c r="A146" s="369">
        <v>0</v>
      </c>
      <c r="B146" s="339"/>
      <c r="C146" s="197" t="s">
        <v>768</v>
      </c>
      <c r="D146" s="308"/>
      <c r="E146" s="308"/>
      <c r="F146" s="309"/>
      <c r="G146" s="309"/>
      <c r="H146" s="310"/>
      <c r="I146" s="310"/>
      <c r="J146" s="310"/>
      <c r="K146" s="391">
        <f t="shared" si="21"/>
        <v>0</v>
      </c>
      <c r="L146" s="392">
        <f t="shared" si="22"/>
        <v>0</v>
      </c>
      <c r="M146" s="391">
        <f t="shared" si="23"/>
        <v>0</v>
      </c>
      <c r="N146" s="391">
        <f t="shared" si="24"/>
        <v>0</v>
      </c>
      <c r="O146" s="391">
        <f t="shared" si="25"/>
        <v>0</v>
      </c>
      <c r="P146" s="393">
        <f t="shared" si="26"/>
        <v>0</v>
      </c>
    </row>
    <row r="147" spans="1:16" s="61" customFormat="1" x14ac:dyDescent="0.2">
      <c r="A147" s="369">
        <v>71</v>
      </c>
      <c r="B147" s="339" t="s">
        <v>55</v>
      </c>
      <c r="C147" s="341" t="s">
        <v>116</v>
      </c>
      <c r="D147" s="308" t="s">
        <v>115</v>
      </c>
      <c r="E147" s="309">
        <v>24</v>
      </c>
      <c r="F147" s="344"/>
      <c r="G147" s="309"/>
      <c r="H147" s="310"/>
      <c r="I147" s="310"/>
      <c r="J147" s="343"/>
      <c r="K147" s="391">
        <f t="shared" si="21"/>
        <v>0</v>
      </c>
      <c r="L147" s="392">
        <f t="shared" si="22"/>
        <v>0</v>
      </c>
      <c r="M147" s="391">
        <f t="shared" si="23"/>
        <v>0</v>
      </c>
      <c r="N147" s="391">
        <f t="shared" si="24"/>
        <v>0</v>
      </c>
      <c r="O147" s="391">
        <f t="shared" si="25"/>
        <v>0</v>
      </c>
      <c r="P147" s="393">
        <f t="shared" si="26"/>
        <v>0</v>
      </c>
    </row>
    <row r="148" spans="1:16" s="61" customFormat="1" ht="30" x14ac:dyDescent="0.2">
      <c r="A148" s="369">
        <v>72</v>
      </c>
      <c r="B148" s="339" t="s">
        <v>55</v>
      </c>
      <c r="C148" s="372" t="s">
        <v>474</v>
      </c>
      <c r="D148" s="308" t="s">
        <v>115</v>
      </c>
      <c r="E148" s="309">
        <v>44</v>
      </c>
      <c r="F148" s="342"/>
      <c r="G148" s="309"/>
      <c r="H148" s="310"/>
      <c r="I148" s="310"/>
      <c r="J148" s="343"/>
      <c r="K148" s="391">
        <f t="shared" si="21"/>
        <v>0</v>
      </c>
      <c r="L148" s="392">
        <f t="shared" si="22"/>
        <v>0</v>
      </c>
      <c r="M148" s="391">
        <f t="shared" si="23"/>
        <v>0</v>
      </c>
      <c r="N148" s="391">
        <f t="shared" si="24"/>
        <v>0</v>
      </c>
      <c r="O148" s="391">
        <f t="shared" si="25"/>
        <v>0</v>
      </c>
      <c r="P148" s="393">
        <f t="shared" si="26"/>
        <v>0</v>
      </c>
    </row>
    <row r="149" spans="1:16" s="61" customFormat="1" ht="25.5" x14ac:dyDescent="0.2">
      <c r="A149" s="369">
        <v>73</v>
      </c>
      <c r="B149" s="339" t="s">
        <v>55</v>
      </c>
      <c r="C149" s="312" t="s">
        <v>128</v>
      </c>
      <c r="D149" s="308" t="s">
        <v>83</v>
      </c>
      <c r="E149" s="309">
        <v>62</v>
      </c>
      <c r="F149" s="310"/>
      <c r="G149" s="309"/>
      <c r="H149" s="310"/>
      <c r="I149" s="310"/>
      <c r="J149" s="310"/>
      <c r="K149" s="391">
        <f t="shared" si="21"/>
        <v>0</v>
      </c>
      <c r="L149" s="392">
        <f t="shared" si="22"/>
        <v>0</v>
      </c>
      <c r="M149" s="391">
        <f t="shared" si="23"/>
        <v>0</v>
      </c>
      <c r="N149" s="391">
        <f t="shared" si="24"/>
        <v>0</v>
      </c>
      <c r="O149" s="391">
        <f t="shared" si="25"/>
        <v>0</v>
      </c>
      <c r="P149" s="393">
        <f t="shared" si="26"/>
        <v>0</v>
      </c>
    </row>
    <row r="150" spans="1:16" s="61" customFormat="1" ht="89.25" x14ac:dyDescent="0.2">
      <c r="A150" s="369">
        <v>74</v>
      </c>
      <c r="B150" s="339" t="s">
        <v>126</v>
      </c>
      <c r="C150" s="312" t="s">
        <v>130</v>
      </c>
      <c r="D150" s="308" t="s">
        <v>131</v>
      </c>
      <c r="E150" s="309">
        <f>839.37+85.02+229.82+4+112.24+67.92+31.84</f>
        <v>1370.21</v>
      </c>
      <c r="F150" s="313"/>
      <c r="G150" s="309"/>
      <c r="H150" s="310"/>
      <c r="I150" s="310"/>
      <c r="J150" s="310"/>
      <c r="K150" s="391">
        <f t="shared" si="21"/>
        <v>0</v>
      </c>
      <c r="L150" s="392">
        <f t="shared" si="22"/>
        <v>0</v>
      </c>
      <c r="M150" s="391">
        <f t="shared" si="23"/>
        <v>0</v>
      </c>
      <c r="N150" s="391">
        <f t="shared" si="24"/>
        <v>0</v>
      </c>
      <c r="O150" s="391">
        <f t="shared" si="25"/>
        <v>0</v>
      </c>
      <c r="P150" s="393">
        <f t="shared" si="26"/>
        <v>0</v>
      </c>
    </row>
    <row r="151" spans="1:16" s="61" customFormat="1" x14ac:dyDescent="0.2">
      <c r="A151" s="369">
        <v>0</v>
      </c>
      <c r="B151" s="339"/>
      <c r="C151" s="314" t="s">
        <v>132</v>
      </c>
      <c r="D151" s="315" t="s">
        <v>131</v>
      </c>
      <c r="E151" s="316">
        <f>E150*1.15</f>
        <v>1575.7414999999999</v>
      </c>
      <c r="F151" s="309"/>
      <c r="G151" s="309"/>
      <c r="H151" s="310"/>
      <c r="I151" s="310"/>
      <c r="J151" s="310"/>
      <c r="K151" s="391">
        <f t="shared" si="21"/>
        <v>0</v>
      </c>
      <c r="L151" s="392">
        <f t="shared" si="22"/>
        <v>0</v>
      </c>
      <c r="M151" s="391">
        <f t="shared" si="23"/>
        <v>0</v>
      </c>
      <c r="N151" s="391">
        <f t="shared" si="24"/>
        <v>0</v>
      </c>
      <c r="O151" s="391">
        <f t="shared" si="25"/>
        <v>0</v>
      </c>
      <c r="P151" s="393">
        <f t="shared" si="26"/>
        <v>0</v>
      </c>
    </row>
    <row r="152" spans="1:16" s="61" customFormat="1" ht="25.5" x14ac:dyDescent="0.2">
      <c r="A152" s="369">
        <v>0</v>
      </c>
      <c r="B152" s="339"/>
      <c r="C152" s="317" t="s">
        <v>133</v>
      </c>
      <c r="D152" s="308" t="s">
        <v>66</v>
      </c>
      <c r="E152" s="308">
        <v>1</v>
      </c>
      <c r="F152" s="309"/>
      <c r="G152" s="309"/>
      <c r="H152" s="310"/>
      <c r="I152" s="310"/>
      <c r="J152" s="310"/>
      <c r="K152" s="391">
        <f t="shared" si="21"/>
        <v>0</v>
      </c>
      <c r="L152" s="392">
        <f t="shared" si="22"/>
        <v>0</v>
      </c>
      <c r="M152" s="391">
        <f t="shared" si="23"/>
        <v>0</v>
      </c>
      <c r="N152" s="391">
        <f t="shared" si="24"/>
        <v>0</v>
      </c>
      <c r="O152" s="391">
        <f t="shared" si="25"/>
        <v>0</v>
      </c>
      <c r="P152" s="393">
        <f t="shared" si="26"/>
        <v>0</v>
      </c>
    </row>
    <row r="153" spans="1:16" s="61" customFormat="1" ht="45" x14ac:dyDescent="0.2">
      <c r="A153" s="369">
        <v>75</v>
      </c>
      <c r="B153" s="339" t="s">
        <v>126</v>
      </c>
      <c r="C153" s="338" t="s">
        <v>170</v>
      </c>
      <c r="D153" s="315" t="s">
        <v>78</v>
      </c>
      <c r="E153" s="309">
        <v>20.059999999999999</v>
      </c>
      <c r="F153" s="309"/>
      <c r="G153" s="309"/>
      <c r="H153" s="310"/>
      <c r="I153" s="310"/>
      <c r="J153" s="310"/>
      <c r="K153" s="391">
        <f t="shared" si="21"/>
        <v>0</v>
      </c>
      <c r="L153" s="392">
        <f t="shared" si="22"/>
        <v>0</v>
      </c>
      <c r="M153" s="391">
        <f t="shared" si="23"/>
        <v>0</v>
      </c>
      <c r="N153" s="391">
        <f t="shared" si="24"/>
        <v>0</v>
      </c>
      <c r="O153" s="391">
        <f t="shared" si="25"/>
        <v>0</v>
      </c>
      <c r="P153" s="393">
        <f t="shared" si="26"/>
        <v>0</v>
      </c>
    </row>
    <row r="154" spans="1:16" s="61" customFormat="1" ht="15" x14ac:dyDescent="0.25">
      <c r="A154" s="369">
        <v>0</v>
      </c>
      <c r="B154" s="348"/>
      <c r="C154" s="326" t="s">
        <v>171</v>
      </c>
      <c r="D154" s="315" t="s">
        <v>78</v>
      </c>
      <c r="E154" s="319">
        <f>E153*1.05</f>
        <v>21.062999999999999</v>
      </c>
      <c r="F154" s="320"/>
      <c r="G154" s="309"/>
      <c r="H154" s="310"/>
      <c r="I154" s="310"/>
      <c r="J154" s="310"/>
      <c r="K154" s="391">
        <f t="shared" si="21"/>
        <v>0</v>
      </c>
      <c r="L154" s="392">
        <f t="shared" si="22"/>
        <v>0</v>
      </c>
      <c r="M154" s="391">
        <f t="shared" si="23"/>
        <v>0</v>
      </c>
      <c r="N154" s="391">
        <f t="shared" si="24"/>
        <v>0</v>
      </c>
      <c r="O154" s="391">
        <f t="shared" si="25"/>
        <v>0</v>
      </c>
      <c r="P154" s="393">
        <f t="shared" si="26"/>
        <v>0</v>
      </c>
    </row>
    <row r="155" spans="1:16" s="61" customFormat="1" x14ac:dyDescent="0.2">
      <c r="A155" s="369">
        <v>0</v>
      </c>
      <c r="B155" s="348"/>
      <c r="C155" s="318" t="s">
        <v>136</v>
      </c>
      <c r="D155" s="315" t="s">
        <v>137</v>
      </c>
      <c r="E155" s="319">
        <f>E153*0.25</f>
        <v>5.0149999999999997</v>
      </c>
      <c r="F155" s="320"/>
      <c r="G155" s="309"/>
      <c r="H155" s="310"/>
      <c r="I155" s="321"/>
      <c r="J155" s="310"/>
      <c r="K155" s="391">
        <f t="shared" si="21"/>
        <v>0</v>
      </c>
      <c r="L155" s="392">
        <f t="shared" si="22"/>
        <v>0</v>
      </c>
      <c r="M155" s="391">
        <f t="shared" si="23"/>
        <v>0</v>
      </c>
      <c r="N155" s="391">
        <f t="shared" si="24"/>
        <v>0</v>
      </c>
      <c r="O155" s="391">
        <f t="shared" si="25"/>
        <v>0</v>
      </c>
      <c r="P155" s="393">
        <f t="shared" si="26"/>
        <v>0</v>
      </c>
    </row>
    <row r="156" spans="1:16" s="61" customFormat="1" ht="25.5" x14ac:dyDescent="0.2">
      <c r="A156" s="369">
        <v>76</v>
      </c>
      <c r="B156" s="339" t="s">
        <v>126</v>
      </c>
      <c r="C156" s="312" t="s">
        <v>138</v>
      </c>
      <c r="D156" s="315" t="s">
        <v>78</v>
      </c>
      <c r="E156" s="309">
        <v>13.61</v>
      </c>
      <c r="F156" s="309"/>
      <c r="G156" s="309"/>
      <c r="H156" s="310"/>
      <c r="I156" s="310"/>
      <c r="J156" s="310"/>
      <c r="K156" s="391">
        <f t="shared" si="21"/>
        <v>0</v>
      </c>
      <c r="L156" s="392">
        <f t="shared" si="22"/>
        <v>0</v>
      </c>
      <c r="M156" s="391">
        <f t="shared" si="23"/>
        <v>0</v>
      </c>
      <c r="N156" s="391">
        <f t="shared" si="24"/>
        <v>0</v>
      </c>
      <c r="O156" s="391">
        <f t="shared" si="25"/>
        <v>0</v>
      </c>
      <c r="P156" s="393">
        <f t="shared" si="26"/>
        <v>0</v>
      </c>
    </row>
    <row r="157" spans="1:16" s="61" customFormat="1" x14ac:dyDescent="0.2">
      <c r="A157" s="369">
        <v>0</v>
      </c>
      <c r="B157" s="348"/>
      <c r="C157" s="318" t="s">
        <v>139</v>
      </c>
      <c r="D157" s="315" t="s">
        <v>78</v>
      </c>
      <c r="E157" s="319">
        <f>E156*1.05</f>
        <v>14.2905</v>
      </c>
      <c r="F157" s="320"/>
      <c r="G157" s="309"/>
      <c r="H157" s="310"/>
      <c r="I157" s="310"/>
      <c r="J157" s="310"/>
      <c r="K157" s="391">
        <f t="shared" si="21"/>
        <v>0</v>
      </c>
      <c r="L157" s="392">
        <f t="shared" si="22"/>
        <v>0</v>
      </c>
      <c r="M157" s="391">
        <f t="shared" si="23"/>
        <v>0</v>
      </c>
      <c r="N157" s="391">
        <f t="shared" si="24"/>
        <v>0</v>
      </c>
      <c r="O157" s="391">
        <f t="shared" si="25"/>
        <v>0</v>
      </c>
      <c r="P157" s="393">
        <f t="shared" si="26"/>
        <v>0</v>
      </c>
    </row>
    <row r="158" spans="1:16" s="61" customFormat="1" x14ac:dyDescent="0.2">
      <c r="A158" s="369">
        <v>0</v>
      </c>
      <c r="B158" s="348"/>
      <c r="C158" s="318" t="s">
        <v>136</v>
      </c>
      <c r="D158" s="315" t="s">
        <v>137</v>
      </c>
      <c r="E158" s="319">
        <f>E156*0.25</f>
        <v>3.4024999999999999</v>
      </c>
      <c r="F158" s="320"/>
      <c r="G158" s="309"/>
      <c r="H158" s="310"/>
      <c r="I158" s="321"/>
      <c r="J158" s="310"/>
      <c r="K158" s="391">
        <f t="shared" si="21"/>
        <v>0</v>
      </c>
      <c r="L158" s="392">
        <f t="shared" si="22"/>
        <v>0</v>
      </c>
      <c r="M158" s="391">
        <f t="shared" si="23"/>
        <v>0</v>
      </c>
      <c r="N158" s="391">
        <f t="shared" si="24"/>
        <v>0</v>
      </c>
      <c r="O158" s="391">
        <f t="shared" si="25"/>
        <v>0</v>
      </c>
      <c r="P158" s="393">
        <f t="shared" si="26"/>
        <v>0</v>
      </c>
    </row>
    <row r="159" spans="1:16" s="61" customFormat="1" ht="15" x14ac:dyDescent="0.2">
      <c r="A159" s="369">
        <v>77</v>
      </c>
      <c r="B159" s="223" t="str">
        <f t="shared" ref="B159:B164" si="27">IF(A159&gt;0,"L.c.",0)</f>
        <v>L.c.</v>
      </c>
      <c r="C159" s="349" t="s">
        <v>741</v>
      </c>
      <c r="D159" s="352" t="s">
        <v>83</v>
      </c>
      <c r="E159" s="339">
        <v>18</v>
      </c>
      <c r="F159" s="213"/>
      <c r="G159" s="213"/>
      <c r="H159" s="214"/>
      <c r="I159" s="214"/>
      <c r="J159" s="214"/>
      <c r="K159" s="391">
        <f t="shared" ref="K159" si="28">SUM(H159:J159)</f>
        <v>0</v>
      </c>
      <c r="L159" s="392">
        <f t="shared" ref="L159" si="29">ROUND(F159*E159,2)</f>
        <v>0</v>
      </c>
      <c r="M159" s="391">
        <f t="shared" ref="M159" si="30">ROUND(H159*E159,2)</f>
        <v>0</v>
      </c>
      <c r="N159" s="391">
        <f t="shared" ref="N159" si="31">ROUND(I159*E159,2)</f>
        <v>0</v>
      </c>
      <c r="O159" s="391">
        <f t="shared" ref="O159" si="32">ROUND(J159*E159,2)</f>
        <v>0</v>
      </c>
      <c r="P159" s="393">
        <f t="shared" ref="P159" si="33">SUM(M159:O159)</f>
        <v>0</v>
      </c>
    </row>
    <row r="160" spans="1:16" s="61" customFormat="1" ht="15" x14ac:dyDescent="0.25">
      <c r="A160" s="369">
        <v>78</v>
      </c>
      <c r="B160" s="223" t="str">
        <f t="shared" si="27"/>
        <v>L.c.</v>
      </c>
      <c r="C160" s="328" t="s">
        <v>476</v>
      </c>
      <c r="D160" s="329" t="s">
        <v>57</v>
      </c>
      <c r="E160" s="308">
        <v>55</v>
      </c>
      <c r="F160" s="309"/>
      <c r="G160" s="309"/>
      <c r="H160" s="310"/>
      <c r="I160" s="310"/>
      <c r="J160" s="310"/>
      <c r="K160" s="391">
        <f t="shared" si="21"/>
        <v>0</v>
      </c>
      <c r="L160" s="392">
        <f t="shared" si="22"/>
        <v>0</v>
      </c>
      <c r="M160" s="391">
        <f t="shared" si="23"/>
        <v>0</v>
      </c>
      <c r="N160" s="391">
        <f t="shared" si="24"/>
        <v>0</v>
      </c>
      <c r="O160" s="391">
        <f t="shared" si="25"/>
        <v>0</v>
      </c>
      <c r="P160" s="393">
        <f t="shared" si="26"/>
        <v>0</v>
      </c>
    </row>
    <row r="161" spans="1:16" s="61" customFormat="1" ht="30" x14ac:dyDescent="0.2">
      <c r="A161" s="369">
        <v>79</v>
      </c>
      <c r="B161" s="223" t="str">
        <f t="shared" si="27"/>
        <v>L.c.</v>
      </c>
      <c r="C161" s="370" t="s">
        <v>477</v>
      </c>
      <c r="D161" s="352" t="s">
        <v>57</v>
      </c>
      <c r="E161" s="339">
        <v>18</v>
      </c>
      <c r="F161" s="309"/>
      <c r="G161" s="309"/>
      <c r="H161" s="310"/>
      <c r="I161" s="310"/>
      <c r="J161" s="310"/>
      <c r="K161" s="391">
        <f t="shared" si="21"/>
        <v>0</v>
      </c>
      <c r="L161" s="392">
        <f t="shared" si="22"/>
        <v>0</v>
      </c>
      <c r="M161" s="391">
        <f t="shared" si="23"/>
        <v>0</v>
      </c>
      <c r="N161" s="391">
        <f t="shared" si="24"/>
        <v>0</v>
      </c>
      <c r="O161" s="391">
        <f t="shared" si="25"/>
        <v>0</v>
      </c>
      <c r="P161" s="393">
        <f t="shared" si="26"/>
        <v>0</v>
      </c>
    </row>
    <row r="162" spans="1:16" s="61" customFormat="1" ht="30" x14ac:dyDescent="0.2">
      <c r="A162" s="369">
        <v>80</v>
      </c>
      <c r="B162" s="223" t="str">
        <f t="shared" si="27"/>
        <v>L.c.</v>
      </c>
      <c r="C162" s="370" t="s">
        <v>478</v>
      </c>
      <c r="D162" s="352" t="s">
        <v>57</v>
      </c>
      <c r="E162" s="339">
        <v>35</v>
      </c>
      <c r="F162" s="309"/>
      <c r="G162" s="309"/>
      <c r="H162" s="310"/>
      <c r="I162" s="310"/>
      <c r="J162" s="310"/>
      <c r="K162" s="391">
        <f t="shared" si="21"/>
        <v>0</v>
      </c>
      <c r="L162" s="392">
        <f t="shared" si="22"/>
        <v>0</v>
      </c>
      <c r="M162" s="391">
        <f t="shared" si="23"/>
        <v>0</v>
      </c>
      <c r="N162" s="391">
        <f t="shared" si="24"/>
        <v>0</v>
      </c>
      <c r="O162" s="391">
        <f t="shared" si="25"/>
        <v>0</v>
      </c>
      <c r="P162" s="393">
        <f t="shared" si="26"/>
        <v>0</v>
      </c>
    </row>
    <row r="163" spans="1:16" s="61" customFormat="1" ht="15" x14ac:dyDescent="0.2">
      <c r="A163" s="369">
        <v>81</v>
      </c>
      <c r="B163" s="223" t="str">
        <f t="shared" si="27"/>
        <v>L.c.</v>
      </c>
      <c r="C163" s="349" t="s">
        <v>479</v>
      </c>
      <c r="D163" s="352" t="s">
        <v>57</v>
      </c>
      <c r="E163" s="339">
        <v>14</v>
      </c>
      <c r="F163" s="309"/>
      <c r="G163" s="309"/>
      <c r="H163" s="310"/>
      <c r="I163" s="310"/>
      <c r="J163" s="310"/>
      <c r="K163" s="391">
        <f t="shared" si="21"/>
        <v>0</v>
      </c>
      <c r="L163" s="392">
        <f t="shared" si="22"/>
        <v>0</v>
      </c>
      <c r="M163" s="391">
        <f t="shared" si="23"/>
        <v>0</v>
      </c>
      <c r="N163" s="391">
        <f t="shared" si="24"/>
        <v>0</v>
      </c>
      <c r="O163" s="391">
        <f t="shared" si="25"/>
        <v>0</v>
      </c>
      <c r="P163" s="393">
        <f t="shared" si="26"/>
        <v>0</v>
      </c>
    </row>
    <row r="164" spans="1:16" s="61" customFormat="1" ht="15" x14ac:dyDescent="0.2">
      <c r="A164" s="369">
        <v>82</v>
      </c>
      <c r="B164" s="223" t="str">
        <f t="shared" si="27"/>
        <v>L.c.</v>
      </c>
      <c r="C164" s="349" t="s">
        <v>480</v>
      </c>
      <c r="D164" s="352" t="s">
        <v>66</v>
      </c>
      <c r="E164" s="339">
        <v>1</v>
      </c>
      <c r="F164" s="309"/>
      <c r="G164" s="309"/>
      <c r="H164" s="310"/>
      <c r="I164" s="310"/>
      <c r="J164" s="310"/>
      <c r="K164" s="391">
        <f t="shared" si="21"/>
        <v>0</v>
      </c>
      <c r="L164" s="392">
        <f t="shared" si="22"/>
        <v>0</v>
      </c>
      <c r="M164" s="391">
        <f t="shared" si="23"/>
        <v>0</v>
      </c>
      <c r="N164" s="391">
        <f t="shared" si="24"/>
        <v>0</v>
      </c>
      <c r="O164" s="391">
        <f t="shared" si="25"/>
        <v>0</v>
      </c>
      <c r="P164" s="393">
        <f t="shared" si="26"/>
        <v>0</v>
      </c>
    </row>
    <row r="165" spans="1:16" s="61" customFormat="1" x14ac:dyDescent="0.2">
      <c r="A165" s="369">
        <v>0</v>
      </c>
      <c r="B165" s="330"/>
      <c r="C165" s="330"/>
      <c r="D165" s="330"/>
      <c r="E165" s="330"/>
      <c r="F165" s="330"/>
      <c r="G165" s="330"/>
      <c r="H165" s="330"/>
      <c r="I165" s="330"/>
      <c r="J165" s="330"/>
      <c r="K165" s="391">
        <f t="shared" si="21"/>
        <v>0</v>
      </c>
      <c r="L165" s="392">
        <f t="shared" si="22"/>
        <v>0</v>
      </c>
      <c r="M165" s="391">
        <f t="shared" si="23"/>
        <v>0</v>
      </c>
      <c r="N165" s="391">
        <f t="shared" si="24"/>
        <v>0</v>
      </c>
      <c r="O165" s="391">
        <f t="shared" si="25"/>
        <v>0</v>
      </c>
      <c r="P165" s="393">
        <f t="shared" si="26"/>
        <v>0</v>
      </c>
    </row>
    <row r="166" spans="1:16" s="61" customFormat="1" x14ac:dyDescent="0.2">
      <c r="A166" s="369">
        <v>0</v>
      </c>
      <c r="B166" s="339"/>
      <c r="C166" s="197" t="s">
        <v>769</v>
      </c>
      <c r="D166" s="308"/>
      <c r="E166" s="308"/>
      <c r="F166" s="309"/>
      <c r="G166" s="309"/>
      <c r="H166" s="310"/>
      <c r="I166" s="310"/>
      <c r="J166" s="310"/>
      <c r="K166" s="391">
        <f t="shared" si="21"/>
        <v>0</v>
      </c>
      <c r="L166" s="392">
        <f t="shared" si="22"/>
        <v>0</v>
      </c>
      <c r="M166" s="391">
        <f t="shared" si="23"/>
        <v>0</v>
      </c>
      <c r="N166" s="391">
        <f t="shared" si="24"/>
        <v>0</v>
      </c>
      <c r="O166" s="391">
        <f t="shared" si="25"/>
        <v>0</v>
      </c>
      <c r="P166" s="393">
        <f t="shared" si="26"/>
        <v>0</v>
      </c>
    </row>
    <row r="167" spans="1:16" s="61" customFormat="1" x14ac:dyDescent="0.2">
      <c r="A167" s="369">
        <v>83</v>
      </c>
      <c r="B167" s="339" t="s">
        <v>55</v>
      </c>
      <c r="C167" s="341" t="s">
        <v>116</v>
      </c>
      <c r="D167" s="308" t="s">
        <v>115</v>
      </c>
      <c r="E167" s="309">
        <v>16</v>
      </c>
      <c r="F167" s="344"/>
      <c r="G167" s="309"/>
      <c r="H167" s="310"/>
      <c r="I167" s="310"/>
      <c r="J167" s="343"/>
      <c r="K167" s="391">
        <f t="shared" si="21"/>
        <v>0</v>
      </c>
      <c r="L167" s="392">
        <f t="shared" si="22"/>
        <v>0</v>
      </c>
      <c r="M167" s="391">
        <f t="shared" si="23"/>
        <v>0</v>
      </c>
      <c r="N167" s="391">
        <f t="shared" si="24"/>
        <v>0</v>
      </c>
      <c r="O167" s="391">
        <f t="shared" si="25"/>
        <v>0</v>
      </c>
      <c r="P167" s="393">
        <f t="shared" si="26"/>
        <v>0</v>
      </c>
    </row>
    <row r="168" spans="1:16" s="61" customFormat="1" ht="30" x14ac:dyDescent="0.2">
      <c r="A168" s="369">
        <v>84</v>
      </c>
      <c r="B168" s="339" t="s">
        <v>55</v>
      </c>
      <c r="C168" s="372" t="s">
        <v>474</v>
      </c>
      <c r="D168" s="308" t="s">
        <v>115</v>
      </c>
      <c r="E168" s="309">
        <v>35</v>
      </c>
      <c r="F168" s="342"/>
      <c r="G168" s="309"/>
      <c r="H168" s="310"/>
      <c r="I168" s="310"/>
      <c r="J168" s="343"/>
      <c r="K168" s="391">
        <f t="shared" si="21"/>
        <v>0</v>
      </c>
      <c r="L168" s="392">
        <f t="shared" si="22"/>
        <v>0</v>
      </c>
      <c r="M168" s="391">
        <f t="shared" si="23"/>
        <v>0</v>
      </c>
      <c r="N168" s="391">
        <f t="shared" si="24"/>
        <v>0</v>
      </c>
      <c r="O168" s="391">
        <f t="shared" si="25"/>
        <v>0</v>
      </c>
      <c r="P168" s="393">
        <f t="shared" si="26"/>
        <v>0</v>
      </c>
    </row>
    <row r="169" spans="1:16" s="61" customFormat="1" ht="25.5" x14ac:dyDescent="0.2">
      <c r="A169" s="369">
        <v>85</v>
      </c>
      <c r="B169" s="339" t="s">
        <v>55</v>
      </c>
      <c r="C169" s="312" t="s">
        <v>128</v>
      </c>
      <c r="D169" s="308" t="s">
        <v>83</v>
      </c>
      <c r="E169" s="309">
        <v>48</v>
      </c>
      <c r="F169" s="310"/>
      <c r="G169" s="309"/>
      <c r="H169" s="310"/>
      <c r="I169" s="310"/>
      <c r="J169" s="310"/>
      <c r="K169" s="391">
        <f t="shared" si="21"/>
        <v>0</v>
      </c>
      <c r="L169" s="392">
        <f t="shared" si="22"/>
        <v>0</v>
      </c>
      <c r="M169" s="391">
        <f t="shared" si="23"/>
        <v>0</v>
      </c>
      <c r="N169" s="391">
        <f t="shared" si="24"/>
        <v>0</v>
      </c>
      <c r="O169" s="391">
        <f t="shared" si="25"/>
        <v>0</v>
      </c>
      <c r="P169" s="393">
        <f t="shared" si="26"/>
        <v>0</v>
      </c>
    </row>
    <row r="170" spans="1:16" s="61" customFormat="1" ht="89.25" x14ac:dyDescent="0.2">
      <c r="A170" s="369">
        <v>86</v>
      </c>
      <c r="B170" s="339" t="s">
        <v>126</v>
      </c>
      <c r="C170" s="312" t="s">
        <v>130</v>
      </c>
      <c r="D170" s="308" t="s">
        <v>131</v>
      </c>
      <c r="E170" s="309">
        <f>633.91+54.63+67.53+1+100+81.6+37.74</f>
        <v>976.41</v>
      </c>
      <c r="F170" s="313"/>
      <c r="G170" s="309"/>
      <c r="H170" s="310"/>
      <c r="I170" s="310"/>
      <c r="J170" s="310"/>
      <c r="K170" s="391">
        <f t="shared" si="21"/>
        <v>0</v>
      </c>
      <c r="L170" s="392">
        <f t="shared" si="22"/>
        <v>0</v>
      </c>
      <c r="M170" s="391">
        <f t="shared" si="23"/>
        <v>0</v>
      </c>
      <c r="N170" s="391">
        <f t="shared" si="24"/>
        <v>0</v>
      </c>
      <c r="O170" s="391">
        <f t="shared" si="25"/>
        <v>0</v>
      </c>
      <c r="P170" s="393">
        <f t="shared" si="26"/>
        <v>0</v>
      </c>
    </row>
    <row r="171" spans="1:16" s="61" customFormat="1" x14ac:dyDescent="0.2">
      <c r="A171" s="369">
        <v>0</v>
      </c>
      <c r="B171" s="339"/>
      <c r="C171" s="314" t="s">
        <v>132</v>
      </c>
      <c r="D171" s="315" t="s">
        <v>131</v>
      </c>
      <c r="E171" s="316">
        <f>E170*1.15</f>
        <v>1122.8715</v>
      </c>
      <c r="F171" s="309"/>
      <c r="G171" s="309"/>
      <c r="H171" s="310"/>
      <c r="I171" s="310"/>
      <c r="J171" s="310"/>
      <c r="K171" s="391">
        <f t="shared" si="21"/>
        <v>0</v>
      </c>
      <c r="L171" s="392">
        <f t="shared" si="22"/>
        <v>0</v>
      </c>
      <c r="M171" s="391">
        <f t="shared" si="23"/>
        <v>0</v>
      </c>
      <c r="N171" s="391">
        <f t="shared" si="24"/>
        <v>0</v>
      </c>
      <c r="O171" s="391">
        <f t="shared" si="25"/>
        <v>0</v>
      </c>
      <c r="P171" s="393">
        <f t="shared" si="26"/>
        <v>0</v>
      </c>
    </row>
    <row r="172" spans="1:16" s="61" customFormat="1" ht="25.5" x14ac:dyDescent="0.2">
      <c r="A172" s="369">
        <v>0</v>
      </c>
      <c r="B172" s="339"/>
      <c r="C172" s="317" t="s">
        <v>133</v>
      </c>
      <c r="D172" s="308" t="s">
        <v>66</v>
      </c>
      <c r="E172" s="308">
        <v>1</v>
      </c>
      <c r="F172" s="309"/>
      <c r="G172" s="309"/>
      <c r="H172" s="310"/>
      <c r="I172" s="310"/>
      <c r="J172" s="310"/>
      <c r="K172" s="391">
        <f t="shared" si="21"/>
        <v>0</v>
      </c>
      <c r="L172" s="392">
        <f t="shared" si="22"/>
        <v>0</v>
      </c>
      <c r="M172" s="391">
        <f t="shared" si="23"/>
        <v>0</v>
      </c>
      <c r="N172" s="391">
        <f t="shared" si="24"/>
        <v>0</v>
      </c>
      <c r="O172" s="391">
        <f t="shared" si="25"/>
        <v>0</v>
      </c>
      <c r="P172" s="393">
        <f t="shared" si="26"/>
        <v>0</v>
      </c>
    </row>
    <row r="173" spans="1:16" s="61" customFormat="1" ht="45" x14ac:dyDescent="0.2">
      <c r="A173" s="369">
        <v>87</v>
      </c>
      <c r="B173" s="339" t="s">
        <v>126</v>
      </c>
      <c r="C173" s="338" t="s">
        <v>170</v>
      </c>
      <c r="D173" s="315" t="s">
        <v>78</v>
      </c>
      <c r="E173" s="309">
        <v>14.97</v>
      </c>
      <c r="F173" s="309"/>
      <c r="G173" s="309"/>
      <c r="H173" s="310"/>
      <c r="I173" s="310"/>
      <c r="J173" s="310"/>
      <c r="K173" s="391">
        <f t="shared" si="21"/>
        <v>0</v>
      </c>
      <c r="L173" s="392">
        <f t="shared" si="22"/>
        <v>0</v>
      </c>
      <c r="M173" s="391">
        <f t="shared" si="23"/>
        <v>0</v>
      </c>
      <c r="N173" s="391">
        <f t="shared" si="24"/>
        <v>0</v>
      </c>
      <c r="O173" s="391">
        <f t="shared" si="25"/>
        <v>0</v>
      </c>
      <c r="P173" s="393">
        <f t="shared" si="26"/>
        <v>0</v>
      </c>
    </row>
    <row r="174" spans="1:16" s="61" customFormat="1" ht="15" x14ac:dyDescent="0.25">
      <c r="A174" s="369">
        <v>0</v>
      </c>
      <c r="B174" s="348"/>
      <c r="C174" s="326" t="s">
        <v>171</v>
      </c>
      <c r="D174" s="315" t="s">
        <v>78</v>
      </c>
      <c r="E174" s="319">
        <f>E173*1.05</f>
        <v>15.718500000000001</v>
      </c>
      <c r="F174" s="320"/>
      <c r="G174" s="309"/>
      <c r="H174" s="310"/>
      <c r="I174" s="310"/>
      <c r="J174" s="310"/>
      <c r="K174" s="391">
        <f t="shared" si="21"/>
        <v>0</v>
      </c>
      <c r="L174" s="392">
        <f t="shared" si="22"/>
        <v>0</v>
      </c>
      <c r="M174" s="391">
        <f t="shared" si="23"/>
        <v>0</v>
      </c>
      <c r="N174" s="391">
        <f t="shared" si="24"/>
        <v>0</v>
      </c>
      <c r="O174" s="391">
        <f t="shared" si="25"/>
        <v>0</v>
      </c>
      <c r="P174" s="393">
        <f t="shared" si="26"/>
        <v>0</v>
      </c>
    </row>
    <row r="175" spans="1:16" s="61" customFormat="1" x14ac:dyDescent="0.2">
      <c r="A175" s="369">
        <v>0</v>
      </c>
      <c r="B175" s="348"/>
      <c r="C175" s="318" t="s">
        <v>136</v>
      </c>
      <c r="D175" s="315" t="s">
        <v>137</v>
      </c>
      <c r="E175" s="319">
        <f>E173*0.25</f>
        <v>3.7425000000000002</v>
      </c>
      <c r="F175" s="320"/>
      <c r="G175" s="309"/>
      <c r="H175" s="310"/>
      <c r="I175" s="321"/>
      <c r="J175" s="310"/>
      <c r="K175" s="391">
        <f t="shared" si="21"/>
        <v>0</v>
      </c>
      <c r="L175" s="392">
        <f t="shared" si="22"/>
        <v>0</v>
      </c>
      <c r="M175" s="391">
        <f t="shared" si="23"/>
        <v>0</v>
      </c>
      <c r="N175" s="391">
        <f t="shared" si="24"/>
        <v>0</v>
      </c>
      <c r="O175" s="391">
        <f t="shared" si="25"/>
        <v>0</v>
      </c>
      <c r="P175" s="393">
        <f t="shared" si="26"/>
        <v>0</v>
      </c>
    </row>
    <row r="176" spans="1:16" s="61" customFormat="1" ht="42.75" customHeight="1" x14ac:dyDescent="0.2">
      <c r="A176" s="369">
        <v>88</v>
      </c>
      <c r="B176" s="339" t="s">
        <v>126</v>
      </c>
      <c r="C176" s="312" t="s">
        <v>138</v>
      </c>
      <c r="D176" s="315" t="s">
        <v>78</v>
      </c>
      <c r="E176" s="309">
        <v>13.61</v>
      </c>
      <c r="F176" s="309"/>
      <c r="G176" s="309"/>
      <c r="H176" s="310"/>
      <c r="I176" s="310"/>
      <c r="J176" s="310"/>
      <c r="K176" s="391">
        <f t="shared" si="21"/>
        <v>0</v>
      </c>
      <c r="L176" s="392">
        <f t="shared" si="22"/>
        <v>0</v>
      </c>
      <c r="M176" s="391">
        <f t="shared" si="23"/>
        <v>0</v>
      </c>
      <c r="N176" s="391">
        <f t="shared" si="24"/>
        <v>0</v>
      </c>
      <c r="O176" s="391">
        <f t="shared" si="25"/>
        <v>0</v>
      </c>
      <c r="P176" s="393">
        <f t="shared" si="26"/>
        <v>0</v>
      </c>
    </row>
    <row r="177" spans="1:16" s="61" customFormat="1" x14ac:dyDescent="0.2">
      <c r="A177" s="369">
        <v>0</v>
      </c>
      <c r="B177" s="348"/>
      <c r="C177" s="318" t="s">
        <v>139</v>
      </c>
      <c r="D177" s="315" t="s">
        <v>78</v>
      </c>
      <c r="E177" s="319">
        <f>E176*1.05</f>
        <v>14.2905</v>
      </c>
      <c r="F177" s="320"/>
      <c r="G177" s="309"/>
      <c r="H177" s="310"/>
      <c r="I177" s="310"/>
      <c r="J177" s="310"/>
      <c r="K177" s="391">
        <f t="shared" si="21"/>
        <v>0</v>
      </c>
      <c r="L177" s="392">
        <f t="shared" si="22"/>
        <v>0</v>
      </c>
      <c r="M177" s="391">
        <f t="shared" si="23"/>
        <v>0</v>
      </c>
      <c r="N177" s="391">
        <f t="shared" si="24"/>
        <v>0</v>
      </c>
      <c r="O177" s="391">
        <f t="shared" si="25"/>
        <v>0</v>
      </c>
      <c r="P177" s="393">
        <f t="shared" si="26"/>
        <v>0</v>
      </c>
    </row>
    <row r="178" spans="1:16" s="61" customFormat="1" x14ac:dyDescent="0.2">
      <c r="A178" s="369">
        <v>0</v>
      </c>
      <c r="B178" s="348"/>
      <c r="C178" s="318" t="s">
        <v>136</v>
      </c>
      <c r="D178" s="315" t="s">
        <v>137</v>
      </c>
      <c r="E178" s="319">
        <f>E176*0.25</f>
        <v>3.4024999999999999</v>
      </c>
      <c r="F178" s="320"/>
      <c r="G178" s="309"/>
      <c r="H178" s="310"/>
      <c r="I178" s="321"/>
      <c r="J178" s="310"/>
      <c r="K178" s="391">
        <f t="shared" si="21"/>
        <v>0</v>
      </c>
      <c r="L178" s="392">
        <f t="shared" si="22"/>
        <v>0</v>
      </c>
      <c r="M178" s="391">
        <f t="shared" si="23"/>
        <v>0</v>
      </c>
      <c r="N178" s="391">
        <f t="shared" si="24"/>
        <v>0</v>
      </c>
      <c r="O178" s="391">
        <f t="shared" si="25"/>
        <v>0</v>
      </c>
      <c r="P178" s="393">
        <f t="shared" si="26"/>
        <v>0</v>
      </c>
    </row>
    <row r="179" spans="1:16" s="61" customFormat="1" ht="15" x14ac:dyDescent="0.25">
      <c r="A179" s="369">
        <v>89</v>
      </c>
      <c r="B179" s="223" t="str">
        <f t="shared" ref="B179:B235" si="34">IF(A179&gt;0,"L.c.",0)</f>
        <v>L.c.</v>
      </c>
      <c r="C179" s="328" t="s">
        <v>476</v>
      </c>
      <c r="D179" s="329" t="s">
        <v>57</v>
      </c>
      <c r="E179" s="308">
        <v>23</v>
      </c>
      <c r="F179" s="309"/>
      <c r="G179" s="309"/>
      <c r="H179" s="310"/>
      <c r="I179" s="310"/>
      <c r="J179" s="310"/>
      <c r="K179" s="391">
        <f t="shared" si="21"/>
        <v>0</v>
      </c>
      <c r="L179" s="392">
        <f t="shared" si="22"/>
        <v>0</v>
      </c>
      <c r="M179" s="391">
        <f t="shared" si="23"/>
        <v>0</v>
      </c>
      <c r="N179" s="391">
        <f t="shared" si="24"/>
        <v>0</v>
      </c>
      <c r="O179" s="391">
        <f t="shared" si="25"/>
        <v>0</v>
      </c>
      <c r="P179" s="393">
        <f t="shared" si="26"/>
        <v>0</v>
      </c>
    </row>
    <row r="180" spans="1:16" s="61" customFormat="1" ht="15" x14ac:dyDescent="0.2">
      <c r="A180" s="369">
        <v>90</v>
      </c>
      <c r="B180" s="223" t="str">
        <f t="shared" si="34"/>
        <v>L.c.</v>
      </c>
      <c r="C180" s="349" t="s">
        <v>741</v>
      </c>
      <c r="D180" s="352" t="s">
        <v>83</v>
      </c>
      <c r="E180" s="339">
        <v>8</v>
      </c>
      <c r="F180" s="213"/>
      <c r="G180" s="213"/>
      <c r="H180" s="214"/>
      <c r="I180" s="214"/>
      <c r="J180" s="214"/>
      <c r="K180" s="391">
        <f t="shared" si="21"/>
        <v>0</v>
      </c>
      <c r="L180" s="392">
        <f t="shared" si="22"/>
        <v>0</v>
      </c>
      <c r="M180" s="391">
        <f t="shared" si="23"/>
        <v>0</v>
      </c>
      <c r="N180" s="391">
        <f t="shared" si="24"/>
        <v>0</v>
      </c>
      <c r="O180" s="391">
        <f t="shared" si="25"/>
        <v>0</v>
      </c>
      <c r="P180" s="393">
        <f t="shared" si="26"/>
        <v>0</v>
      </c>
    </row>
    <row r="181" spans="1:16" s="61" customFormat="1" ht="30" x14ac:dyDescent="0.2">
      <c r="A181" s="369">
        <v>91</v>
      </c>
      <c r="B181" s="223" t="str">
        <f t="shared" si="34"/>
        <v>L.c.</v>
      </c>
      <c r="C181" s="370" t="s">
        <v>477</v>
      </c>
      <c r="D181" s="352" t="s">
        <v>57</v>
      </c>
      <c r="E181" s="339">
        <v>20</v>
      </c>
      <c r="F181" s="309"/>
      <c r="G181" s="309"/>
      <c r="H181" s="310"/>
      <c r="I181" s="310"/>
      <c r="J181" s="310"/>
      <c r="K181" s="391">
        <f t="shared" si="21"/>
        <v>0</v>
      </c>
      <c r="L181" s="392">
        <f t="shared" si="22"/>
        <v>0</v>
      </c>
      <c r="M181" s="391">
        <f t="shared" si="23"/>
        <v>0</v>
      </c>
      <c r="N181" s="391">
        <f t="shared" si="24"/>
        <v>0</v>
      </c>
      <c r="O181" s="391">
        <f t="shared" si="25"/>
        <v>0</v>
      </c>
      <c r="P181" s="393">
        <f t="shared" si="26"/>
        <v>0</v>
      </c>
    </row>
    <row r="182" spans="1:16" s="61" customFormat="1" ht="30" x14ac:dyDescent="0.2">
      <c r="A182" s="369">
        <v>92</v>
      </c>
      <c r="B182" s="223" t="str">
        <f t="shared" si="34"/>
        <v>L.c.</v>
      </c>
      <c r="C182" s="370" t="s">
        <v>478</v>
      </c>
      <c r="D182" s="352" t="s">
        <v>57</v>
      </c>
      <c r="E182" s="339">
        <v>12</v>
      </c>
      <c r="F182" s="309"/>
      <c r="G182" s="309"/>
      <c r="H182" s="310"/>
      <c r="I182" s="310"/>
      <c r="J182" s="310"/>
      <c r="K182" s="391">
        <f t="shared" si="21"/>
        <v>0</v>
      </c>
      <c r="L182" s="392">
        <f t="shared" si="22"/>
        <v>0</v>
      </c>
      <c r="M182" s="391">
        <f t="shared" si="23"/>
        <v>0</v>
      </c>
      <c r="N182" s="391">
        <f t="shared" si="24"/>
        <v>0</v>
      </c>
      <c r="O182" s="391">
        <f t="shared" si="25"/>
        <v>0</v>
      </c>
      <c r="P182" s="393">
        <f t="shared" si="26"/>
        <v>0</v>
      </c>
    </row>
    <row r="183" spans="1:16" s="61" customFormat="1" ht="15" x14ac:dyDescent="0.2">
      <c r="A183" s="369">
        <v>93</v>
      </c>
      <c r="B183" s="223" t="str">
        <f t="shared" si="34"/>
        <v>L.c.</v>
      </c>
      <c r="C183" s="349" t="s">
        <v>479</v>
      </c>
      <c r="D183" s="352" t="s">
        <v>57</v>
      </c>
      <c r="E183" s="339">
        <v>9</v>
      </c>
      <c r="F183" s="309"/>
      <c r="G183" s="309"/>
      <c r="H183" s="310"/>
      <c r="I183" s="310"/>
      <c r="J183" s="310"/>
      <c r="K183" s="391">
        <f t="shared" si="21"/>
        <v>0</v>
      </c>
      <c r="L183" s="392">
        <f t="shared" si="22"/>
        <v>0</v>
      </c>
      <c r="M183" s="391">
        <f t="shared" si="23"/>
        <v>0</v>
      </c>
      <c r="N183" s="391">
        <f t="shared" si="24"/>
        <v>0</v>
      </c>
      <c r="O183" s="391">
        <f t="shared" si="25"/>
        <v>0</v>
      </c>
      <c r="P183" s="393">
        <f t="shared" si="26"/>
        <v>0</v>
      </c>
    </row>
    <row r="184" spans="1:16" s="61" customFormat="1" ht="15" x14ac:dyDescent="0.2">
      <c r="A184" s="369">
        <v>94</v>
      </c>
      <c r="B184" s="223" t="str">
        <f t="shared" si="34"/>
        <v>L.c.</v>
      </c>
      <c r="C184" s="349" t="s">
        <v>480</v>
      </c>
      <c r="D184" s="352" t="s">
        <v>66</v>
      </c>
      <c r="E184" s="339">
        <v>1</v>
      </c>
      <c r="F184" s="309"/>
      <c r="G184" s="309"/>
      <c r="H184" s="310"/>
      <c r="I184" s="310"/>
      <c r="J184" s="310"/>
      <c r="K184" s="391">
        <f t="shared" si="21"/>
        <v>0</v>
      </c>
      <c r="L184" s="392">
        <f t="shared" si="22"/>
        <v>0</v>
      </c>
      <c r="M184" s="391">
        <f t="shared" si="23"/>
        <v>0</v>
      </c>
      <c r="N184" s="391">
        <f t="shared" si="24"/>
        <v>0</v>
      </c>
      <c r="O184" s="391">
        <f t="shared" si="25"/>
        <v>0</v>
      </c>
      <c r="P184" s="393">
        <f t="shared" si="26"/>
        <v>0</v>
      </c>
    </row>
    <row r="185" spans="1:16" s="61" customFormat="1" ht="31.5" x14ac:dyDescent="0.2">
      <c r="A185" s="368">
        <v>0</v>
      </c>
      <c r="B185" s="223">
        <f t="shared" si="34"/>
        <v>0</v>
      </c>
      <c r="C185" s="169" t="s">
        <v>481</v>
      </c>
      <c r="D185" s="146"/>
      <c r="E185" s="147"/>
      <c r="F185" s="148"/>
      <c r="G185" s="148"/>
      <c r="H185" s="149"/>
      <c r="I185" s="149"/>
      <c r="J185" s="149"/>
      <c r="K185" s="388">
        <f t="shared" si="21"/>
        <v>0</v>
      </c>
      <c r="L185" s="389">
        <f t="shared" si="22"/>
        <v>0</v>
      </c>
      <c r="M185" s="388">
        <f t="shared" si="23"/>
        <v>0</v>
      </c>
      <c r="N185" s="388">
        <f t="shared" si="24"/>
        <v>0</v>
      </c>
      <c r="O185" s="388">
        <f t="shared" si="25"/>
        <v>0</v>
      </c>
      <c r="P185" s="390">
        <f t="shared" si="26"/>
        <v>0</v>
      </c>
    </row>
    <row r="186" spans="1:16" s="61" customFormat="1" x14ac:dyDescent="0.2">
      <c r="A186" s="369">
        <v>0</v>
      </c>
      <c r="B186" s="223">
        <f t="shared" ref="B186:B192" si="35">IF(A186&gt;0,"L.c.",0)</f>
        <v>0</v>
      </c>
      <c r="C186" s="151" t="s">
        <v>781</v>
      </c>
      <c r="D186" s="188"/>
      <c r="E186" s="188"/>
      <c r="F186" s="188"/>
      <c r="G186" s="188"/>
      <c r="H186" s="188"/>
      <c r="I186" s="188"/>
      <c r="J186" s="188"/>
      <c r="K186" s="388">
        <f t="shared" ref="K186:K192" si="36">SUM(H186:J186)</f>
        <v>0</v>
      </c>
      <c r="L186" s="389">
        <f t="shared" ref="L186:L192" si="37">ROUND(F186*E186,2)</f>
        <v>0</v>
      </c>
      <c r="M186" s="388">
        <f t="shared" ref="M186:M192" si="38">ROUND(H186*E186,2)</f>
        <v>0</v>
      </c>
      <c r="N186" s="388">
        <f t="shared" ref="N186:N192" si="39">ROUND(I186*E186,2)</f>
        <v>0</v>
      </c>
      <c r="O186" s="388">
        <f t="shared" ref="O186:O192" si="40">ROUND(J186*E186,2)</f>
        <v>0</v>
      </c>
      <c r="P186" s="390">
        <f t="shared" ref="P186:P192" si="41">SUM(M186:O186)</f>
        <v>0</v>
      </c>
    </row>
    <row r="187" spans="1:16" s="61" customFormat="1" ht="89.25" x14ac:dyDescent="0.2">
      <c r="A187" s="369">
        <v>95</v>
      </c>
      <c r="B187" s="223" t="str">
        <f t="shared" si="35"/>
        <v>L.c.</v>
      </c>
      <c r="C187" s="327" t="s">
        <v>753</v>
      </c>
      <c r="D187" s="308" t="s">
        <v>131</v>
      </c>
      <c r="E187" s="308">
        <f>(458+45.8)*4</f>
        <v>2015.2</v>
      </c>
      <c r="F187" s="158"/>
      <c r="G187" s="159"/>
      <c r="H187" s="161"/>
      <c r="I187" s="161"/>
      <c r="J187" s="161"/>
      <c r="K187" s="388">
        <f t="shared" si="36"/>
        <v>0</v>
      </c>
      <c r="L187" s="389">
        <f t="shared" si="37"/>
        <v>0</v>
      </c>
      <c r="M187" s="388">
        <f t="shared" si="38"/>
        <v>0</v>
      </c>
      <c r="N187" s="388">
        <f t="shared" si="39"/>
        <v>0</v>
      </c>
      <c r="O187" s="388">
        <f t="shared" si="40"/>
        <v>0</v>
      </c>
      <c r="P187" s="390">
        <f t="shared" si="41"/>
        <v>0</v>
      </c>
    </row>
    <row r="188" spans="1:16" s="61" customFormat="1" x14ac:dyDescent="0.2">
      <c r="A188" s="369">
        <v>0</v>
      </c>
      <c r="B188" s="223">
        <f t="shared" si="35"/>
        <v>0</v>
      </c>
      <c r="C188" s="350" t="s">
        <v>188</v>
      </c>
      <c r="D188" s="308" t="s">
        <v>131</v>
      </c>
      <c r="E188" s="315">
        <f>E187*1.1</f>
        <v>2216.7200000000003</v>
      </c>
      <c r="F188" s="190"/>
      <c r="G188" s="159"/>
      <c r="H188" s="161"/>
      <c r="I188" s="161"/>
      <c r="J188" s="161"/>
      <c r="K188" s="388">
        <f t="shared" si="36"/>
        <v>0</v>
      </c>
      <c r="L188" s="389">
        <f t="shared" si="37"/>
        <v>0</v>
      </c>
      <c r="M188" s="388">
        <f t="shared" si="38"/>
        <v>0</v>
      </c>
      <c r="N188" s="388">
        <f t="shared" si="39"/>
        <v>0</v>
      </c>
      <c r="O188" s="388">
        <f t="shared" si="40"/>
        <v>0</v>
      </c>
      <c r="P188" s="390">
        <f t="shared" si="41"/>
        <v>0</v>
      </c>
    </row>
    <row r="189" spans="1:16" s="61" customFormat="1" x14ac:dyDescent="0.2">
      <c r="A189" s="369">
        <v>0</v>
      </c>
      <c r="B189" s="223">
        <f t="shared" si="35"/>
        <v>0</v>
      </c>
      <c r="C189" s="351" t="s">
        <v>189</v>
      </c>
      <c r="D189" s="308" t="s">
        <v>66</v>
      </c>
      <c r="E189" s="315">
        <v>1</v>
      </c>
      <c r="F189" s="190"/>
      <c r="G189" s="159"/>
      <c r="H189" s="161"/>
      <c r="I189" s="161"/>
      <c r="J189" s="161"/>
      <c r="K189" s="388">
        <f t="shared" si="36"/>
        <v>0</v>
      </c>
      <c r="L189" s="389">
        <f t="shared" si="37"/>
        <v>0</v>
      </c>
      <c r="M189" s="388">
        <f t="shared" si="38"/>
        <v>0</v>
      </c>
      <c r="N189" s="388">
        <f t="shared" si="39"/>
        <v>0</v>
      </c>
      <c r="O189" s="388">
        <f t="shared" si="40"/>
        <v>0</v>
      </c>
      <c r="P189" s="390">
        <f t="shared" si="41"/>
        <v>0</v>
      </c>
    </row>
    <row r="190" spans="1:16" s="61" customFormat="1" x14ac:dyDescent="0.2">
      <c r="A190" s="369">
        <v>96</v>
      </c>
      <c r="B190" s="223" t="str">
        <f t="shared" si="35"/>
        <v>L.c.</v>
      </c>
      <c r="C190" s="330" t="s">
        <v>750</v>
      </c>
      <c r="D190" s="339" t="s">
        <v>59</v>
      </c>
      <c r="E190" s="339">
        <f>24*4</f>
        <v>96</v>
      </c>
      <c r="F190" s="158"/>
      <c r="G190" s="159"/>
      <c r="H190" s="161"/>
      <c r="I190" s="161"/>
      <c r="J190" s="161"/>
      <c r="K190" s="388">
        <f t="shared" si="36"/>
        <v>0</v>
      </c>
      <c r="L190" s="389">
        <f t="shared" si="37"/>
        <v>0</v>
      </c>
      <c r="M190" s="388">
        <f t="shared" si="38"/>
        <v>0</v>
      </c>
      <c r="N190" s="388">
        <f t="shared" si="39"/>
        <v>0</v>
      </c>
      <c r="O190" s="388">
        <f t="shared" si="40"/>
        <v>0</v>
      </c>
      <c r="P190" s="390">
        <f t="shared" si="41"/>
        <v>0</v>
      </c>
    </row>
    <row r="191" spans="1:16" s="61" customFormat="1" x14ac:dyDescent="0.2">
      <c r="A191" s="369">
        <v>97</v>
      </c>
      <c r="B191" s="223" t="str">
        <f t="shared" si="35"/>
        <v>L.c.</v>
      </c>
      <c r="C191" s="407" t="s">
        <v>751</v>
      </c>
      <c r="D191" s="308" t="s">
        <v>83</v>
      </c>
      <c r="E191" s="315">
        <f>0.47*4</f>
        <v>1.88</v>
      </c>
      <c r="F191" s="190"/>
      <c r="G191" s="159"/>
      <c r="H191" s="161"/>
      <c r="I191" s="161"/>
      <c r="J191" s="161"/>
      <c r="K191" s="388">
        <f t="shared" si="36"/>
        <v>0</v>
      </c>
      <c r="L191" s="389">
        <f t="shared" si="37"/>
        <v>0</v>
      </c>
      <c r="M191" s="388">
        <f t="shared" si="38"/>
        <v>0</v>
      </c>
      <c r="N191" s="388">
        <f t="shared" si="39"/>
        <v>0</v>
      </c>
      <c r="O191" s="388">
        <f t="shared" si="40"/>
        <v>0</v>
      </c>
      <c r="P191" s="390">
        <f t="shared" si="41"/>
        <v>0</v>
      </c>
    </row>
    <row r="192" spans="1:16" s="61" customFormat="1" ht="15" x14ac:dyDescent="0.2">
      <c r="A192" s="367">
        <v>98</v>
      </c>
      <c r="B192" s="223" t="str">
        <f t="shared" si="35"/>
        <v>L.c.</v>
      </c>
      <c r="C192" s="371" t="s">
        <v>740</v>
      </c>
      <c r="D192" s="256" t="s">
        <v>199</v>
      </c>
      <c r="E192" s="334">
        <v>72</v>
      </c>
      <c r="F192" s="212"/>
      <c r="G192" s="212"/>
      <c r="H192" s="214"/>
      <c r="I192" s="214"/>
      <c r="J192" s="214"/>
      <c r="K192" s="388">
        <f t="shared" si="36"/>
        <v>0</v>
      </c>
      <c r="L192" s="389">
        <f t="shared" si="37"/>
        <v>0</v>
      </c>
      <c r="M192" s="388">
        <f t="shared" si="38"/>
        <v>0</v>
      </c>
      <c r="N192" s="388">
        <f t="shared" si="39"/>
        <v>0</v>
      </c>
      <c r="O192" s="388">
        <f t="shared" si="40"/>
        <v>0</v>
      </c>
      <c r="P192" s="390">
        <f t="shared" si="41"/>
        <v>0</v>
      </c>
    </row>
    <row r="193" spans="1:16" s="61" customFormat="1" ht="15.75" x14ac:dyDescent="0.2">
      <c r="A193" s="368"/>
      <c r="B193" s="223"/>
      <c r="C193" s="375"/>
      <c r="D193" s="146"/>
      <c r="E193" s="147"/>
      <c r="F193" s="148"/>
      <c r="G193" s="148"/>
      <c r="H193" s="149"/>
      <c r="I193" s="149"/>
      <c r="J193" s="149"/>
      <c r="K193" s="388"/>
      <c r="L193" s="389"/>
      <c r="M193" s="388"/>
      <c r="N193" s="388"/>
      <c r="O193" s="388"/>
      <c r="P193" s="390"/>
    </row>
    <row r="194" spans="1:16" s="61" customFormat="1" ht="15" x14ac:dyDescent="0.2">
      <c r="A194" s="368"/>
      <c r="B194" s="223">
        <f t="shared" ref="B194:B201" si="42">IF(A194&gt;0,"L.c.",0)</f>
        <v>0</v>
      </c>
      <c r="C194" s="348" t="s">
        <v>752</v>
      </c>
      <c r="D194" s="330"/>
      <c r="E194" s="330"/>
      <c r="F194" s="330"/>
      <c r="G194" s="330"/>
      <c r="H194" s="330"/>
      <c r="I194" s="330"/>
      <c r="J194" s="330"/>
      <c r="K194" s="391">
        <f t="shared" ref="K194:K206" si="43">SUM(H194:J194)</f>
        <v>0</v>
      </c>
      <c r="L194" s="392">
        <f t="shared" ref="L194:L206" si="44">ROUND(F194*E194,2)</f>
        <v>0</v>
      </c>
      <c r="M194" s="391">
        <f t="shared" ref="M194:M206" si="45">ROUND(H194*E194,2)</f>
        <v>0</v>
      </c>
      <c r="N194" s="391">
        <f t="shared" ref="N194:N206" si="46">ROUND(I194*E194,2)</f>
        <v>0</v>
      </c>
      <c r="O194" s="391">
        <f t="shared" ref="O194:O206" si="47">ROUND(J194*E194,2)</f>
        <v>0</v>
      </c>
      <c r="P194" s="393">
        <f t="shared" ref="P194:P206" si="48">SUM(M194:O194)</f>
        <v>0</v>
      </c>
    </row>
    <row r="195" spans="1:16" s="61" customFormat="1" ht="89.25" x14ac:dyDescent="0.2">
      <c r="A195" s="368">
        <v>99</v>
      </c>
      <c r="B195" s="223" t="str">
        <f t="shared" si="42"/>
        <v>L.c.</v>
      </c>
      <c r="C195" s="327" t="s">
        <v>753</v>
      </c>
      <c r="D195" s="308" t="s">
        <v>131</v>
      </c>
      <c r="E195" s="308">
        <f>490+71+128+29.5+71.85</f>
        <v>790.35</v>
      </c>
      <c r="F195" s="308"/>
      <c r="G195" s="309"/>
      <c r="H195" s="310"/>
      <c r="I195" s="310"/>
      <c r="J195" s="310"/>
      <c r="K195" s="391">
        <f t="shared" si="43"/>
        <v>0</v>
      </c>
      <c r="L195" s="392">
        <f t="shared" si="44"/>
        <v>0</v>
      </c>
      <c r="M195" s="391">
        <f t="shared" si="45"/>
        <v>0</v>
      </c>
      <c r="N195" s="391">
        <f t="shared" si="46"/>
        <v>0</v>
      </c>
      <c r="O195" s="391">
        <f t="shared" si="47"/>
        <v>0</v>
      </c>
      <c r="P195" s="393">
        <f t="shared" si="48"/>
        <v>0</v>
      </c>
    </row>
    <row r="196" spans="1:16" s="61" customFormat="1" ht="15" x14ac:dyDescent="0.2">
      <c r="A196" s="368"/>
      <c r="B196" s="223">
        <f t="shared" si="42"/>
        <v>0</v>
      </c>
      <c r="C196" s="350" t="s">
        <v>188</v>
      </c>
      <c r="D196" s="308" t="s">
        <v>131</v>
      </c>
      <c r="E196" s="315">
        <f>E195*1.1</f>
        <v>869.3850000000001</v>
      </c>
      <c r="F196" s="315"/>
      <c r="G196" s="309"/>
      <c r="H196" s="310"/>
      <c r="I196" s="310"/>
      <c r="J196" s="310"/>
      <c r="K196" s="391">
        <f t="shared" si="43"/>
        <v>0</v>
      </c>
      <c r="L196" s="392">
        <f t="shared" si="44"/>
        <v>0</v>
      </c>
      <c r="M196" s="391">
        <f t="shared" si="45"/>
        <v>0</v>
      </c>
      <c r="N196" s="391">
        <f t="shared" si="46"/>
        <v>0</v>
      </c>
      <c r="O196" s="391">
        <f t="shared" si="47"/>
        <v>0</v>
      </c>
      <c r="P196" s="393">
        <f t="shared" si="48"/>
        <v>0</v>
      </c>
    </row>
    <row r="197" spans="1:16" s="61" customFormat="1" ht="15" x14ac:dyDescent="0.2">
      <c r="A197" s="368"/>
      <c r="B197" s="223">
        <f t="shared" si="42"/>
        <v>0</v>
      </c>
      <c r="C197" s="351" t="s">
        <v>189</v>
      </c>
      <c r="D197" s="308" t="s">
        <v>66</v>
      </c>
      <c r="E197" s="315">
        <v>1</v>
      </c>
      <c r="F197" s="315"/>
      <c r="G197" s="309"/>
      <c r="H197" s="310"/>
      <c r="I197" s="310"/>
      <c r="J197" s="310"/>
      <c r="K197" s="391">
        <f t="shared" si="43"/>
        <v>0</v>
      </c>
      <c r="L197" s="392">
        <f t="shared" si="44"/>
        <v>0</v>
      </c>
      <c r="M197" s="391">
        <f t="shared" si="45"/>
        <v>0</v>
      </c>
      <c r="N197" s="391">
        <f t="shared" si="46"/>
        <v>0</v>
      </c>
      <c r="O197" s="391">
        <f t="shared" si="47"/>
        <v>0</v>
      </c>
      <c r="P197" s="393">
        <f t="shared" si="48"/>
        <v>0</v>
      </c>
    </row>
    <row r="198" spans="1:16" s="61" customFormat="1" ht="15" x14ac:dyDescent="0.2">
      <c r="A198" s="368">
        <v>100</v>
      </c>
      <c r="B198" s="223" t="str">
        <f t="shared" si="42"/>
        <v>L.c.</v>
      </c>
      <c r="C198" s="330" t="s">
        <v>750</v>
      </c>
      <c r="D198" s="339" t="s">
        <v>59</v>
      </c>
      <c r="E198" s="339">
        <v>26</v>
      </c>
      <c r="F198" s="308"/>
      <c r="G198" s="309"/>
      <c r="H198" s="310"/>
      <c r="I198" s="310"/>
      <c r="J198" s="310"/>
      <c r="K198" s="391">
        <f t="shared" si="43"/>
        <v>0</v>
      </c>
      <c r="L198" s="392">
        <f t="shared" si="44"/>
        <v>0</v>
      </c>
      <c r="M198" s="391">
        <f t="shared" si="45"/>
        <v>0</v>
      </c>
      <c r="N198" s="391">
        <f t="shared" si="46"/>
        <v>0</v>
      </c>
      <c r="O198" s="391">
        <f t="shared" si="47"/>
        <v>0</v>
      </c>
      <c r="P198" s="393">
        <f t="shared" si="48"/>
        <v>0</v>
      </c>
    </row>
    <row r="199" spans="1:16" s="61" customFormat="1" ht="15" x14ac:dyDescent="0.2">
      <c r="A199" s="368">
        <v>101</v>
      </c>
      <c r="B199" s="223" t="str">
        <f t="shared" si="42"/>
        <v>L.c.</v>
      </c>
      <c r="C199" s="407" t="s">
        <v>751</v>
      </c>
      <c r="D199" s="308" t="s">
        <v>83</v>
      </c>
      <c r="E199" s="315">
        <v>2.2000000000000002</v>
      </c>
      <c r="F199" s="315"/>
      <c r="G199" s="309"/>
      <c r="H199" s="310"/>
      <c r="I199" s="310"/>
      <c r="J199" s="310"/>
      <c r="K199" s="391">
        <f t="shared" si="43"/>
        <v>0</v>
      </c>
      <c r="L199" s="392">
        <f t="shared" si="44"/>
        <v>0</v>
      </c>
      <c r="M199" s="391">
        <f t="shared" si="45"/>
        <v>0</v>
      </c>
      <c r="N199" s="391">
        <f t="shared" si="46"/>
        <v>0</v>
      </c>
      <c r="O199" s="391">
        <f t="shared" si="47"/>
        <v>0</v>
      </c>
      <c r="P199" s="393">
        <f t="shared" si="48"/>
        <v>0</v>
      </c>
    </row>
    <row r="200" spans="1:16" s="61" customFormat="1" ht="15" x14ac:dyDescent="0.2">
      <c r="A200" s="368">
        <v>102</v>
      </c>
      <c r="B200" s="223" t="str">
        <f t="shared" si="42"/>
        <v>L.c.</v>
      </c>
      <c r="C200" s="371" t="s">
        <v>740</v>
      </c>
      <c r="D200" s="256" t="s">
        <v>199</v>
      </c>
      <c r="E200" s="334">
        <v>16</v>
      </c>
      <c r="F200" s="213"/>
      <c r="G200" s="213"/>
      <c r="H200" s="214"/>
      <c r="I200" s="214"/>
      <c r="J200" s="214"/>
      <c r="K200" s="391">
        <f t="shared" si="43"/>
        <v>0</v>
      </c>
      <c r="L200" s="392">
        <f t="shared" si="44"/>
        <v>0</v>
      </c>
      <c r="M200" s="391">
        <f t="shared" si="45"/>
        <v>0</v>
      </c>
      <c r="N200" s="391">
        <f t="shared" si="46"/>
        <v>0</v>
      </c>
      <c r="O200" s="391">
        <f t="shared" si="47"/>
        <v>0</v>
      </c>
      <c r="P200" s="393">
        <f t="shared" si="48"/>
        <v>0</v>
      </c>
    </row>
    <row r="201" spans="1:16" s="61" customFormat="1" ht="89.25" x14ac:dyDescent="0.2">
      <c r="A201" s="368">
        <v>103</v>
      </c>
      <c r="B201" s="223" t="str">
        <f t="shared" si="42"/>
        <v>L.c.</v>
      </c>
      <c r="C201" s="312" t="s">
        <v>734</v>
      </c>
      <c r="D201" s="308" t="s">
        <v>131</v>
      </c>
      <c r="E201" s="309">
        <v>9.5</v>
      </c>
      <c r="F201" s="313"/>
      <c r="G201" s="309"/>
      <c r="H201" s="310"/>
      <c r="I201" s="310"/>
      <c r="J201" s="310"/>
      <c r="K201" s="391">
        <f t="shared" si="43"/>
        <v>0</v>
      </c>
      <c r="L201" s="392">
        <f t="shared" si="44"/>
        <v>0</v>
      </c>
      <c r="M201" s="391">
        <f t="shared" si="45"/>
        <v>0</v>
      </c>
      <c r="N201" s="391">
        <f t="shared" si="46"/>
        <v>0</v>
      </c>
      <c r="O201" s="391">
        <f t="shared" si="47"/>
        <v>0</v>
      </c>
      <c r="P201" s="393">
        <f t="shared" si="48"/>
        <v>0</v>
      </c>
    </row>
    <row r="202" spans="1:16" s="61" customFormat="1" ht="15" x14ac:dyDescent="0.2">
      <c r="A202" s="368"/>
      <c r="B202" s="223"/>
      <c r="C202" s="314" t="s">
        <v>132</v>
      </c>
      <c r="D202" s="315" t="s">
        <v>131</v>
      </c>
      <c r="E202" s="316">
        <f>E201*1.15</f>
        <v>10.924999999999999</v>
      </c>
      <c r="F202" s="309"/>
      <c r="G202" s="309"/>
      <c r="H202" s="310"/>
      <c r="I202" s="310"/>
      <c r="J202" s="310"/>
      <c r="K202" s="391">
        <f t="shared" si="43"/>
        <v>0</v>
      </c>
      <c r="L202" s="392">
        <f t="shared" si="44"/>
        <v>0</v>
      </c>
      <c r="M202" s="391">
        <f t="shared" si="45"/>
        <v>0</v>
      </c>
      <c r="N202" s="391">
        <f t="shared" si="46"/>
        <v>0</v>
      </c>
      <c r="O202" s="391">
        <f t="shared" si="47"/>
        <v>0</v>
      </c>
      <c r="P202" s="393">
        <f t="shared" si="48"/>
        <v>0</v>
      </c>
    </row>
    <row r="203" spans="1:16" s="61" customFormat="1" ht="25.5" x14ac:dyDescent="0.2">
      <c r="A203" s="368"/>
      <c r="B203" s="223"/>
      <c r="C203" s="317" t="s">
        <v>133</v>
      </c>
      <c r="D203" s="308" t="s">
        <v>66</v>
      </c>
      <c r="E203" s="308">
        <v>1</v>
      </c>
      <c r="F203" s="309"/>
      <c r="G203" s="309"/>
      <c r="H203" s="310"/>
      <c r="I203" s="310"/>
      <c r="J203" s="310"/>
      <c r="K203" s="391">
        <f t="shared" si="43"/>
        <v>0</v>
      </c>
      <c r="L203" s="392">
        <f t="shared" si="44"/>
        <v>0</v>
      </c>
      <c r="M203" s="391">
        <f t="shared" si="45"/>
        <v>0</v>
      </c>
      <c r="N203" s="391">
        <f t="shared" si="46"/>
        <v>0</v>
      </c>
      <c r="O203" s="391">
        <f t="shared" si="47"/>
        <v>0</v>
      </c>
      <c r="P203" s="393">
        <f t="shared" si="48"/>
        <v>0</v>
      </c>
    </row>
    <row r="204" spans="1:16" s="61" customFormat="1" ht="45" x14ac:dyDescent="0.2">
      <c r="A204" s="368">
        <v>104</v>
      </c>
      <c r="B204" s="223"/>
      <c r="C204" s="338" t="s">
        <v>157</v>
      </c>
      <c r="D204" s="315" t="s">
        <v>78</v>
      </c>
      <c r="E204" s="309">
        <v>0.1</v>
      </c>
      <c r="F204" s="309"/>
      <c r="G204" s="309"/>
      <c r="H204" s="310"/>
      <c r="I204" s="310"/>
      <c r="J204" s="310"/>
      <c r="K204" s="391">
        <f t="shared" si="43"/>
        <v>0</v>
      </c>
      <c r="L204" s="392">
        <f t="shared" si="44"/>
        <v>0</v>
      </c>
      <c r="M204" s="391">
        <f t="shared" si="45"/>
        <v>0</v>
      </c>
      <c r="N204" s="391">
        <f t="shared" si="46"/>
        <v>0</v>
      </c>
      <c r="O204" s="391">
        <f t="shared" si="47"/>
        <v>0</v>
      </c>
      <c r="P204" s="393">
        <f t="shared" si="48"/>
        <v>0</v>
      </c>
    </row>
    <row r="205" spans="1:16" s="61" customFormat="1" ht="15" x14ac:dyDescent="0.25">
      <c r="A205" s="368"/>
      <c r="B205" s="223"/>
      <c r="C205" s="326" t="s">
        <v>158</v>
      </c>
      <c r="D205" s="315" t="s">
        <v>78</v>
      </c>
      <c r="E205" s="319">
        <f>E204*1.05</f>
        <v>0.10500000000000001</v>
      </c>
      <c r="F205" s="320"/>
      <c r="G205" s="309"/>
      <c r="H205" s="310"/>
      <c r="I205" s="310"/>
      <c r="J205" s="310"/>
      <c r="K205" s="391">
        <f t="shared" si="43"/>
        <v>0</v>
      </c>
      <c r="L205" s="392">
        <f t="shared" si="44"/>
        <v>0</v>
      </c>
      <c r="M205" s="391">
        <f t="shared" si="45"/>
        <v>0</v>
      </c>
      <c r="N205" s="391">
        <f t="shared" si="46"/>
        <v>0</v>
      </c>
      <c r="O205" s="391">
        <f t="shared" si="47"/>
        <v>0</v>
      </c>
      <c r="P205" s="393">
        <f t="shared" si="48"/>
        <v>0</v>
      </c>
    </row>
    <row r="206" spans="1:16" s="61" customFormat="1" ht="25.5" x14ac:dyDescent="0.2">
      <c r="A206" s="368">
        <v>105</v>
      </c>
      <c r="B206" s="223"/>
      <c r="C206" s="312" t="s">
        <v>733</v>
      </c>
      <c r="D206" s="308" t="s">
        <v>83</v>
      </c>
      <c r="E206" s="309">
        <v>1</v>
      </c>
      <c r="F206" s="310"/>
      <c r="G206" s="309"/>
      <c r="H206" s="310"/>
      <c r="I206" s="310"/>
      <c r="J206" s="310"/>
      <c r="K206" s="391">
        <f t="shared" si="43"/>
        <v>0</v>
      </c>
      <c r="L206" s="392">
        <f t="shared" si="44"/>
        <v>0</v>
      </c>
      <c r="M206" s="391">
        <f t="shared" si="45"/>
        <v>0</v>
      </c>
      <c r="N206" s="391">
        <f t="shared" si="46"/>
        <v>0</v>
      </c>
      <c r="O206" s="391">
        <f t="shared" si="47"/>
        <v>0</v>
      </c>
      <c r="P206" s="393">
        <f t="shared" si="48"/>
        <v>0</v>
      </c>
    </row>
    <row r="207" spans="1:16" s="61" customFormat="1" ht="15.75" x14ac:dyDescent="0.2">
      <c r="A207" s="368"/>
      <c r="B207" s="223"/>
      <c r="C207" s="331"/>
      <c r="D207" s="225"/>
      <c r="E207" s="332"/>
      <c r="F207" s="148"/>
      <c r="G207" s="148"/>
      <c r="H207" s="149"/>
      <c r="I207" s="149"/>
      <c r="J207" s="149"/>
      <c r="K207" s="391"/>
      <c r="L207" s="392"/>
      <c r="M207" s="391"/>
      <c r="N207" s="391"/>
      <c r="O207" s="391"/>
      <c r="P207" s="393"/>
    </row>
    <row r="208" spans="1:16" s="61" customFormat="1" x14ac:dyDescent="0.2">
      <c r="A208" s="369">
        <v>0</v>
      </c>
      <c r="B208" s="223">
        <f t="shared" si="34"/>
        <v>0</v>
      </c>
      <c r="C208" s="348" t="s">
        <v>754</v>
      </c>
      <c r="D208" s="330"/>
      <c r="E208" s="330"/>
      <c r="F208" s="330"/>
      <c r="G208" s="330"/>
      <c r="H208" s="330"/>
      <c r="I208" s="330"/>
      <c r="J208" s="330"/>
      <c r="K208" s="391">
        <f t="shared" si="21"/>
        <v>0</v>
      </c>
      <c r="L208" s="392">
        <f t="shared" si="22"/>
        <v>0</v>
      </c>
      <c r="M208" s="391">
        <f t="shared" si="23"/>
        <v>0</v>
      </c>
      <c r="N208" s="391">
        <f t="shared" si="24"/>
        <v>0</v>
      </c>
      <c r="O208" s="391">
        <f t="shared" si="25"/>
        <v>0</v>
      </c>
      <c r="P208" s="393">
        <f t="shared" si="26"/>
        <v>0</v>
      </c>
    </row>
    <row r="209" spans="1:16" s="61" customFormat="1" ht="123" customHeight="1" x14ac:dyDescent="0.2">
      <c r="A209" s="369">
        <v>106</v>
      </c>
      <c r="B209" s="223" t="str">
        <f t="shared" si="34"/>
        <v>L.c.</v>
      </c>
      <c r="C209" s="327" t="s">
        <v>295</v>
      </c>
      <c r="D209" s="308" t="s">
        <v>131</v>
      </c>
      <c r="E209" s="308">
        <f>637.5+88+78+14.5+81.8</f>
        <v>899.8</v>
      </c>
      <c r="F209" s="308"/>
      <c r="G209" s="309"/>
      <c r="H209" s="310"/>
      <c r="I209" s="310"/>
      <c r="J209" s="310"/>
      <c r="K209" s="391">
        <f t="shared" si="21"/>
        <v>0</v>
      </c>
      <c r="L209" s="392">
        <f t="shared" si="22"/>
        <v>0</v>
      </c>
      <c r="M209" s="391">
        <f t="shared" si="23"/>
        <v>0</v>
      </c>
      <c r="N209" s="391">
        <f t="shared" si="24"/>
        <v>0</v>
      </c>
      <c r="O209" s="391">
        <f t="shared" si="25"/>
        <v>0</v>
      </c>
      <c r="P209" s="393">
        <f t="shared" si="26"/>
        <v>0</v>
      </c>
    </row>
    <row r="210" spans="1:16" s="61" customFormat="1" x14ac:dyDescent="0.2">
      <c r="A210" s="369"/>
      <c r="B210" s="223">
        <f t="shared" si="34"/>
        <v>0</v>
      </c>
      <c r="C210" s="350" t="s">
        <v>188</v>
      </c>
      <c r="D210" s="308" t="s">
        <v>131</v>
      </c>
      <c r="E210" s="315">
        <f>E209*1.1</f>
        <v>989.78000000000009</v>
      </c>
      <c r="F210" s="315"/>
      <c r="G210" s="309"/>
      <c r="H210" s="310"/>
      <c r="I210" s="310"/>
      <c r="J210" s="310"/>
      <c r="K210" s="391">
        <f t="shared" si="21"/>
        <v>0</v>
      </c>
      <c r="L210" s="392">
        <f t="shared" si="22"/>
        <v>0</v>
      </c>
      <c r="M210" s="391">
        <f t="shared" si="23"/>
        <v>0</v>
      </c>
      <c r="N210" s="391">
        <f t="shared" si="24"/>
        <v>0</v>
      </c>
      <c r="O210" s="391">
        <f t="shared" si="25"/>
        <v>0</v>
      </c>
      <c r="P210" s="393">
        <f t="shared" si="26"/>
        <v>0</v>
      </c>
    </row>
    <row r="211" spans="1:16" s="61" customFormat="1" x14ac:dyDescent="0.2">
      <c r="A211" s="369"/>
      <c r="B211" s="223">
        <f t="shared" si="34"/>
        <v>0</v>
      </c>
      <c r="C211" s="351" t="s">
        <v>189</v>
      </c>
      <c r="D211" s="308" t="s">
        <v>66</v>
      </c>
      <c r="E211" s="315">
        <v>1</v>
      </c>
      <c r="F211" s="315"/>
      <c r="G211" s="309"/>
      <c r="H211" s="310"/>
      <c r="I211" s="310"/>
      <c r="J211" s="310"/>
      <c r="K211" s="391">
        <f t="shared" si="21"/>
        <v>0</v>
      </c>
      <c r="L211" s="392">
        <f t="shared" si="22"/>
        <v>0</v>
      </c>
      <c r="M211" s="391">
        <f t="shared" si="23"/>
        <v>0</v>
      </c>
      <c r="N211" s="391">
        <f t="shared" si="24"/>
        <v>0</v>
      </c>
      <c r="O211" s="391">
        <f t="shared" si="25"/>
        <v>0</v>
      </c>
      <c r="P211" s="393">
        <f t="shared" si="26"/>
        <v>0</v>
      </c>
    </row>
    <row r="212" spans="1:16" s="61" customFormat="1" x14ac:dyDescent="0.2">
      <c r="A212" s="369">
        <v>107</v>
      </c>
      <c r="B212" s="223" t="str">
        <f t="shared" si="34"/>
        <v>L.c.</v>
      </c>
      <c r="C212" s="330" t="s">
        <v>482</v>
      </c>
      <c r="D212" s="339" t="s">
        <v>59</v>
      </c>
      <c r="E212" s="339">
        <v>34</v>
      </c>
      <c r="F212" s="308"/>
      <c r="G212" s="309"/>
      <c r="H212" s="310"/>
      <c r="I212" s="310"/>
      <c r="J212" s="310"/>
      <c r="K212" s="391">
        <f t="shared" si="21"/>
        <v>0</v>
      </c>
      <c r="L212" s="392">
        <f t="shared" si="22"/>
        <v>0</v>
      </c>
      <c r="M212" s="391">
        <f t="shared" si="23"/>
        <v>0</v>
      </c>
      <c r="N212" s="391">
        <f t="shared" si="24"/>
        <v>0</v>
      </c>
      <c r="O212" s="391">
        <f t="shared" si="25"/>
        <v>0</v>
      </c>
      <c r="P212" s="393">
        <f t="shared" si="26"/>
        <v>0</v>
      </c>
    </row>
    <row r="213" spans="1:16" s="61" customFormat="1" x14ac:dyDescent="0.2">
      <c r="A213" s="369">
        <v>108</v>
      </c>
      <c r="B213" s="223" t="str">
        <f t="shared" si="34"/>
        <v>L.c.</v>
      </c>
      <c r="C213" s="407" t="s">
        <v>751</v>
      </c>
      <c r="D213" s="308" t="s">
        <v>83</v>
      </c>
      <c r="E213" s="315">
        <v>0.65</v>
      </c>
      <c r="F213" s="315"/>
      <c r="G213" s="309"/>
      <c r="H213" s="310"/>
      <c r="I213" s="310"/>
      <c r="J213" s="310"/>
      <c r="K213" s="391">
        <f t="shared" si="21"/>
        <v>0</v>
      </c>
      <c r="L213" s="392">
        <f t="shared" si="22"/>
        <v>0</v>
      </c>
      <c r="M213" s="391">
        <f t="shared" si="23"/>
        <v>0</v>
      </c>
      <c r="N213" s="391">
        <f t="shared" si="24"/>
        <v>0</v>
      </c>
      <c r="O213" s="391">
        <f t="shared" si="25"/>
        <v>0</v>
      </c>
      <c r="P213" s="393">
        <f t="shared" si="26"/>
        <v>0</v>
      </c>
    </row>
    <row r="214" spans="1:16" s="61" customFormat="1" ht="15" x14ac:dyDescent="0.2">
      <c r="A214" s="367">
        <v>109</v>
      </c>
      <c r="B214" s="223" t="str">
        <f t="shared" si="34"/>
        <v>L.c.</v>
      </c>
      <c r="C214" s="371" t="s">
        <v>740</v>
      </c>
      <c r="D214" s="256" t="s">
        <v>199</v>
      </c>
      <c r="E214" s="334">
        <v>18</v>
      </c>
      <c r="F214" s="213"/>
      <c r="G214" s="213"/>
      <c r="H214" s="214"/>
      <c r="I214" s="214"/>
      <c r="J214" s="214"/>
      <c r="K214" s="391">
        <f t="shared" si="21"/>
        <v>0</v>
      </c>
      <c r="L214" s="392">
        <f t="shared" si="22"/>
        <v>0</v>
      </c>
      <c r="M214" s="391">
        <f t="shared" si="23"/>
        <v>0</v>
      </c>
      <c r="N214" s="391">
        <f t="shared" si="24"/>
        <v>0</v>
      </c>
      <c r="O214" s="391">
        <f t="shared" si="25"/>
        <v>0</v>
      </c>
      <c r="P214" s="393">
        <f t="shared" si="26"/>
        <v>0</v>
      </c>
    </row>
    <row r="215" spans="1:16" s="61" customFormat="1" x14ac:dyDescent="0.2">
      <c r="A215" s="369">
        <v>0</v>
      </c>
      <c r="B215" s="223">
        <f t="shared" si="34"/>
        <v>0</v>
      </c>
      <c r="C215" s="330"/>
      <c r="D215" s="330"/>
      <c r="E215" s="330"/>
      <c r="F215" s="330"/>
      <c r="G215" s="330"/>
      <c r="H215" s="330"/>
      <c r="I215" s="330"/>
      <c r="J215" s="330"/>
      <c r="K215" s="391">
        <f t="shared" ref="K215:K238" si="49">SUM(H215:J215)</f>
        <v>0</v>
      </c>
      <c r="L215" s="392">
        <f t="shared" ref="L215:L238" si="50">ROUND(F215*E215,2)</f>
        <v>0</v>
      </c>
      <c r="M215" s="391">
        <f t="shared" ref="M215:M238" si="51">ROUND(H215*E215,2)</f>
        <v>0</v>
      </c>
      <c r="N215" s="391">
        <f t="shared" ref="N215:N238" si="52">ROUND(I215*E215,2)</f>
        <v>0</v>
      </c>
      <c r="O215" s="391">
        <f t="shared" ref="O215:O238" si="53">ROUND(J215*E215,2)</f>
        <v>0</v>
      </c>
      <c r="P215" s="393">
        <f t="shared" ref="P215:P238" si="54">SUM(M215:O215)</f>
        <v>0</v>
      </c>
    </row>
    <row r="216" spans="1:16" s="61" customFormat="1" x14ac:dyDescent="0.2">
      <c r="A216" s="369">
        <v>0</v>
      </c>
      <c r="B216" s="223">
        <f t="shared" si="34"/>
        <v>0</v>
      </c>
      <c r="C216" s="307" t="s">
        <v>755</v>
      </c>
      <c r="D216" s="308"/>
      <c r="E216" s="308"/>
      <c r="F216" s="309"/>
      <c r="G216" s="309"/>
      <c r="H216" s="310"/>
      <c r="I216" s="310"/>
      <c r="J216" s="310"/>
      <c r="K216" s="391">
        <f t="shared" si="49"/>
        <v>0</v>
      </c>
      <c r="L216" s="392">
        <f t="shared" si="50"/>
        <v>0</v>
      </c>
      <c r="M216" s="391">
        <f t="shared" si="51"/>
        <v>0</v>
      </c>
      <c r="N216" s="391">
        <f t="shared" si="52"/>
        <v>0</v>
      </c>
      <c r="O216" s="391">
        <f t="shared" si="53"/>
        <v>0</v>
      </c>
      <c r="P216" s="393">
        <f t="shared" si="54"/>
        <v>0</v>
      </c>
    </row>
    <row r="217" spans="1:16" s="61" customFormat="1" ht="102" x14ac:dyDescent="0.2">
      <c r="A217" s="369">
        <v>110</v>
      </c>
      <c r="B217" s="223" t="str">
        <f t="shared" si="34"/>
        <v>L.c.</v>
      </c>
      <c r="C217" s="327" t="s">
        <v>295</v>
      </c>
      <c r="D217" s="308" t="s">
        <v>131</v>
      </c>
      <c r="E217" s="308">
        <f>167.2+64.78+1386.3+198.2+668+149.5+65.4+270+280.7+117.8+102.7+136.6</f>
        <v>3607.18</v>
      </c>
      <c r="F217" s="308"/>
      <c r="G217" s="309"/>
      <c r="H217" s="310"/>
      <c r="I217" s="310"/>
      <c r="J217" s="310"/>
      <c r="K217" s="391">
        <f t="shared" si="49"/>
        <v>0</v>
      </c>
      <c r="L217" s="392">
        <f t="shared" si="50"/>
        <v>0</v>
      </c>
      <c r="M217" s="391">
        <f t="shared" si="51"/>
        <v>0</v>
      </c>
      <c r="N217" s="391">
        <f t="shared" si="52"/>
        <v>0</v>
      </c>
      <c r="O217" s="391">
        <f t="shared" si="53"/>
        <v>0</v>
      </c>
      <c r="P217" s="393">
        <f t="shared" si="54"/>
        <v>0</v>
      </c>
    </row>
    <row r="218" spans="1:16" s="61" customFormat="1" x14ac:dyDescent="0.2">
      <c r="A218" s="369">
        <v>0</v>
      </c>
      <c r="B218" s="223">
        <f t="shared" si="34"/>
        <v>0</v>
      </c>
      <c r="C218" s="350" t="s">
        <v>188</v>
      </c>
      <c r="D218" s="308" t="s">
        <v>131</v>
      </c>
      <c r="E218" s="315">
        <f>E217*1.1</f>
        <v>3967.8980000000001</v>
      </c>
      <c r="F218" s="315"/>
      <c r="G218" s="309"/>
      <c r="H218" s="310"/>
      <c r="I218" s="310"/>
      <c r="J218" s="310"/>
      <c r="K218" s="391">
        <f t="shared" si="49"/>
        <v>0</v>
      </c>
      <c r="L218" s="392">
        <f t="shared" si="50"/>
        <v>0</v>
      </c>
      <c r="M218" s="391">
        <f t="shared" si="51"/>
        <v>0</v>
      </c>
      <c r="N218" s="391">
        <f t="shared" si="52"/>
        <v>0</v>
      </c>
      <c r="O218" s="391">
        <f t="shared" si="53"/>
        <v>0</v>
      </c>
      <c r="P218" s="393">
        <f t="shared" si="54"/>
        <v>0</v>
      </c>
    </row>
    <row r="219" spans="1:16" s="61" customFormat="1" x14ac:dyDescent="0.2">
      <c r="A219" s="369">
        <v>0</v>
      </c>
      <c r="B219" s="223">
        <f t="shared" si="34"/>
        <v>0</v>
      </c>
      <c r="C219" s="351" t="s">
        <v>189</v>
      </c>
      <c r="D219" s="308" t="s">
        <v>66</v>
      </c>
      <c r="E219" s="315">
        <v>1</v>
      </c>
      <c r="F219" s="315"/>
      <c r="G219" s="309"/>
      <c r="H219" s="310"/>
      <c r="I219" s="310"/>
      <c r="J219" s="310"/>
      <c r="K219" s="391">
        <f t="shared" si="49"/>
        <v>0</v>
      </c>
      <c r="L219" s="392">
        <f t="shared" si="50"/>
        <v>0</v>
      </c>
      <c r="M219" s="391">
        <f t="shared" si="51"/>
        <v>0</v>
      </c>
      <c r="N219" s="391">
        <f t="shared" si="52"/>
        <v>0</v>
      </c>
      <c r="O219" s="391">
        <f t="shared" si="53"/>
        <v>0</v>
      </c>
      <c r="P219" s="393">
        <f t="shared" si="54"/>
        <v>0</v>
      </c>
    </row>
    <row r="220" spans="1:16" s="61" customFormat="1" x14ac:dyDescent="0.2">
      <c r="A220" s="369">
        <v>111</v>
      </c>
      <c r="B220" s="223" t="str">
        <f t="shared" si="34"/>
        <v>L.c.</v>
      </c>
      <c r="C220" s="407" t="s">
        <v>468</v>
      </c>
      <c r="D220" s="308" t="s">
        <v>83</v>
      </c>
      <c r="E220" s="315">
        <v>41.8</v>
      </c>
      <c r="F220" s="315"/>
      <c r="G220" s="309"/>
      <c r="H220" s="310"/>
      <c r="I220" s="310"/>
      <c r="J220" s="310"/>
      <c r="K220" s="391">
        <f t="shared" si="49"/>
        <v>0</v>
      </c>
      <c r="L220" s="392">
        <f t="shared" si="50"/>
        <v>0</v>
      </c>
      <c r="M220" s="391">
        <f t="shared" si="51"/>
        <v>0</v>
      </c>
      <c r="N220" s="391">
        <f t="shared" si="52"/>
        <v>0</v>
      </c>
      <c r="O220" s="391">
        <f t="shared" si="53"/>
        <v>0</v>
      </c>
      <c r="P220" s="393">
        <f t="shared" si="54"/>
        <v>0</v>
      </c>
    </row>
    <row r="221" spans="1:16" s="61" customFormat="1" x14ac:dyDescent="0.2">
      <c r="A221" s="369">
        <v>112</v>
      </c>
      <c r="B221" s="223" t="str">
        <f t="shared" si="34"/>
        <v>L.c.</v>
      </c>
      <c r="C221" s="311" t="s">
        <v>184</v>
      </c>
      <c r="D221" s="308" t="s">
        <v>83</v>
      </c>
      <c r="E221" s="309">
        <v>192</v>
      </c>
      <c r="F221" s="310"/>
      <c r="G221" s="309"/>
      <c r="H221" s="310"/>
      <c r="I221" s="310"/>
      <c r="J221" s="310"/>
      <c r="K221" s="391">
        <f t="shared" si="49"/>
        <v>0</v>
      </c>
      <c r="L221" s="392">
        <f t="shared" si="50"/>
        <v>0</v>
      </c>
      <c r="M221" s="391">
        <f t="shared" si="51"/>
        <v>0</v>
      </c>
      <c r="N221" s="391">
        <f t="shared" si="52"/>
        <v>0</v>
      </c>
      <c r="O221" s="391">
        <f t="shared" si="53"/>
        <v>0</v>
      </c>
      <c r="P221" s="393">
        <f t="shared" si="54"/>
        <v>0</v>
      </c>
    </row>
    <row r="222" spans="1:16" s="61" customFormat="1" ht="89.25" x14ac:dyDescent="0.2">
      <c r="A222" s="369">
        <v>113</v>
      </c>
      <c r="B222" s="223" t="str">
        <f t="shared" si="34"/>
        <v>L.c.</v>
      </c>
      <c r="C222" s="312" t="s">
        <v>185</v>
      </c>
      <c r="D222" s="308" t="s">
        <v>131</v>
      </c>
      <c r="E222" s="309">
        <v>1895</v>
      </c>
      <c r="F222" s="313"/>
      <c r="G222" s="309"/>
      <c r="H222" s="310"/>
      <c r="I222" s="310"/>
      <c r="J222" s="310"/>
      <c r="K222" s="391">
        <f t="shared" si="49"/>
        <v>0</v>
      </c>
      <c r="L222" s="392">
        <f t="shared" si="50"/>
        <v>0</v>
      </c>
      <c r="M222" s="391">
        <f t="shared" si="51"/>
        <v>0</v>
      </c>
      <c r="N222" s="391">
        <f t="shared" si="52"/>
        <v>0</v>
      </c>
      <c r="O222" s="391">
        <f t="shared" si="53"/>
        <v>0</v>
      </c>
      <c r="P222" s="393">
        <f t="shared" si="54"/>
        <v>0</v>
      </c>
    </row>
    <row r="223" spans="1:16" s="61" customFormat="1" x14ac:dyDescent="0.2">
      <c r="A223" s="369">
        <v>0</v>
      </c>
      <c r="B223" s="223">
        <f t="shared" si="34"/>
        <v>0</v>
      </c>
      <c r="C223" s="314" t="s">
        <v>132</v>
      </c>
      <c r="D223" s="315" t="s">
        <v>131</v>
      </c>
      <c r="E223" s="316">
        <f>E222*1.15</f>
        <v>2179.25</v>
      </c>
      <c r="F223" s="309"/>
      <c r="G223" s="309"/>
      <c r="H223" s="310"/>
      <c r="I223" s="310"/>
      <c r="J223" s="310"/>
      <c r="K223" s="391">
        <f t="shared" si="49"/>
        <v>0</v>
      </c>
      <c r="L223" s="392">
        <f t="shared" si="50"/>
        <v>0</v>
      </c>
      <c r="M223" s="391">
        <f t="shared" si="51"/>
        <v>0</v>
      </c>
      <c r="N223" s="391">
        <f t="shared" si="52"/>
        <v>0</v>
      </c>
      <c r="O223" s="391">
        <f t="shared" si="53"/>
        <v>0</v>
      </c>
      <c r="P223" s="393">
        <f t="shared" si="54"/>
        <v>0</v>
      </c>
    </row>
    <row r="224" spans="1:16" s="61" customFormat="1" ht="25.5" x14ac:dyDescent="0.2">
      <c r="A224" s="369">
        <v>0</v>
      </c>
      <c r="B224" s="223">
        <f t="shared" si="34"/>
        <v>0</v>
      </c>
      <c r="C224" s="317" t="s">
        <v>133</v>
      </c>
      <c r="D224" s="308" t="s">
        <v>66</v>
      </c>
      <c r="E224" s="308">
        <v>1</v>
      </c>
      <c r="F224" s="309"/>
      <c r="G224" s="309"/>
      <c r="H224" s="310"/>
      <c r="I224" s="310"/>
      <c r="J224" s="310"/>
      <c r="K224" s="391">
        <f t="shared" si="49"/>
        <v>0</v>
      </c>
      <c r="L224" s="392">
        <f t="shared" si="50"/>
        <v>0</v>
      </c>
      <c r="M224" s="391">
        <f t="shared" si="51"/>
        <v>0</v>
      </c>
      <c r="N224" s="391">
        <f t="shared" si="52"/>
        <v>0</v>
      </c>
      <c r="O224" s="391">
        <f t="shared" si="53"/>
        <v>0</v>
      </c>
      <c r="P224" s="393">
        <f t="shared" si="54"/>
        <v>0</v>
      </c>
    </row>
    <row r="225" spans="1:16" s="61" customFormat="1" ht="25.5" x14ac:dyDescent="0.2">
      <c r="A225" s="369">
        <v>114</v>
      </c>
      <c r="B225" s="223" t="str">
        <f t="shared" si="34"/>
        <v>L.c.</v>
      </c>
      <c r="C225" s="312" t="s">
        <v>186</v>
      </c>
      <c r="D225" s="315" t="s">
        <v>78</v>
      </c>
      <c r="E225" s="309">
        <v>10.9</v>
      </c>
      <c r="F225" s="309"/>
      <c r="G225" s="309"/>
      <c r="H225" s="310"/>
      <c r="I225" s="310"/>
      <c r="J225" s="310"/>
      <c r="K225" s="391">
        <f t="shared" si="49"/>
        <v>0</v>
      </c>
      <c r="L225" s="392">
        <f t="shared" si="50"/>
        <v>0</v>
      </c>
      <c r="M225" s="391">
        <f t="shared" si="51"/>
        <v>0</v>
      </c>
      <c r="N225" s="391">
        <f t="shared" si="52"/>
        <v>0</v>
      </c>
      <c r="O225" s="391">
        <f t="shared" si="53"/>
        <v>0</v>
      </c>
      <c r="P225" s="393">
        <f t="shared" si="54"/>
        <v>0</v>
      </c>
    </row>
    <row r="226" spans="1:16" s="61" customFormat="1" x14ac:dyDescent="0.2">
      <c r="A226" s="369">
        <v>0</v>
      </c>
      <c r="B226" s="223">
        <f t="shared" si="34"/>
        <v>0</v>
      </c>
      <c r="C226" s="318" t="s">
        <v>135</v>
      </c>
      <c r="D226" s="315" t="s">
        <v>78</v>
      </c>
      <c r="E226" s="319">
        <f>E225*1.05</f>
        <v>11.445</v>
      </c>
      <c r="F226" s="320"/>
      <c r="G226" s="309"/>
      <c r="H226" s="310"/>
      <c r="I226" s="310"/>
      <c r="J226" s="310"/>
      <c r="K226" s="391">
        <f t="shared" si="49"/>
        <v>0</v>
      </c>
      <c r="L226" s="392">
        <f t="shared" si="50"/>
        <v>0</v>
      </c>
      <c r="M226" s="391">
        <f t="shared" si="51"/>
        <v>0</v>
      </c>
      <c r="N226" s="391">
        <f t="shared" si="52"/>
        <v>0</v>
      </c>
      <c r="O226" s="391">
        <f t="shared" si="53"/>
        <v>0</v>
      </c>
      <c r="P226" s="393">
        <f t="shared" si="54"/>
        <v>0</v>
      </c>
    </row>
    <row r="227" spans="1:16" s="61" customFormat="1" x14ac:dyDescent="0.2">
      <c r="A227" s="369">
        <v>0</v>
      </c>
      <c r="B227" s="223">
        <f t="shared" si="34"/>
        <v>0</v>
      </c>
      <c r="C227" s="318" t="s">
        <v>136</v>
      </c>
      <c r="D227" s="315" t="s">
        <v>137</v>
      </c>
      <c r="E227" s="319">
        <f>E225*0.25</f>
        <v>2.7250000000000001</v>
      </c>
      <c r="F227" s="320"/>
      <c r="G227" s="309"/>
      <c r="H227" s="310"/>
      <c r="I227" s="321"/>
      <c r="J227" s="310"/>
      <c r="K227" s="391">
        <f t="shared" si="49"/>
        <v>0</v>
      </c>
      <c r="L227" s="392">
        <f t="shared" si="50"/>
        <v>0</v>
      </c>
      <c r="M227" s="391">
        <f t="shared" si="51"/>
        <v>0</v>
      </c>
      <c r="N227" s="391">
        <f t="shared" si="52"/>
        <v>0</v>
      </c>
      <c r="O227" s="391">
        <f t="shared" si="53"/>
        <v>0</v>
      </c>
      <c r="P227" s="393">
        <f t="shared" si="54"/>
        <v>0</v>
      </c>
    </row>
    <row r="228" spans="1:16" s="61" customFormat="1" x14ac:dyDescent="0.2">
      <c r="A228" s="369">
        <v>0</v>
      </c>
      <c r="B228" s="223">
        <f t="shared" si="34"/>
        <v>0</v>
      </c>
      <c r="C228" s="330"/>
      <c r="D228" s="330"/>
      <c r="E228" s="330"/>
      <c r="F228" s="330"/>
      <c r="G228" s="330"/>
      <c r="H228" s="330"/>
      <c r="I228" s="330"/>
      <c r="J228" s="330"/>
      <c r="K228" s="391">
        <f t="shared" si="49"/>
        <v>0</v>
      </c>
      <c r="L228" s="392">
        <f t="shared" si="50"/>
        <v>0</v>
      </c>
      <c r="M228" s="391">
        <f t="shared" si="51"/>
        <v>0</v>
      </c>
      <c r="N228" s="391">
        <f t="shared" si="52"/>
        <v>0</v>
      </c>
      <c r="O228" s="391">
        <f t="shared" si="53"/>
        <v>0</v>
      </c>
      <c r="P228" s="393">
        <f t="shared" si="54"/>
        <v>0</v>
      </c>
    </row>
    <row r="229" spans="1:16" s="61" customFormat="1" x14ac:dyDescent="0.2">
      <c r="A229" s="369">
        <v>0</v>
      </c>
      <c r="B229" s="223">
        <f t="shared" si="34"/>
        <v>0</v>
      </c>
      <c r="C229" s="307" t="s">
        <v>762</v>
      </c>
      <c r="D229" s="308"/>
      <c r="E229" s="308"/>
      <c r="F229" s="309"/>
      <c r="G229" s="309"/>
      <c r="H229" s="310"/>
      <c r="I229" s="310"/>
      <c r="J229" s="310"/>
      <c r="K229" s="391">
        <f t="shared" si="49"/>
        <v>0</v>
      </c>
      <c r="L229" s="392">
        <f t="shared" si="50"/>
        <v>0</v>
      </c>
      <c r="M229" s="391">
        <f t="shared" si="51"/>
        <v>0</v>
      </c>
      <c r="N229" s="391">
        <f t="shared" si="52"/>
        <v>0</v>
      </c>
      <c r="O229" s="391">
        <f t="shared" si="53"/>
        <v>0</v>
      </c>
      <c r="P229" s="393">
        <f t="shared" si="54"/>
        <v>0</v>
      </c>
    </row>
    <row r="230" spans="1:16" s="61" customFormat="1" ht="102" x14ac:dyDescent="0.2">
      <c r="A230" s="369">
        <v>115</v>
      </c>
      <c r="B230" s="223" t="str">
        <f t="shared" si="34"/>
        <v>L.c.</v>
      </c>
      <c r="C230" s="327" t="s">
        <v>295</v>
      </c>
      <c r="D230" s="308" t="s">
        <v>131</v>
      </c>
      <c r="E230" s="308">
        <f>561.7+467.8+103</f>
        <v>1132.5</v>
      </c>
      <c r="F230" s="308"/>
      <c r="G230" s="309"/>
      <c r="H230" s="310"/>
      <c r="I230" s="310"/>
      <c r="J230" s="310"/>
      <c r="K230" s="391">
        <f t="shared" si="49"/>
        <v>0</v>
      </c>
      <c r="L230" s="392">
        <f t="shared" si="50"/>
        <v>0</v>
      </c>
      <c r="M230" s="391">
        <f t="shared" si="51"/>
        <v>0</v>
      </c>
      <c r="N230" s="391">
        <f t="shared" si="52"/>
        <v>0</v>
      </c>
      <c r="O230" s="391">
        <f t="shared" si="53"/>
        <v>0</v>
      </c>
      <c r="P230" s="393">
        <f t="shared" si="54"/>
        <v>0</v>
      </c>
    </row>
    <row r="231" spans="1:16" s="61" customFormat="1" x14ac:dyDescent="0.2">
      <c r="A231" s="369">
        <v>0</v>
      </c>
      <c r="B231" s="223">
        <f t="shared" si="34"/>
        <v>0</v>
      </c>
      <c r="C231" s="350" t="s">
        <v>188</v>
      </c>
      <c r="D231" s="308" t="s">
        <v>131</v>
      </c>
      <c r="E231" s="315">
        <f>E230*1.1</f>
        <v>1245.75</v>
      </c>
      <c r="F231" s="315"/>
      <c r="G231" s="309"/>
      <c r="H231" s="310"/>
      <c r="I231" s="310"/>
      <c r="J231" s="310"/>
      <c r="K231" s="391">
        <f t="shared" si="49"/>
        <v>0</v>
      </c>
      <c r="L231" s="392">
        <f t="shared" si="50"/>
        <v>0</v>
      </c>
      <c r="M231" s="391">
        <f t="shared" si="51"/>
        <v>0</v>
      </c>
      <c r="N231" s="391">
        <f t="shared" si="52"/>
        <v>0</v>
      </c>
      <c r="O231" s="391">
        <f t="shared" si="53"/>
        <v>0</v>
      </c>
      <c r="P231" s="393">
        <f t="shared" si="54"/>
        <v>0</v>
      </c>
    </row>
    <row r="232" spans="1:16" s="61" customFormat="1" x14ac:dyDescent="0.2">
      <c r="A232" s="369">
        <v>0</v>
      </c>
      <c r="B232" s="223">
        <f t="shared" si="34"/>
        <v>0</v>
      </c>
      <c r="C232" s="351" t="s">
        <v>189</v>
      </c>
      <c r="D232" s="308" t="s">
        <v>66</v>
      </c>
      <c r="E232" s="315">
        <v>1</v>
      </c>
      <c r="F232" s="315"/>
      <c r="G232" s="309"/>
      <c r="H232" s="310"/>
      <c r="I232" s="310"/>
      <c r="J232" s="310"/>
      <c r="K232" s="391">
        <f t="shared" si="49"/>
        <v>0</v>
      </c>
      <c r="L232" s="392">
        <f t="shared" si="50"/>
        <v>0</v>
      </c>
      <c r="M232" s="391">
        <f t="shared" si="51"/>
        <v>0</v>
      </c>
      <c r="N232" s="391">
        <f t="shared" si="52"/>
        <v>0</v>
      </c>
      <c r="O232" s="391">
        <f t="shared" si="53"/>
        <v>0</v>
      </c>
      <c r="P232" s="393">
        <f t="shared" si="54"/>
        <v>0</v>
      </c>
    </row>
    <row r="233" spans="1:16" s="61" customFormat="1" x14ac:dyDescent="0.2">
      <c r="A233" s="369">
        <v>0</v>
      </c>
      <c r="B233" s="223">
        <f t="shared" si="34"/>
        <v>0</v>
      </c>
      <c r="C233" s="330"/>
      <c r="D233" s="330"/>
      <c r="E233" s="330"/>
      <c r="F233" s="330"/>
      <c r="G233" s="330"/>
      <c r="H233" s="330"/>
      <c r="I233" s="330"/>
      <c r="J233" s="330"/>
      <c r="K233" s="391">
        <f t="shared" si="49"/>
        <v>0</v>
      </c>
      <c r="L233" s="392">
        <f t="shared" si="50"/>
        <v>0</v>
      </c>
      <c r="M233" s="391">
        <f t="shared" si="51"/>
        <v>0</v>
      </c>
      <c r="N233" s="391">
        <f t="shared" si="52"/>
        <v>0</v>
      </c>
      <c r="O233" s="391">
        <f t="shared" si="53"/>
        <v>0</v>
      </c>
      <c r="P233" s="393">
        <f t="shared" si="54"/>
        <v>0</v>
      </c>
    </row>
    <row r="234" spans="1:16" s="61" customFormat="1" x14ac:dyDescent="0.2">
      <c r="A234" s="369">
        <v>0</v>
      </c>
      <c r="B234" s="223">
        <f t="shared" si="34"/>
        <v>0</v>
      </c>
      <c r="C234" s="307" t="s">
        <v>763</v>
      </c>
      <c r="D234" s="308"/>
      <c r="E234" s="308"/>
      <c r="F234" s="309"/>
      <c r="G234" s="309"/>
      <c r="H234" s="310"/>
      <c r="I234" s="310"/>
      <c r="J234" s="310"/>
      <c r="K234" s="391">
        <f t="shared" si="49"/>
        <v>0</v>
      </c>
      <c r="L234" s="392">
        <f t="shared" si="50"/>
        <v>0</v>
      </c>
      <c r="M234" s="391">
        <f t="shared" si="51"/>
        <v>0</v>
      </c>
      <c r="N234" s="391">
        <f t="shared" si="52"/>
        <v>0</v>
      </c>
      <c r="O234" s="391">
        <f t="shared" si="53"/>
        <v>0</v>
      </c>
      <c r="P234" s="393">
        <f t="shared" si="54"/>
        <v>0</v>
      </c>
    </row>
    <row r="235" spans="1:16" s="61" customFormat="1" ht="102" x14ac:dyDescent="0.2">
      <c r="A235" s="369">
        <v>116</v>
      </c>
      <c r="B235" s="223" t="str">
        <f t="shared" si="34"/>
        <v>L.c.</v>
      </c>
      <c r="C235" s="327" t="s">
        <v>295</v>
      </c>
      <c r="D235" s="308" t="s">
        <v>131</v>
      </c>
      <c r="E235" s="308">
        <f>91.2+754+456+3616.7+188+510.6</f>
        <v>5616.5</v>
      </c>
      <c r="F235" s="308"/>
      <c r="G235" s="309"/>
      <c r="H235" s="310"/>
      <c r="I235" s="310"/>
      <c r="J235" s="310"/>
      <c r="K235" s="391">
        <f t="shared" si="49"/>
        <v>0</v>
      </c>
      <c r="L235" s="392">
        <f t="shared" si="50"/>
        <v>0</v>
      </c>
      <c r="M235" s="391">
        <f t="shared" si="51"/>
        <v>0</v>
      </c>
      <c r="N235" s="391">
        <f t="shared" si="52"/>
        <v>0</v>
      </c>
      <c r="O235" s="391">
        <f t="shared" si="53"/>
        <v>0</v>
      </c>
      <c r="P235" s="393">
        <f t="shared" si="54"/>
        <v>0</v>
      </c>
    </row>
    <row r="236" spans="1:16" s="61" customFormat="1" x14ac:dyDescent="0.2">
      <c r="A236" s="369">
        <v>0</v>
      </c>
      <c r="B236" s="188"/>
      <c r="C236" s="350" t="s">
        <v>188</v>
      </c>
      <c r="D236" s="308" t="s">
        <v>131</v>
      </c>
      <c r="E236" s="315">
        <f>E235*1.1</f>
        <v>6178.1500000000005</v>
      </c>
      <c r="F236" s="315"/>
      <c r="G236" s="309"/>
      <c r="H236" s="310"/>
      <c r="I236" s="310"/>
      <c r="J236" s="310"/>
      <c r="K236" s="391">
        <f t="shared" si="49"/>
        <v>0</v>
      </c>
      <c r="L236" s="392">
        <f t="shared" si="50"/>
        <v>0</v>
      </c>
      <c r="M236" s="391">
        <f t="shared" si="51"/>
        <v>0</v>
      </c>
      <c r="N236" s="391">
        <f t="shared" si="52"/>
        <v>0</v>
      </c>
      <c r="O236" s="391">
        <f t="shared" si="53"/>
        <v>0</v>
      </c>
      <c r="P236" s="393">
        <f t="shared" si="54"/>
        <v>0</v>
      </c>
    </row>
    <row r="237" spans="1:16" s="61" customFormat="1" x14ac:dyDescent="0.2">
      <c r="A237" s="369">
        <v>0</v>
      </c>
      <c r="B237" s="188"/>
      <c r="C237" s="351" t="s">
        <v>189</v>
      </c>
      <c r="D237" s="308" t="s">
        <v>66</v>
      </c>
      <c r="E237" s="315">
        <v>1</v>
      </c>
      <c r="F237" s="315"/>
      <c r="G237" s="309"/>
      <c r="H237" s="310"/>
      <c r="I237" s="310"/>
      <c r="J237" s="310"/>
      <c r="K237" s="391">
        <f t="shared" si="49"/>
        <v>0</v>
      </c>
      <c r="L237" s="392">
        <f t="shared" si="50"/>
        <v>0</v>
      </c>
      <c r="M237" s="391">
        <f t="shared" si="51"/>
        <v>0</v>
      </c>
      <c r="N237" s="391">
        <f t="shared" si="52"/>
        <v>0</v>
      </c>
      <c r="O237" s="391">
        <f t="shared" si="53"/>
        <v>0</v>
      </c>
      <c r="P237" s="393">
        <f t="shared" si="54"/>
        <v>0</v>
      </c>
    </row>
    <row r="238" spans="1:16" s="61" customFormat="1" x14ac:dyDescent="0.2">
      <c r="A238" s="369">
        <v>117</v>
      </c>
      <c r="B238" s="188"/>
      <c r="C238" s="407" t="s">
        <v>468</v>
      </c>
      <c r="D238" s="308" t="s">
        <v>83</v>
      </c>
      <c r="E238" s="315">
        <v>186.9</v>
      </c>
      <c r="F238" s="315"/>
      <c r="G238" s="309"/>
      <c r="H238" s="310"/>
      <c r="I238" s="310"/>
      <c r="J238" s="310"/>
      <c r="K238" s="391">
        <f t="shared" si="49"/>
        <v>0</v>
      </c>
      <c r="L238" s="392">
        <f t="shared" si="50"/>
        <v>0</v>
      </c>
      <c r="M238" s="391">
        <f t="shared" si="51"/>
        <v>0</v>
      </c>
      <c r="N238" s="391">
        <f t="shared" si="52"/>
        <v>0</v>
      </c>
      <c r="O238" s="391">
        <f t="shared" si="53"/>
        <v>0</v>
      </c>
      <c r="P238" s="393">
        <f t="shared" si="54"/>
        <v>0</v>
      </c>
    </row>
    <row r="239" spans="1:16" s="61" customFormat="1" x14ac:dyDescent="0.2">
      <c r="A239" s="369">
        <v>0</v>
      </c>
      <c r="B239" s="188"/>
      <c r="C239" s="407"/>
      <c r="D239" s="308"/>
      <c r="E239" s="315"/>
      <c r="F239" s="315"/>
      <c r="G239" s="309"/>
      <c r="H239" s="310"/>
      <c r="I239" s="310"/>
      <c r="J239" s="310"/>
      <c r="K239" s="391"/>
      <c r="L239" s="392"/>
      <c r="M239" s="391"/>
      <c r="N239" s="391"/>
      <c r="O239" s="391"/>
      <c r="P239" s="393"/>
    </row>
    <row r="240" spans="1:16" s="61" customFormat="1" x14ac:dyDescent="0.2">
      <c r="A240" s="369">
        <v>0</v>
      </c>
      <c r="B240" s="330"/>
      <c r="C240" s="340" t="s">
        <v>772</v>
      </c>
      <c r="D240" s="308"/>
      <c r="E240" s="315"/>
      <c r="F240" s="315"/>
      <c r="G240" s="309"/>
      <c r="H240" s="310"/>
      <c r="I240" s="310"/>
      <c r="J240" s="310"/>
      <c r="K240" s="391"/>
      <c r="L240" s="392"/>
      <c r="M240" s="391"/>
      <c r="N240" s="391"/>
      <c r="O240" s="391"/>
      <c r="P240" s="393"/>
    </row>
    <row r="241" spans="1:16" s="61" customFormat="1" ht="102" x14ac:dyDescent="0.2">
      <c r="A241" s="369">
        <v>118</v>
      </c>
      <c r="B241" s="339" t="s">
        <v>55</v>
      </c>
      <c r="C241" s="327" t="s">
        <v>295</v>
      </c>
      <c r="D241" s="308" t="s">
        <v>131</v>
      </c>
      <c r="E241" s="308">
        <f>20.24+38.54+45.1+234.08+79.2</f>
        <v>417.16</v>
      </c>
      <c r="F241" s="308"/>
      <c r="G241" s="309"/>
      <c r="H241" s="310"/>
      <c r="I241" s="310"/>
      <c r="J241" s="310"/>
      <c r="K241" s="391">
        <f t="shared" ref="K241:K252" si="55">SUM(H241:J241)</f>
        <v>0</v>
      </c>
      <c r="L241" s="392">
        <f t="shared" ref="L241:L253" si="56">ROUND(F241*E241,2)</f>
        <v>0</v>
      </c>
      <c r="M241" s="391">
        <f t="shared" ref="M241:M253" si="57">ROUND(H241*E241,2)</f>
        <v>0</v>
      </c>
      <c r="N241" s="391">
        <f t="shared" ref="N241:N253" si="58">ROUND(I241*E241,2)</f>
        <v>0</v>
      </c>
      <c r="O241" s="391">
        <f t="shared" ref="O241:O253" si="59">ROUND(J241*E241,2)</f>
        <v>0</v>
      </c>
      <c r="P241" s="393">
        <f t="shared" ref="P241:P253" si="60">SUM(M241:O241)</f>
        <v>0</v>
      </c>
    </row>
    <row r="242" spans="1:16" s="61" customFormat="1" x14ac:dyDescent="0.2">
      <c r="A242" s="369">
        <v>0</v>
      </c>
      <c r="B242" s="330"/>
      <c r="C242" s="350" t="s">
        <v>188</v>
      </c>
      <c r="D242" s="308" t="s">
        <v>131</v>
      </c>
      <c r="E242" s="315">
        <f>E241*1.1</f>
        <v>458.87600000000009</v>
      </c>
      <c r="F242" s="315"/>
      <c r="G242" s="309"/>
      <c r="H242" s="310"/>
      <c r="I242" s="310"/>
      <c r="J242" s="310"/>
      <c r="K242" s="391">
        <f t="shared" si="55"/>
        <v>0</v>
      </c>
      <c r="L242" s="392">
        <f t="shared" si="56"/>
        <v>0</v>
      </c>
      <c r="M242" s="391">
        <f t="shared" si="57"/>
        <v>0</v>
      </c>
      <c r="N242" s="391">
        <f t="shared" si="58"/>
        <v>0</v>
      </c>
      <c r="O242" s="391">
        <f t="shared" si="59"/>
        <v>0</v>
      </c>
      <c r="P242" s="393">
        <f t="shared" si="60"/>
        <v>0</v>
      </c>
    </row>
    <row r="243" spans="1:16" s="61" customFormat="1" x14ac:dyDescent="0.2">
      <c r="A243" s="369">
        <v>0</v>
      </c>
      <c r="B243" s="330"/>
      <c r="C243" s="351" t="s">
        <v>189</v>
      </c>
      <c r="D243" s="308" t="s">
        <v>66</v>
      </c>
      <c r="E243" s="315">
        <v>1</v>
      </c>
      <c r="F243" s="315"/>
      <c r="G243" s="309"/>
      <c r="H243" s="310"/>
      <c r="I243" s="310"/>
      <c r="J243" s="310"/>
      <c r="K243" s="391">
        <f t="shared" si="55"/>
        <v>0</v>
      </c>
      <c r="L243" s="392">
        <f t="shared" si="56"/>
        <v>0</v>
      </c>
      <c r="M243" s="391">
        <f t="shared" si="57"/>
        <v>0</v>
      </c>
      <c r="N243" s="391">
        <f t="shared" si="58"/>
        <v>0</v>
      </c>
      <c r="O243" s="391">
        <f t="shared" si="59"/>
        <v>0</v>
      </c>
      <c r="P243" s="393">
        <f t="shared" si="60"/>
        <v>0</v>
      </c>
    </row>
    <row r="244" spans="1:16" s="61" customFormat="1" x14ac:dyDescent="0.2">
      <c r="A244" s="369">
        <v>119</v>
      </c>
      <c r="B244" s="339" t="s">
        <v>55</v>
      </c>
      <c r="C244" s="330" t="s">
        <v>732</v>
      </c>
      <c r="D244" s="339" t="s">
        <v>59</v>
      </c>
      <c r="E244" s="339">
        <v>22</v>
      </c>
      <c r="F244" s="308"/>
      <c r="G244" s="309"/>
      <c r="H244" s="310"/>
      <c r="I244" s="310"/>
      <c r="J244" s="310"/>
      <c r="K244" s="391">
        <f t="shared" si="55"/>
        <v>0</v>
      </c>
      <c r="L244" s="392">
        <f t="shared" si="56"/>
        <v>0</v>
      </c>
      <c r="M244" s="391">
        <f t="shared" si="57"/>
        <v>0</v>
      </c>
      <c r="N244" s="391">
        <f t="shared" si="58"/>
        <v>0</v>
      </c>
      <c r="O244" s="391">
        <f t="shared" si="59"/>
        <v>0</v>
      </c>
      <c r="P244" s="393">
        <f t="shared" si="60"/>
        <v>0</v>
      </c>
    </row>
    <row r="245" spans="1:16" s="61" customFormat="1" ht="25.5" x14ac:dyDescent="0.2">
      <c r="A245" s="369">
        <v>120</v>
      </c>
      <c r="B245" s="339" t="s">
        <v>55</v>
      </c>
      <c r="C245" s="312" t="s">
        <v>733</v>
      </c>
      <c r="D245" s="308" t="s">
        <v>83</v>
      </c>
      <c r="E245" s="309">
        <v>4</v>
      </c>
      <c r="F245" s="310"/>
      <c r="G245" s="309"/>
      <c r="H245" s="310"/>
      <c r="I245" s="310"/>
      <c r="J245" s="310"/>
      <c r="K245" s="391">
        <f t="shared" si="55"/>
        <v>0</v>
      </c>
      <c r="L245" s="392">
        <f t="shared" si="56"/>
        <v>0</v>
      </c>
      <c r="M245" s="391">
        <f t="shared" si="57"/>
        <v>0</v>
      </c>
      <c r="N245" s="391">
        <f t="shared" si="58"/>
        <v>0</v>
      </c>
      <c r="O245" s="391">
        <f t="shared" si="59"/>
        <v>0</v>
      </c>
      <c r="P245" s="393">
        <f t="shared" si="60"/>
        <v>0</v>
      </c>
    </row>
    <row r="246" spans="1:16" s="61" customFormat="1" ht="89.25" x14ac:dyDescent="0.2">
      <c r="A246" s="369">
        <v>121</v>
      </c>
      <c r="B246" s="339" t="s">
        <v>55</v>
      </c>
      <c r="C246" s="312" t="s">
        <v>734</v>
      </c>
      <c r="D246" s="308" t="s">
        <v>131</v>
      </c>
      <c r="E246" s="309">
        <v>36.65</v>
      </c>
      <c r="F246" s="313"/>
      <c r="G246" s="309"/>
      <c r="H246" s="310"/>
      <c r="I246" s="310"/>
      <c r="J246" s="310"/>
      <c r="K246" s="391">
        <f t="shared" si="55"/>
        <v>0</v>
      </c>
      <c r="L246" s="392">
        <f t="shared" si="56"/>
        <v>0</v>
      </c>
      <c r="M246" s="391">
        <f t="shared" si="57"/>
        <v>0</v>
      </c>
      <c r="N246" s="391">
        <f t="shared" si="58"/>
        <v>0</v>
      </c>
      <c r="O246" s="391">
        <f t="shared" si="59"/>
        <v>0</v>
      </c>
      <c r="P246" s="393">
        <f t="shared" si="60"/>
        <v>0</v>
      </c>
    </row>
    <row r="247" spans="1:16" s="61" customFormat="1" x14ac:dyDescent="0.2">
      <c r="A247" s="369">
        <v>0</v>
      </c>
      <c r="B247" s="330"/>
      <c r="C247" s="314" t="s">
        <v>132</v>
      </c>
      <c r="D247" s="315" t="s">
        <v>131</v>
      </c>
      <c r="E247" s="316">
        <f>E246*1.15</f>
        <v>42.147499999999994</v>
      </c>
      <c r="F247" s="309"/>
      <c r="G247" s="309"/>
      <c r="H247" s="310"/>
      <c r="I247" s="310"/>
      <c r="J247" s="310"/>
      <c r="K247" s="391">
        <f t="shared" si="55"/>
        <v>0</v>
      </c>
      <c r="L247" s="392">
        <f t="shared" si="56"/>
        <v>0</v>
      </c>
      <c r="M247" s="391">
        <f t="shared" si="57"/>
        <v>0</v>
      </c>
      <c r="N247" s="391">
        <f t="shared" si="58"/>
        <v>0</v>
      </c>
      <c r="O247" s="391">
        <f t="shared" si="59"/>
        <v>0</v>
      </c>
      <c r="P247" s="393">
        <f t="shared" si="60"/>
        <v>0</v>
      </c>
    </row>
    <row r="248" spans="1:16" s="61" customFormat="1" ht="25.5" x14ac:dyDescent="0.2">
      <c r="A248" s="369">
        <v>0</v>
      </c>
      <c r="B248" s="330"/>
      <c r="C248" s="317" t="s">
        <v>133</v>
      </c>
      <c r="D248" s="308" t="s">
        <v>66</v>
      </c>
      <c r="E248" s="308">
        <v>1</v>
      </c>
      <c r="F248" s="309"/>
      <c r="G248" s="309"/>
      <c r="H248" s="310"/>
      <c r="I248" s="310"/>
      <c r="J248" s="310"/>
      <c r="K248" s="391">
        <f t="shared" si="55"/>
        <v>0</v>
      </c>
      <c r="L248" s="392">
        <f t="shared" si="56"/>
        <v>0</v>
      </c>
      <c r="M248" s="391">
        <f t="shared" si="57"/>
        <v>0</v>
      </c>
      <c r="N248" s="391">
        <f t="shared" si="58"/>
        <v>0</v>
      </c>
      <c r="O248" s="391">
        <f t="shared" si="59"/>
        <v>0</v>
      </c>
      <c r="P248" s="393">
        <f t="shared" si="60"/>
        <v>0</v>
      </c>
    </row>
    <row r="249" spans="1:16" s="61" customFormat="1" ht="45" x14ac:dyDescent="0.2">
      <c r="A249" s="369">
        <v>122</v>
      </c>
      <c r="B249" s="339" t="s">
        <v>55</v>
      </c>
      <c r="C249" s="338" t="s">
        <v>157</v>
      </c>
      <c r="D249" s="315" t="s">
        <v>78</v>
      </c>
      <c r="E249" s="309">
        <v>0.48</v>
      </c>
      <c r="F249" s="309"/>
      <c r="G249" s="309"/>
      <c r="H249" s="310"/>
      <c r="I249" s="310"/>
      <c r="J249" s="310"/>
      <c r="K249" s="391">
        <f t="shared" si="55"/>
        <v>0</v>
      </c>
      <c r="L249" s="392">
        <f t="shared" si="56"/>
        <v>0</v>
      </c>
      <c r="M249" s="391">
        <f t="shared" si="57"/>
        <v>0</v>
      </c>
      <c r="N249" s="391">
        <f t="shared" si="58"/>
        <v>0</v>
      </c>
      <c r="O249" s="391">
        <f t="shared" si="59"/>
        <v>0</v>
      </c>
      <c r="P249" s="393">
        <f t="shared" si="60"/>
        <v>0</v>
      </c>
    </row>
    <row r="250" spans="1:16" s="61" customFormat="1" ht="15" x14ac:dyDescent="0.25">
      <c r="A250" s="369">
        <v>0</v>
      </c>
      <c r="B250" s="330"/>
      <c r="C250" s="326" t="s">
        <v>158</v>
      </c>
      <c r="D250" s="315" t="s">
        <v>78</v>
      </c>
      <c r="E250" s="319">
        <f>E249*1.05</f>
        <v>0.504</v>
      </c>
      <c r="F250" s="320"/>
      <c r="G250" s="309"/>
      <c r="H250" s="310"/>
      <c r="I250" s="310"/>
      <c r="J250" s="310"/>
      <c r="K250" s="391">
        <f t="shared" si="55"/>
        <v>0</v>
      </c>
      <c r="L250" s="392">
        <f t="shared" si="56"/>
        <v>0</v>
      </c>
      <c r="M250" s="391">
        <f t="shared" si="57"/>
        <v>0</v>
      </c>
      <c r="N250" s="391">
        <f t="shared" si="58"/>
        <v>0</v>
      </c>
      <c r="O250" s="391">
        <f t="shared" si="59"/>
        <v>0</v>
      </c>
      <c r="P250" s="393">
        <f t="shared" si="60"/>
        <v>0</v>
      </c>
    </row>
    <row r="251" spans="1:16" s="61" customFormat="1" x14ac:dyDescent="0.2">
      <c r="A251" s="369">
        <v>0</v>
      </c>
      <c r="B251" s="330"/>
      <c r="C251" s="318" t="s">
        <v>136</v>
      </c>
      <c r="D251" s="315" t="s">
        <v>137</v>
      </c>
      <c r="E251" s="319">
        <f>E249*0.25</f>
        <v>0.12</v>
      </c>
      <c r="F251" s="320"/>
      <c r="G251" s="309"/>
      <c r="H251" s="310"/>
      <c r="I251" s="321"/>
      <c r="J251" s="310"/>
      <c r="K251" s="391">
        <f t="shared" si="55"/>
        <v>0</v>
      </c>
      <c r="L251" s="392">
        <f t="shared" si="56"/>
        <v>0</v>
      </c>
      <c r="M251" s="391">
        <f t="shared" si="57"/>
        <v>0</v>
      </c>
      <c r="N251" s="391">
        <f t="shared" si="58"/>
        <v>0</v>
      </c>
      <c r="O251" s="391">
        <f t="shared" si="59"/>
        <v>0</v>
      </c>
      <c r="P251" s="393">
        <f t="shared" si="60"/>
        <v>0</v>
      </c>
    </row>
    <row r="252" spans="1:16" s="61" customFormat="1" ht="15" x14ac:dyDescent="0.2">
      <c r="A252" s="367">
        <v>123</v>
      </c>
      <c r="B252" s="268" t="s">
        <v>126</v>
      </c>
      <c r="C252" s="371" t="s">
        <v>740</v>
      </c>
      <c r="D252" s="256" t="s">
        <v>199</v>
      </c>
      <c r="E252" s="334">
        <v>12</v>
      </c>
      <c r="F252" s="213"/>
      <c r="G252" s="213"/>
      <c r="H252" s="214"/>
      <c r="I252" s="214"/>
      <c r="J252" s="214"/>
      <c r="K252" s="391">
        <f t="shared" si="55"/>
        <v>0</v>
      </c>
      <c r="L252" s="392">
        <f t="shared" si="56"/>
        <v>0</v>
      </c>
      <c r="M252" s="391">
        <f t="shared" si="57"/>
        <v>0</v>
      </c>
      <c r="N252" s="391">
        <f t="shared" si="58"/>
        <v>0</v>
      </c>
      <c r="O252" s="391">
        <f t="shared" si="59"/>
        <v>0</v>
      </c>
      <c r="P252" s="393">
        <f t="shared" si="60"/>
        <v>0</v>
      </c>
    </row>
    <row r="253" spans="1:16" s="61" customFormat="1" ht="45" x14ac:dyDescent="0.2">
      <c r="A253" s="368">
        <v>124</v>
      </c>
      <c r="B253" s="144" t="s">
        <v>211</v>
      </c>
      <c r="C253" s="396" t="s">
        <v>743</v>
      </c>
      <c r="D253" s="297" t="s">
        <v>207</v>
      </c>
      <c r="E253" s="204">
        <v>30</v>
      </c>
      <c r="F253" s="213"/>
      <c r="G253" s="213"/>
      <c r="H253" s="214"/>
      <c r="I253" s="214"/>
      <c r="J253" s="214"/>
      <c r="K253" s="217">
        <f t="shared" ref="K253" si="61">SUM(H253:J253)</f>
        <v>0</v>
      </c>
      <c r="L253" s="148">
        <f t="shared" si="56"/>
        <v>0</v>
      </c>
      <c r="M253" s="217">
        <f t="shared" si="57"/>
        <v>0</v>
      </c>
      <c r="N253" s="217">
        <f t="shared" si="58"/>
        <v>0</v>
      </c>
      <c r="O253" s="217">
        <f t="shared" si="59"/>
        <v>0</v>
      </c>
      <c r="P253" s="397">
        <f t="shared" si="60"/>
        <v>0</v>
      </c>
    </row>
    <row r="254" spans="1:16" s="61" customFormat="1" x14ac:dyDescent="0.2">
      <c r="A254" s="369">
        <v>0</v>
      </c>
      <c r="B254" s="330"/>
      <c r="C254" s="340" t="s">
        <v>773</v>
      </c>
      <c r="D254" s="308"/>
      <c r="E254" s="315"/>
      <c r="F254" s="315"/>
      <c r="G254" s="309"/>
      <c r="H254" s="310"/>
      <c r="I254" s="310"/>
      <c r="J254" s="310"/>
      <c r="K254" s="391"/>
      <c r="L254" s="392"/>
      <c r="M254" s="391"/>
      <c r="N254" s="391"/>
      <c r="O254" s="391"/>
      <c r="P254" s="393"/>
    </row>
    <row r="255" spans="1:16" s="61" customFormat="1" x14ac:dyDescent="0.2">
      <c r="A255" s="369">
        <v>125</v>
      </c>
      <c r="B255" s="339" t="s">
        <v>55</v>
      </c>
      <c r="C255" s="341" t="s">
        <v>116</v>
      </c>
      <c r="D255" s="308" t="s">
        <v>115</v>
      </c>
      <c r="E255" s="309">
        <v>1.2</v>
      </c>
      <c r="F255" s="344"/>
      <c r="G255" s="309"/>
      <c r="H255" s="310"/>
      <c r="I255" s="310"/>
      <c r="J255" s="343"/>
      <c r="K255" s="391">
        <f t="shared" ref="K255:K256" si="62">SUM(H255:J255)</f>
        <v>0</v>
      </c>
      <c r="L255" s="392">
        <f t="shared" ref="L255:L268" si="63">ROUND(F255*E255,2)</f>
        <v>0</v>
      </c>
      <c r="M255" s="391">
        <f t="shared" ref="M255:M268" si="64">ROUND(H255*E255,2)</f>
        <v>0</v>
      </c>
      <c r="N255" s="391">
        <f t="shared" ref="N255:N268" si="65">ROUND(I255*E255,2)</f>
        <v>0</v>
      </c>
      <c r="O255" s="391">
        <f t="shared" ref="O255:O268" si="66">ROUND(J255*E255,2)</f>
        <v>0</v>
      </c>
      <c r="P255" s="393">
        <f t="shared" ref="P255:P268" si="67">SUM(M255:O255)</f>
        <v>0</v>
      </c>
    </row>
    <row r="256" spans="1:16" s="61" customFormat="1" ht="30" x14ac:dyDescent="0.2">
      <c r="A256" s="369">
        <v>126</v>
      </c>
      <c r="B256" s="339" t="s">
        <v>55</v>
      </c>
      <c r="C256" s="372" t="s">
        <v>474</v>
      </c>
      <c r="D256" s="308" t="s">
        <v>115</v>
      </c>
      <c r="E256" s="309">
        <v>0.9</v>
      </c>
      <c r="F256" s="342"/>
      <c r="G256" s="309"/>
      <c r="H256" s="310"/>
      <c r="I256" s="310"/>
      <c r="J256" s="343"/>
      <c r="K256" s="391">
        <f t="shared" si="62"/>
        <v>0</v>
      </c>
      <c r="L256" s="392">
        <f t="shared" si="63"/>
        <v>0</v>
      </c>
      <c r="M256" s="391">
        <f t="shared" si="64"/>
        <v>0</v>
      </c>
      <c r="N256" s="391">
        <f t="shared" si="65"/>
        <v>0</v>
      </c>
      <c r="O256" s="391">
        <f t="shared" si="66"/>
        <v>0</v>
      </c>
      <c r="P256" s="393">
        <f t="shared" si="67"/>
        <v>0</v>
      </c>
    </row>
    <row r="257" spans="1:16" s="61" customFormat="1" ht="25.5" x14ac:dyDescent="0.2">
      <c r="A257" s="369">
        <v>127</v>
      </c>
      <c r="B257" s="339" t="s">
        <v>55</v>
      </c>
      <c r="C257" s="311" t="s">
        <v>127</v>
      </c>
      <c r="D257" s="346" t="s">
        <v>83</v>
      </c>
      <c r="E257" s="347">
        <v>5</v>
      </c>
      <c r="F257" s="310"/>
      <c r="G257" s="309"/>
      <c r="H257" s="310"/>
      <c r="I257" s="310"/>
      <c r="J257" s="310"/>
      <c r="K257" s="391">
        <f t="shared" ref="K257" si="68">SUM(H257:J257)</f>
        <v>0</v>
      </c>
      <c r="L257" s="392">
        <f t="shared" si="63"/>
        <v>0</v>
      </c>
      <c r="M257" s="391">
        <f t="shared" si="64"/>
        <v>0</v>
      </c>
      <c r="N257" s="391">
        <f t="shared" si="65"/>
        <v>0</v>
      </c>
      <c r="O257" s="391">
        <f t="shared" si="66"/>
        <v>0</v>
      </c>
      <c r="P257" s="393">
        <f t="shared" si="67"/>
        <v>0</v>
      </c>
    </row>
    <row r="258" spans="1:16" s="61" customFormat="1" ht="89.25" x14ac:dyDescent="0.2">
      <c r="A258" s="369">
        <v>128</v>
      </c>
      <c r="B258" s="339" t="s">
        <v>55</v>
      </c>
      <c r="C258" s="312" t="s">
        <v>734</v>
      </c>
      <c r="D258" s="308" t="s">
        <v>131</v>
      </c>
      <c r="E258" s="309">
        <f>68.4+8.86</f>
        <v>77.260000000000005</v>
      </c>
      <c r="F258" s="313"/>
      <c r="G258" s="309"/>
      <c r="H258" s="310"/>
      <c r="I258" s="310"/>
      <c r="J258" s="310"/>
      <c r="K258" s="391">
        <f t="shared" ref="K258:K260" si="69">SUM(H258:J258)</f>
        <v>0</v>
      </c>
      <c r="L258" s="392">
        <f t="shared" si="63"/>
        <v>0</v>
      </c>
      <c r="M258" s="391">
        <f t="shared" si="64"/>
        <v>0</v>
      </c>
      <c r="N258" s="391">
        <f t="shared" si="65"/>
        <v>0</v>
      </c>
      <c r="O258" s="391">
        <f t="shared" si="66"/>
        <v>0</v>
      </c>
      <c r="P258" s="393">
        <f t="shared" si="67"/>
        <v>0</v>
      </c>
    </row>
    <row r="259" spans="1:16" s="61" customFormat="1" x14ac:dyDescent="0.2">
      <c r="A259" s="369">
        <v>0</v>
      </c>
      <c r="B259" s="330"/>
      <c r="C259" s="314" t="s">
        <v>132</v>
      </c>
      <c r="D259" s="315" t="s">
        <v>131</v>
      </c>
      <c r="E259" s="316">
        <f>E258*1.15</f>
        <v>88.849000000000004</v>
      </c>
      <c r="F259" s="309"/>
      <c r="G259" s="309"/>
      <c r="H259" s="310"/>
      <c r="I259" s="310"/>
      <c r="J259" s="310"/>
      <c r="K259" s="391">
        <f t="shared" si="69"/>
        <v>0</v>
      </c>
      <c r="L259" s="392">
        <f t="shared" si="63"/>
        <v>0</v>
      </c>
      <c r="M259" s="391">
        <f t="shared" si="64"/>
        <v>0</v>
      </c>
      <c r="N259" s="391">
        <f t="shared" si="65"/>
        <v>0</v>
      </c>
      <c r="O259" s="391">
        <f t="shared" si="66"/>
        <v>0</v>
      </c>
      <c r="P259" s="393">
        <f t="shared" si="67"/>
        <v>0</v>
      </c>
    </row>
    <row r="260" spans="1:16" s="61" customFormat="1" ht="25.5" x14ac:dyDescent="0.2">
      <c r="A260" s="369">
        <v>0</v>
      </c>
      <c r="B260" s="330"/>
      <c r="C260" s="317" t="s">
        <v>133</v>
      </c>
      <c r="D260" s="308" t="s">
        <v>66</v>
      </c>
      <c r="E260" s="308">
        <v>1</v>
      </c>
      <c r="F260" s="309"/>
      <c r="G260" s="309"/>
      <c r="H260" s="310"/>
      <c r="I260" s="310"/>
      <c r="J260" s="310"/>
      <c r="K260" s="391">
        <f t="shared" si="69"/>
        <v>0</v>
      </c>
      <c r="L260" s="392">
        <f t="shared" si="63"/>
        <v>0</v>
      </c>
      <c r="M260" s="391">
        <f t="shared" si="64"/>
        <v>0</v>
      </c>
      <c r="N260" s="391">
        <f t="shared" si="65"/>
        <v>0</v>
      </c>
      <c r="O260" s="391">
        <f t="shared" si="66"/>
        <v>0</v>
      </c>
      <c r="P260" s="393">
        <f t="shared" si="67"/>
        <v>0</v>
      </c>
    </row>
    <row r="261" spans="1:16" s="61" customFormat="1" ht="45" x14ac:dyDescent="0.2">
      <c r="A261" s="369">
        <v>129</v>
      </c>
      <c r="B261" s="339" t="s">
        <v>55</v>
      </c>
      <c r="C261" s="338" t="s">
        <v>170</v>
      </c>
      <c r="D261" s="315" t="s">
        <v>78</v>
      </c>
      <c r="E261" s="309">
        <v>1.0900000000000001</v>
      </c>
      <c r="F261" s="309"/>
      <c r="G261" s="309"/>
      <c r="H261" s="310"/>
      <c r="I261" s="310"/>
      <c r="J261" s="310"/>
      <c r="K261" s="391">
        <f t="shared" ref="K261:K266" si="70">SUM(H261:J261)</f>
        <v>0</v>
      </c>
      <c r="L261" s="392">
        <f t="shared" si="63"/>
        <v>0</v>
      </c>
      <c r="M261" s="391">
        <f t="shared" si="64"/>
        <v>0</v>
      </c>
      <c r="N261" s="391">
        <f t="shared" si="65"/>
        <v>0</v>
      </c>
      <c r="O261" s="391">
        <f t="shared" si="66"/>
        <v>0</v>
      </c>
      <c r="P261" s="393">
        <f t="shared" si="67"/>
        <v>0</v>
      </c>
    </row>
    <row r="262" spans="1:16" s="61" customFormat="1" ht="15" x14ac:dyDescent="0.25">
      <c r="A262" s="369">
        <v>0</v>
      </c>
      <c r="B262" s="330"/>
      <c r="C262" s="326" t="s">
        <v>171</v>
      </c>
      <c r="D262" s="315" t="s">
        <v>78</v>
      </c>
      <c r="E262" s="319">
        <f>E261*1.05</f>
        <v>1.1445000000000001</v>
      </c>
      <c r="F262" s="320"/>
      <c r="G262" s="309"/>
      <c r="H262" s="310"/>
      <c r="I262" s="310"/>
      <c r="J262" s="310"/>
      <c r="K262" s="391">
        <f t="shared" si="70"/>
        <v>0</v>
      </c>
      <c r="L262" s="392">
        <f t="shared" si="63"/>
        <v>0</v>
      </c>
      <c r="M262" s="391">
        <f t="shared" si="64"/>
        <v>0</v>
      </c>
      <c r="N262" s="391">
        <f t="shared" si="65"/>
        <v>0</v>
      </c>
      <c r="O262" s="391">
        <f t="shared" si="66"/>
        <v>0</v>
      </c>
      <c r="P262" s="393">
        <f t="shared" si="67"/>
        <v>0</v>
      </c>
    </row>
    <row r="263" spans="1:16" s="61" customFormat="1" x14ac:dyDescent="0.2">
      <c r="A263" s="369">
        <v>0</v>
      </c>
      <c r="B263" s="330"/>
      <c r="C263" s="318" t="s">
        <v>136</v>
      </c>
      <c r="D263" s="315" t="s">
        <v>137</v>
      </c>
      <c r="E263" s="319">
        <f>E261*0.25</f>
        <v>0.27250000000000002</v>
      </c>
      <c r="F263" s="320"/>
      <c r="G263" s="309"/>
      <c r="H263" s="310"/>
      <c r="I263" s="321"/>
      <c r="J263" s="310"/>
      <c r="K263" s="391">
        <f t="shared" si="70"/>
        <v>0</v>
      </c>
      <c r="L263" s="392">
        <f t="shared" si="63"/>
        <v>0</v>
      </c>
      <c r="M263" s="391">
        <f t="shared" si="64"/>
        <v>0</v>
      </c>
      <c r="N263" s="391">
        <f t="shared" si="65"/>
        <v>0</v>
      </c>
      <c r="O263" s="391">
        <f t="shared" si="66"/>
        <v>0</v>
      </c>
      <c r="P263" s="393">
        <f t="shared" si="67"/>
        <v>0</v>
      </c>
    </row>
    <row r="264" spans="1:16" s="61" customFormat="1" ht="54" customHeight="1" x14ac:dyDescent="0.2">
      <c r="A264" s="369">
        <v>130</v>
      </c>
      <c r="B264" s="339" t="s">
        <v>55</v>
      </c>
      <c r="C264" s="312" t="s">
        <v>138</v>
      </c>
      <c r="D264" s="315" t="s">
        <v>78</v>
      </c>
      <c r="E264" s="309">
        <v>0.27</v>
      </c>
      <c r="F264" s="309"/>
      <c r="G264" s="309"/>
      <c r="H264" s="310"/>
      <c r="I264" s="310"/>
      <c r="J264" s="310"/>
      <c r="K264" s="391">
        <f t="shared" si="70"/>
        <v>0</v>
      </c>
      <c r="L264" s="392">
        <f t="shared" si="63"/>
        <v>0</v>
      </c>
      <c r="M264" s="391">
        <f t="shared" si="64"/>
        <v>0</v>
      </c>
      <c r="N264" s="391">
        <f t="shared" si="65"/>
        <v>0</v>
      </c>
      <c r="O264" s="391">
        <f t="shared" si="66"/>
        <v>0</v>
      </c>
      <c r="P264" s="393">
        <f t="shared" si="67"/>
        <v>0</v>
      </c>
    </row>
    <row r="265" spans="1:16" s="61" customFormat="1" x14ac:dyDescent="0.2">
      <c r="A265" s="369">
        <v>0</v>
      </c>
      <c r="B265" s="330"/>
      <c r="C265" s="318" t="s">
        <v>139</v>
      </c>
      <c r="D265" s="315" t="s">
        <v>78</v>
      </c>
      <c r="E265" s="319">
        <f>E264*1.05</f>
        <v>0.28350000000000003</v>
      </c>
      <c r="F265" s="320"/>
      <c r="G265" s="309"/>
      <c r="H265" s="310"/>
      <c r="I265" s="310"/>
      <c r="J265" s="310"/>
      <c r="K265" s="391">
        <f t="shared" si="70"/>
        <v>0</v>
      </c>
      <c r="L265" s="392">
        <f t="shared" si="63"/>
        <v>0</v>
      </c>
      <c r="M265" s="391">
        <f t="shared" si="64"/>
        <v>0</v>
      </c>
      <c r="N265" s="391">
        <f t="shared" si="65"/>
        <v>0</v>
      </c>
      <c r="O265" s="391">
        <f t="shared" si="66"/>
        <v>0</v>
      </c>
      <c r="P265" s="393">
        <f t="shared" si="67"/>
        <v>0</v>
      </c>
    </row>
    <row r="266" spans="1:16" s="61" customFormat="1" x14ac:dyDescent="0.2">
      <c r="A266" s="369">
        <v>0</v>
      </c>
      <c r="B266" s="330"/>
      <c r="C266" s="318" t="s">
        <v>136</v>
      </c>
      <c r="D266" s="315" t="s">
        <v>137</v>
      </c>
      <c r="E266" s="319">
        <f>E264*0.25</f>
        <v>6.7500000000000004E-2</v>
      </c>
      <c r="F266" s="320"/>
      <c r="G266" s="309"/>
      <c r="H266" s="310"/>
      <c r="I266" s="321"/>
      <c r="J266" s="310"/>
      <c r="K266" s="391">
        <f t="shared" si="70"/>
        <v>0</v>
      </c>
      <c r="L266" s="392">
        <f t="shared" si="63"/>
        <v>0</v>
      </c>
      <c r="M266" s="391">
        <f t="shared" si="64"/>
        <v>0</v>
      </c>
      <c r="N266" s="391">
        <f t="shared" si="65"/>
        <v>0</v>
      </c>
      <c r="O266" s="391">
        <f t="shared" si="66"/>
        <v>0</v>
      </c>
      <c r="P266" s="393">
        <f t="shared" si="67"/>
        <v>0</v>
      </c>
    </row>
    <row r="267" spans="1:16" s="61" customFormat="1" x14ac:dyDescent="0.2">
      <c r="A267" s="369">
        <v>131</v>
      </c>
      <c r="B267" s="339" t="s">
        <v>55</v>
      </c>
      <c r="C267" s="330" t="s">
        <v>735</v>
      </c>
      <c r="D267" s="339" t="s">
        <v>59</v>
      </c>
      <c r="E267" s="339">
        <v>1</v>
      </c>
      <c r="F267" s="308"/>
      <c r="G267" s="309"/>
      <c r="H267" s="310"/>
      <c r="I267" s="310"/>
      <c r="J267" s="310"/>
      <c r="K267" s="391">
        <f t="shared" ref="K267:K268" si="71">SUM(H267:J267)</f>
        <v>0</v>
      </c>
      <c r="L267" s="392">
        <f t="shared" si="63"/>
        <v>0</v>
      </c>
      <c r="M267" s="391">
        <f t="shared" si="64"/>
        <v>0</v>
      </c>
      <c r="N267" s="391">
        <f t="shared" si="65"/>
        <v>0</v>
      </c>
      <c r="O267" s="391">
        <f t="shared" si="66"/>
        <v>0</v>
      </c>
      <c r="P267" s="393">
        <f t="shared" si="67"/>
        <v>0</v>
      </c>
    </row>
    <row r="268" spans="1:16" s="61" customFormat="1" ht="15" x14ac:dyDescent="0.2">
      <c r="A268" s="369">
        <v>132</v>
      </c>
      <c r="B268" s="330"/>
      <c r="C268" s="349" t="s">
        <v>737</v>
      </c>
      <c r="D268" s="352" t="s">
        <v>83</v>
      </c>
      <c r="E268" s="339">
        <v>4</v>
      </c>
      <c r="F268" s="213"/>
      <c r="G268" s="213"/>
      <c r="H268" s="214"/>
      <c r="I268" s="214"/>
      <c r="J268" s="214"/>
      <c r="K268" s="391">
        <f t="shared" si="71"/>
        <v>0</v>
      </c>
      <c r="L268" s="392">
        <f t="shared" si="63"/>
        <v>0</v>
      </c>
      <c r="M268" s="391">
        <f t="shared" si="64"/>
        <v>0</v>
      </c>
      <c r="N268" s="391">
        <f t="shared" si="65"/>
        <v>0</v>
      </c>
      <c r="O268" s="391">
        <f t="shared" si="66"/>
        <v>0</v>
      </c>
      <c r="P268" s="393">
        <f t="shared" si="67"/>
        <v>0</v>
      </c>
    </row>
    <row r="269" spans="1:16" s="61" customFormat="1" x14ac:dyDescent="0.2">
      <c r="A269" s="155"/>
      <c r="B269" s="188"/>
      <c r="C269" s="407"/>
      <c r="D269" s="308"/>
      <c r="E269" s="315"/>
      <c r="F269" s="315"/>
      <c r="G269" s="309"/>
      <c r="H269" s="310"/>
      <c r="I269" s="310"/>
      <c r="J269" s="310"/>
      <c r="K269" s="391"/>
      <c r="L269" s="392"/>
      <c r="M269" s="391"/>
      <c r="N269" s="391"/>
      <c r="O269" s="391"/>
      <c r="P269" s="393"/>
    </row>
    <row r="270" spans="1:16" x14ac:dyDescent="0.2">
      <c r="A270" s="398"/>
      <c r="B270" s="399"/>
      <c r="C270" s="400"/>
      <c r="D270" s="401"/>
      <c r="E270" s="402"/>
      <c r="F270" s="402">
        <v>0</v>
      </c>
      <c r="G270" s="402">
        <v>0</v>
      </c>
      <c r="H270" s="403"/>
      <c r="I270" s="402"/>
      <c r="J270" s="402"/>
      <c r="K270" s="402"/>
      <c r="L270" s="402"/>
      <c r="M270" s="402"/>
      <c r="N270" s="402"/>
      <c r="O270" s="402"/>
      <c r="P270" s="404"/>
    </row>
    <row r="271" spans="1:16" ht="15" customHeight="1" x14ac:dyDescent="0.2">
      <c r="A271" s="377"/>
      <c r="B271" s="110"/>
      <c r="C271" s="523" t="s">
        <v>74</v>
      </c>
      <c r="D271" s="524"/>
      <c r="E271" s="524"/>
      <c r="F271" s="524"/>
      <c r="G271" s="524"/>
      <c r="H271" s="524"/>
      <c r="I271" s="524"/>
      <c r="J271" s="524"/>
      <c r="K271" s="524"/>
      <c r="L271" s="113">
        <f>SUM(L13:L270)</f>
        <v>0</v>
      </c>
      <c r="M271" s="113">
        <f>SUM(M13:M270)</f>
        <v>0</v>
      </c>
      <c r="N271" s="113">
        <f>SUM(N13:N270)</f>
        <v>0</v>
      </c>
      <c r="O271" s="113">
        <f>SUM(O13:O270)</f>
        <v>0</v>
      </c>
      <c r="P271" s="113">
        <f>SUM(P13:P270)</f>
        <v>0</v>
      </c>
    </row>
    <row r="272" spans="1:16" s="88" customFormat="1" collapsed="1" x14ac:dyDescent="0.2">
      <c r="A272" s="287"/>
      <c r="I272" s="89"/>
    </row>
    <row r="273" spans="1:16" s="2" customFormat="1" ht="12.75" customHeight="1" x14ac:dyDescent="0.2">
      <c r="A273" s="6"/>
      <c r="B273" s="90" t="s">
        <v>75</v>
      </c>
    </row>
    <row r="274" spans="1:16" s="2" customFormat="1" ht="45" customHeight="1" x14ac:dyDescent="0.2">
      <c r="A274" s="511" t="str">
        <f>'1,1'!A31:G31</f>
        <v xml:space="preserve"> Būvuzņēmējam jādod pilna apjoma tendera cenu piedāvājums, ieskaitot palīgdarbus  un materiālus, kas nav uzrādīti tāmē, apjomu sarakstā un projektā, bet ir nepieciešami projektētā būvobjekta izbūvei un nodošanai ekspluatācijā.</v>
      </c>
      <c r="B274" s="511"/>
      <c r="C274" s="511"/>
      <c r="D274" s="511"/>
      <c r="E274" s="511"/>
      <c r="F274" s="511"/>
      <c r="G274" s="511"/>
      <c r="H274" s="511"/>
      <c r="I274" s="511"/>
      <c r="J274" s="511"/>
      <c r="K274" s="511"/>
      <c r="L274" s="511"/>
      <c r="M274" s="511"/>
      <c r="N274" s="511"/>
      <c r="O274" s="511"/>
      <c r="P274" s="511"/>
    </row>
    <row r="275" spans="1:16" s="2" customFormat="1" ht="84.75" customHeight="1" x14ac:dyDescent="0.2">
      <c r="A275" s="512"/>
      <c r="B275" s="512"/>
      <c r="C275" s="512"/>
      <c r="D275" s="512"/>
      <c r="E275" s="512"/>
      <c r="F275" s="512"/>
      <c r="G275" s="512"/>
      <c r="H275" s="512"/>
      <c r="I275" s="512"/>
      <c r="J275" s="512"/>
      <c r="K275" s="512"/>
      <c r="L275" s="512"/>
      <c r="M275" s="512"/>
      <c r="N275" s="512"/>
      <c r="O275" s="512"/>
      <c r="P275" s="512"/>
    </row>
    <row r="276" spans="1:16" s="2" customFormat="1" ht="12.75" customHeight="1" x14ac:dyDescent="0.2">
      <c r="A276" s="6"/>
      <c r="B276" s="91"/>
    </row>
    <row r="277" spans="1:16" s="2" customFormat="1" ht="12.75" customHeight="1" x14ac:dyDescent="0.2">
      <c r="A277" s="6"/>
      <c r="B277" s="91"/>
    </row>
    <row r="278" spans="1:16" s="88" customFormat="1" x14ac:dyDescent="0.2">
      <c r="A278" s="287"/>
      <c r="B278" s="88" t="s">
        <v>36</v>
      </c>
      <c r="L278" s="92" t="s">
        <v>98</v>
      </c>
      <c r="M278" s="92"/>
      <c r="N278" s="92"/>
      <c r="O278" s="92"/>
      <c r="P278" s="92"/>
    </row>
    <row r="279" spans="1:16" s="88" customFormat="1" ht="14.25" customHeight="1" x14ac:dyDescent="0.2">
      <c r="A279" s="287"/>
      <c r="C279" s="36"/>
      <c r="L279" s="36"/>
      <c r="M279" s="513"/>
      <c r="N279" s="513"/>
      <c r="O279" s="92"/>
      <c r="P279" s="92"/>
    </row>
    <row r="280" spans="1:16" s="88" customFormat="1" x14ac:dyDescent="0.2">
      <c r="A280" s="287"/>
      <c r="C280" s="39"/>
      <c r="L280" s="39"/>
      <c r="M280" s="507"/>
      <c r="N280" s="507"/>
      <c r="O280" s="92"/>
      <c r="P280" s="92"/>
    </row>
    <row r="281" spans="1:16" s="88" customFormat="1" collapsed="1" x14ac:dyDescent="0.2">
      <c r="A281" s="287"/>
      <c r="B281" s="89"/>
      <c r="F281" s="89"/>
      <c r="G281" s="89"/>
    </row>
  </sheetData>
  <mergeCells count="17">
    <mergeCell ref="M280:N280"/>
    <mergeCell ref="F11:K11"/>
    <mergeCell ref="L11:P11"/>
    <mergeCell ref="C271:K271"/>
    <mergeCell ref="A274:P274"/>
    <mergeCell ref="A275:P275"/>
    <mergeCell ref="M279:N279"/>
    <mergeCell ref="A11:A12"/>
    <mergeCell ref="B11:B12"/>
    <mergeCell ref="C11:C12"/>
    <mergeCell ref="D11:D12"/>
    <mergeCell ref="E11:E12"/>
    <mergeCell ref="A2:P2"/>
    <mergeCell ref="D3:P3"/>
    <mergeCell ref="D4:P4"/>
    <mergeCell ref="D5:P5"/>
    <mergeCell ref="L9:O9"/>
  </mergeCells>
  <conditionalFormatting sqref="I38:I42 I36">
    <cfRule type="expression" dxfId="443" priority="240" stopIfTrue="1">
      <formula>I36=#REF!=FALSE</formula>
    </cfRule>
  </conditionalFormatting>
  <conditionalFormatting sqref="I25">
    <cfRule type="expression" dxfId="442" priority="224" stopIfTrue="1">
      <formula>I25=#REF!=FALSE</formula>
    </cfRule>
  </conditionalFormatting>
  <conditionalFormatting sqref="I25">
    <cfRule type="expression" dxfId="441" priority="220">
      <formula>#REF!&gt;0</formula>
    </cfRule>
    <cfRule type="expression" dxfId="440" priority="221">
      <formula>#REF!=3</formula>
    </cfRule>
    <cfRule type="expression" dxfId="439" priority="222">
      <formula>#REF!=2</formula>
    </cfRule>
    <cfRule type="expression" dxfId="438" priority="223">
      <formula>#REF!=1</formula>
    </cfRule>
  </conditionalFormatting>
  <conditionalFormatting sqref="I17">
    <cfRule type="expression" dxfId="437" priority="214" stopIfTrue="1">
      <formula>I17=#REF!=FALSE</formula>
    </cfRule>
  </conditionalFormatting>
  <conditionalFormatting sqref="I21 I24">
    <cfRule type="expression" dxfId="436" priority="209" stopIfTrue="1">
      <formula>I21=#REF!=FALSE</formula>
    </cfRule>
  </conditionalFormatting>
  <conditionalFormatting sqref="I17">
    <cfRule type="expression" dxfId="435" priority="210">
      <formula>#REF!&gt;0</formula>
    </cfRule>
    <cfRule type="expression" dxfId="434" priority="211">
      <formula>#REF!=3</formula>
    </cfRule>
    <cfRule type="expression" dxfId="433" priority="212">
      <formula>#REF!=2</formula>
    </cfRule>
    <cfRule type="expression" dxfId="432" priority="213">
      <formula>#REF!=1</formula>
    </cfRule>
  </conditionalFormatting>
  <conditionalFormatting sqref="I21 I24">
    <cfRule type="expression" dxfId="431" priority="205">
      <formula>#REF!&gt;0</formula>
    </cfRule>
    <cfRule type="expression" dxfId="430" priority="206">
      <formula>#REF!=3</formula>
    </cfRule>
    <cfRule type="expression" dxfId="429" priority="207">
      <formula>#REF!=2</formula>
    </cfRule>
    <cfRule type="expression" dxfId="428" priority="208">
      <formula>#REF!=1</formula>
    </cfRule>
  </conditionalFormatting>
  <conditionalFormatting sqref="I36">
    <cfRule type="expression" dxfId="427" priority="161">
      <formula>#REF!&gt;0</formula>
    </cfRule>
    <cfRule type="expression" dxfId="426" priority="162">
      <formula>#REF!=3</formula>
    </cfRule>
    <cfRule type="expression" dxfId="425" priority="163">
      <formula>#REF!=2</formula>
    </cfRule>
    <cfRule type="expression" dxfId="424" priority="164">
      <formula>#REF!=1</formula>
    </cfRule>
  </conditionalFormatting>
  <conditionalFormatting sqref="I35">
    <cfRule type="expression" dxfId="423" priority="160" stopIfTrue="1">
      <formula>I35=#REF!=FALSE</formula>
    </cfRule>
  </conditionalFormatting>
  <conditionalFormatting sqref="I35">
    <cfRule type="expression" dxfId="422" priority="156">
      <formula>#REF!&gt;0</formula>
    </cfRule>
    <cfRule type="expression" dxfId="421" priority="157">
      <formula>#REF!=3</formula>
    </cfRule>
    <cfRule type="expression" dxfId="420" priority="158">
      <formula>#REF!=2</formula>
    </cfRule>
    <cfRule type="expression" dxfId="419" priority="159">
      <formula>#REF!=1</formula>
    </cfRule>
  </conditionalFormatting>
  <conditionalFormatting sqref="I37">
    <cfRule type="expression" dxfId="418" priority="150" stopIfTrue="1">
      <formula>I37=#REF!=FALSE</formula>
    </cfRule>
  </conditionalFormatting>
  <conditionalFormatting sqref="I37">
    <cfRule type="expression" dxfId="417" priority="146">
      <formula>#REF!&gt;0</formula>
    </cfRule>
    <cfRule type="expression" dxfId="416" priority="147">
      <formula>#REF!=3</formula>
    </cfRule>
    <cfRule type="expression" dxfId="415" priority="148">
      <formula>#REF!=2</formula>
    </cfRule>
    <cfRule type="expression" dxfId="414" priority="149">
      <formula>#REF!=1</formula>
    </cfRule>
  </conditionalFormatting>
  <conditionalFormatting sqref="I38:I42">
    <cfRule type="expression" dxfId="413" priority="142">
      <formula>#REF!&gt;0</formula>
    </cfRule>
    <cfRule type="expression" dxfId="412" priority="143">
      <formula>#REF!=3</formula>
    </cfRule>
    <cfRule type="expression" dxfId="411" priority="144">
      <formula>#REF!=2</formula>
    </cfRule>
    <cfRule type="expression" dxfId="410" priority="145">
      <formula>#REF!=1</formula>
    </cfRule>
  </conditionalFormatting>
  <conditionalFormatting sqref="I43:I46">
    <cfRule type="expression" dxfId="409" priority="141" stopIfTrue="1">
      <formula>I43=#REF!=FALSE</formula>
    </cfRule>
  </conditionalFormatting>
  <conditionalFormatting sqref="I43:I46">
    <cfRule type="expression" dxfId="408" priority="137">
      <formula>#REF!&gt;0</formula>
    </cfRule>
    <cfRule type="expression" dxfId="407" priority="138">
      <formula>#REF!=3</formula>
    </cfRule>
    <cfRule type="expression" dxfId="406" priority="139">
      <formula>#REF!=2</formula>
    </cfRule>
    <cfRule type="expression" dxfId="405" priority="140">
      <formula>#REF!=1</formula>
    </cfRule>
  </conditionalFormatting>
  <conditionalFormatting sqref="I33">
    <cfRule type="expression" dxfId="404" priority="131" stopIfTrue="1">
      <formula>I33=#REF!=FALSE</formula>
    </cfRule>
  </conditionalFormatting>
  <conditionalFormatting sqref="I47">
    <cfRule type="expression" dxfId="403" priority="126" stopIfTrue="1">
      <formula>I47=#REF!=FALSE</formula>
    </cfRule>
  </conditionalFormatting>
  <conditionalFormatting sqref="I33">
    <cfRule type="expression" dxfId="402" priority="127">
      <formula>#REF!&gt;0</formula>
    </cfRule>
    <cfRule type="expression" dxfId="401" priority="128">
      <formula>#REF!=3</formula>
    </cfRule>
    <cfRule type="expression" dxfId="400" priority="129">
      <formula>#REF!=2</formula>
    </cfRule>
    <cfRule type="expression" dxfId="399" priority="130">
      <formula>#REF!=1</formula>
    </cfRule>
  </conditionalFormatting>
  <conditionalFormatting sqref="I50">
    <cfRule type="expression" dxfId="398" priority="111" stopIfTrue="1">
      <formula>I50=#REF!=FALSE</formula>
    </cfRule>
  </conditionalFormatting>
  <conditionalFormatting sqref="I47">
    <cfRule type="expression" dxfId="397" priority="122">
      <formula>#REF!&gt;0</formula>
    </cfRule>
    <cfRule type="expression" dxfId="396" priority="123">
      <formula>#REF!=3</formula>
    </cfRule>
    <cfRule type="expression" dxfId="395" priority="124">
      <formula>#REF!=2</formula>
    </cfRule>
    <cfRule type="expression" dxfId="394" priority="125">
      <formula>#REF!=1</formula>
    </cfRule>
  </conditionalFormatting>
  <conditionalFormatting sqref="I48">
    <cfRule type="expression" dxfId="393" priority="121" stopIfTrue="1">
      <formula>I48=#REF!=FALSE</formula>
    </cfRule>
  </conditionalFormatting>
  <conditionalFormatting sqref="I48">
    <cfRule type="expression" dxfId="392" priority="117">
      <formula>#REF!&gt;0</formula>
    </cfRule>
    <cfRule type="expression" dxfId="391" priority="118">
      <formula>#REF!=3</formula>
    </cfRule>
    <cfRule type="expression" dxfId="390" priority="119">
      <formula>#REF!=2</formula>
    </cfRule>
    <cfRule type="expression" dxfId="389" priority="120">
      <formula>#REF!=1</formula>
    </cfRule>
  </conditionalFormatting>
  <conditionalFormatting sqref="I49">
    <cfRule type="expression" dxfId="388" priority="116" stopIfTrue="1">
      <formula>I49=#REF!=FALSE</formula>
    </cfRule>
  </conditionalFormatting>
  <conditionalFormatting sqref="I49">
    <cfRule type="expression" dxfId="387" priority="112">
      <formula>#REF!&gt;0</formula>
    </cfRule>
    <cfRule type="expression" dxfId="386" priority="113">
      <formula>#REF!=3</formula>
    </cfRule>
    <cfRule type="expression" dxfId="385" priority="114">
      <formula>#REF!=2</formula>
    </cfRule>
    <cfRule type="expression" dxfId="384" priority="115">
      <formula>#REF!=1</formula>
    </cfRule>
  </conditionalFormatting>
  <conditionalFormatting sqref="I50">
    <cfRule type="expression" dxfId="383" priority="107">
      <formula>#REF!&gt;0</formula>
    </cfRule>
    <cfRule type="expression" dxfId="382" priority="108">
      <formula>#REF!=3</formula>
    </cfRule>
    <cfRule type="expression" dxfId="381" priority="109">
      <formula>#REF!=2</formula>
    </cfRule>
    <cfRule type="expression" dxfId="380" priority="110">
      <formula>#REF!=1</formula>
    </cfRule>
  </conditionalFormatting>
  <conditionalFormatting sqref="I51">
    <cfRule type="expression" dxfId="379" priority="106" stopIfTrue="1">
      <formula>I51=#REF!=FALSE</formula>
    </cfRule>
  </conditionalFormatting>
  <conditionalFormatting sqref="I51">
    <cfRule type="expression" dxfId="378" priority="102">
      <formula>#REF!&gt;0</formula>
    </cfRule>
    <cfRule type="expression" dxfId="377" priority="103">
      <formula>#REF!=3</formula>
    </cfRule>
    <cfRule type="expression" dxfId="376" priority="104">
      <formula>#REF!=2</formula>
    </cfRule>
    <cfRule type="expression" dxfId="375" priority="105">
      <formula>#REF!=1</formula>
    </cfRule>
  </conditionalFormatting>
  <conditionalFormatting sqref="I52">
    <cfRule type="expression" dxfId="374" priority="101" stopIfTrue="1">
      <formula>I52=#REF!=FALSE</formula>
    </cfRule>
  </conditionalFormatting>
  <conditionalFormatting sqref="I52">
    <cfRule type="expression" dxfId="373" priority="97">
      <formula>#REF!&gt;0</formula>
    </cfRule>
    <cfRule type="expression" dxfId="372" priority="98">
      <formula>#REF!=3</formula>
    </cfRule>
    <cfRule type="expression" dxfId="371" priority="99">
      <formula>#REF!=2</formula>
    </cfRule>
    <cfRule type="expression" dxfId="370" priority="100">
      <formula>#REF!=1</formula>
    </cfRule>
  </conditionalFormatting>
  <conditionalFormatting sqref="I18 I20">
    <cfRule type="expression" dxfId="369" priority="96" stopIfTrue="1">
      <formula>I18=#REF!=FALSE</formula>
    </cfRule>
  </conditionalFormatting>
  <conditionalFormatting sqref="I18 I20">
    <cfRule type="expression" dxfId="368" priority="92">
      <formula>#REF!&gt;0</formula>
    </cfRule>
    <cfRule type="expression" dxfId="367" priority="93">
      <formula>#REF!=3</formula>
    </cfRule>
    <cfRule type="expression" dxfId="366" priority="94">
      <formula>#REF!=2</formula>
    </cfRule>
    <cfRule type="expression" dxfId="365" priority="95">
      <formula>#REF!=1</formula>
    </cfRule>
  </conditionalFormatting>
  <conditionalFormatting sqref="I19">
    <cfRule type="expression" dxfId="364" priority="91" stopIfTrue="1">
      <formula>I19=#REF!=FALSE</formula>
    </cfRule>
  </conditionalFormatting>
  <conditionalFormatting sqref="I19">
    <cfRule type="expression" dxfId="363" priority="87">
      <formula>#REF!&gt;0</formula>
    </cfRule>
    <cfRule type="expression" dxfId="362" priority="88">
      <formula>#REF!=3</formula>
    </cfRule>
    <cfRule type="expression" dxfId="361" priority="89">
      <formula>#REF!=2</formula>
    </cfRule>
    <cfRule type="expression" dxfId="360" priority="90">
      <formula>#REF!=1</formula>
    </cfRule>
  </conditionalFormatting>
  <conditionalFormatting sqref="I22">
    <cfRule type="expression" dxfId="359" priority="86" stopIfTrue="1">
      <formula>I22=#REF!=FALSE</formula>
    </cfRule>
  </conditionalFormatting>
  <conditionalFormatting sqref="I22">
    <cfRule type="expression" dxfId="358" priority="82">
      <formula>#REF!&gt;0</formula>
    </cfRule>
    <cfRule type="expression" dxfId="357" priority="83">
      <formula>#REF!=3</formula>
    </cfRule>
    <cfRule type="expression" dxfId="356" priority="84">
      <formula>#REF!=2</formula>
    </cfRule>
    <cfRule type="expression" dxfId="355" priority="85">
      <formula>#REF!=1</formula>
    </cfRule>
  </conditionalFormatting>
  <conditionalFormatting sqref="I23">
    <cfRule type="expression" dxfId="354" priority="81" stopIfTrue="1">
      <formula>I23=#REF!=FALSE</formula>
    </cfRule>
  </conditionalFormatting>
  <conditionalFormatting sqref="I23">
    <cfRule type="expression" dxfId="353" priority="77">
      <formula>#REF!&gt;0</formula>
    </cfRule>
    <cfRule type="expression" dxfId="352" priority="78">
      <formula>#REF!=3</formula>
    </cfRule>
    <cfRule type="expression" dxfId="351" priority="79">
      <formula>#REF!=2</formula>
    </cfRule>
    <cfRule type="expression" dxfId="350" priority="80">
      <formula>#REF!=1</formula>
    </cfRule>
  </conditionalFormatting>
  <conditionalFormatting sqref="I32">
    <cfRule type="expression" dxfId="349" priority="76" stopIfTrue="1">
      <formula>I32=#REF!=FALSE</formula>
    </cfRule>
  </conditionalFormatting>
  <conditionalFormatting sqref="I32">
    <cfRule type="expression" dxfId="348" priority="72">
      <formula>#REF!&gt;0</formula>
    </cfRule>
    <cfRule type="expression" dxfId="347" priority="73">
      <formula>#REF!=3</formula>
    </cfRule>
    <cfRule type="expression" dxfId="346" priority="74">
      <formula>#REF!=2</formula>
    </cfRule>
    <cfRule type="expression" dxfId="345" priority="75">
      <formula>#REF!=1</formula>
    </cfRule>
  </conditionalFormatting>
  <conditionalFormatting sqref="I143">
    <cfRule type="expression" dxfId="344" priority="66" stopIfTrue="1">
      <formula>I143=#REF!=FALSE</formula>
    </cfRule>
  </conditionalFormatting>
  <conditionalFormatting sqref="I16">
    <cfRule type="expression" dxfId="343" priority="46" stopIfTrue="1">
      <formula>I16=#REF!=FALSE</formula>
    </cfRule>
  </conditionalFormatting>
  <conditionalFormatting sqref="I143">
    <cfRule type="expression" dxfId="342" priority="62">
      <formula>#REF!&gt;0</formula>
    </cfRule>
    <cfRule type="expression" dxfId="341" priority="63">
      <formula>#REF!=3</formula>
    </cfRule>
    <cfRule type="expression" dxfId="340" priority="64">
      <formula>#REF!=2</formula>
    </cfRule>
    <cfRule type="expression" dxfId="339" priority="65">
      <formula>#REF!=1</formula>
    </cfRule>
  </conditionalFormatting>
  <conditionalFormatting sqref="I180">
    <cfRule type="expression" dxfId="338" priority="56" stopIfTrue="1">
      <formula>I180=#REF!=FALSE</formula>
    </cfRule>
  </conditionalFormatting>
  <conditionalFormatting sqref="I180">
    <cfRule type="expression" dxfId="337" priority="52">
      <formula>#REF!&gt;0</formula>
    </cfRule>
    <cfRule type="expression" dxfId="336" priority="53">
      <formula>#REF!=3</formula>
    </cfRule>
    <cfRule type="expression" dxfId="335" priority="54">
      <formula>#REF!=2</formula>
    </cfRule>
    <cfRule type="expression" dxfId="334" priority="55">
      <formula>#REF!=1</formula>
    </cfRule>
  </conditionalFormatting>
  <conditionalFormatting sqref="I268">
    <cfRule type="expression" dxfId="333" priority="51" stopIfTrue="1">
      <formula>I268=#REF!=FALSE</formula>
    </cfRule>
  </conditionalFormatting>
  <conditionalFormatting sqref="I268">
    <cfRule type="expression" dxfId="332" priority="47">
      <formula>#REF!&gt;0</formula>
    </cfRule>
    <cfRule type="expression" dxfId="331" priority="48">
      <formula>#REF!=3</formula>
    </cfRule>
    <cfRule type="expression" dxfId="330" priority="49">
      <formula>#REF!=2</formula>
    </cfRule>
    <cfRule type="expression" dxfId="329" priority="50">
      <formula>#REF!=1</formula>
    </cfRule>
  </conditionalFormatting>
  <conditionalFormatting sqref="I16">
    <cfRule type="expression" dxfId="328" priority="42">
      <formula>#REF!&gt;0</formula>
    </cfRule>
    <cfRule type="expression" dxfId="327" priority="43">
      <formula>#REF!=3</formula>
    </cfRule>
    <cfRule type="expression" dxfId="326" priority="44">
      <formula>#REF!=2</formula>
    </cfRule>
    <cfRule type="expression" dxfId="325" priority="45">
      <formula>#REF!=1</formula>
    </cfRule>
  </conditionalFormatting>
  <conditionalFormatting sqref="I77">
    <cfRule type="expression" dxfId="324" priority="36" stopIfTrue="1">
      <formula>I77=#REF!=FALSE</formula>
    </cfRule>
  </conditionalFormatting>
  <conditionalFormatting sqref="I77">
    <cfRule type="expression" dxfId="323" priority="32">
      <formula>#REF!&gt;0</formula>
    </cfRule>
    <cfRule type="expression" dxfId="322" priority="33">
      <formula>#REF!=3</formula>
    </cfRule>
    <cfRule type="expression" dxfId="321" priority="34">
      <formula>#REF!=2</formula>
    </cfRule>
    <cfRule type="expression" dxfId="320" priority="35">
      <formula>#REF!=1</formula>
    </cfRule>
  </conditionalFormatting>
  <conditionalFormatting sqref="I252">
    <cfRule type="expression" dxfId="319" priority="21" stopIfTrue="1">
      <formula>I252=#REF!=FALSE</formula>
    </cfRule>
  </conditionalFormatting>
  <conditionalFormatting sqref="I159">
    <cfRule type="expression" dxfId="318" priority="31" stopIfTrue="1">
      <formula>I159=#REF!=FALSE</formula>
    </cfRule>
  </conditionalFormatting>
  <conditionalFormatting sqref="I159">
    <cfRule type="expression" dxfId="317" priority="27">
      <formula>#REF!&gt;0</formula>
    </cfRule>
    <cfRule type="expression" dxfId="316" priority="28">
      <formula>#REF!=3</formula>
    </cfRule>
    <cfRule type="expression" dxfId="315" priority="29">
      <formula>#REF!=2</formula>
    </cfRule>
    <cfRule type="expression" dxfId="314" priority="30">
      <formula>#REF!=1</formula>
    </cfRule>
  </conditionalFormatting>
  <conditionalFormatting sqref="I214">
    <cfRule type="expression" dxfId="313" priority="26" stopIfTrue="1">
      <formula>I214=#REF!=FALSE</formula>
    </cfRule>
  </conditionalFormatting>
  <conditionalFormatting sqref="I214">
    <cfRule type="expression" dxfId="312" priority="22">
      <formula>#REF!&gt;0</formula>
    </cfRule>
    <cfRule type="expression" dxfId="311" priority="23">
      <formula>#REF!=3</formula>
    </cfRule>
    <cfRule type="expression" dxfId="310" priority="24">
      <formula>#REF!=2</formula>
    </cfRule>
    <cfRule type="expression" dxfId="309" priority="25">
      <formula>#REF!=1</formula>
    </cfRule>
  </conditionalFormatting>
  <conditionalFormatting sqref="I252">
    <cfRule type="expression" dxfId="308" priority="17">
      <formula>#REF!&gt;0</formula>
    </cfRule>
    <cfRule type="expression" dxfId="307" priority="18">
      <formula>#REF!=3</formula>
    </cfRule>
    <cfRule type="expression" dxfId="306" priority="19">
      <formula>#REF!=2</formula>
    </cfRule>
    <cfRule type="expression" dxfId="305" priority="20">
      <formula>#REF!=1</formula>
    </cfRule>
  </conditionalFormatting>
  <conditionalFormatting sqref="I253">
    <cfRule type="expression" dxfId="304" priority="16" stopIfTrue="1">
      <formula>I253=#REF!=FALSE</formula>
    </cfRule>
  </conditionalFormatting>
  <conditionalFormatting sqref="I253">
    <cfRule type="expression" dxfId="303" priority="12">
      <formula>#REF!&gt;0</formula>
    </cfRule>
    <cfRule type="expression" dxfId="302" priority="13">
      <formula>#REF!=3</formula>
    </cfRule>
    <cfRule type="expression" dxfId="301" priority="14">
      <formula>#REF!=2</formula>
    </cfRule>
    <cfRule type="expression" dxfId="300" priority="15">
      <formula>#REF!=1</formula>
    </cfRule>
  </conditionalFormatting>
  <conditionalFormatting sqref="I192">
    <cfRule type="expression" dxfId="299" priority="10" stopIfTrue="1">
      <formula>I192=#REF!=FALSE</formula>
    </cfRule>
  </conditionalFormatting>
  <conditionalFormatting sqref="I192">
    <cfRule type="expression" dxfId="298" priority="6">
      <formula>#REF!&gt;0</formula>
    </cfRule>
    <cfRule type="expression" dxfId="297" priority="7">
      <formula>#REF!=3</formula>
    </cfRule>
    <cfRule type="expression" dxfId="296" priority="8">
      <formula>#REF!=2</formula>
    </cfRule>
    <cfRule type="expression" dxfId="295" priority="9">
      <formula>#REF!=1</formula>
    </cfRule>
  </conditionalFormatting>
  <conditionalFormatting sqref="I200">
    <cfRule type="expression" dxfId="294" priority="5" stopIfTrue="1">
      <formula>I200=#REF!=FALSE</formula>
    </cfRule>
  </conditionalFormatting>
  <conditionalFormatting sqref="I200">
    <cfRule type="expression" dxfId="293" priority="1">
      <formula>#REF!&gt;0</formula>
    </cfRule>
    <cfRule type="expression" dxfId="292" priority="2">
      <formula>#REF!=3</formula>
    </cfRule>
    <cfRule type="expression" dxfId="291" priority="3">
      <formula>#REF!=2</formula>
    </cfRule>
    <cfRule type="expression" dxfId="290" priority="4">
      <formula>#REF!=1</formula>
    </cfRule>
  </conditionalFormatting>
  <printOptions horizontalCentered="1"/>
  <pageMargins left="0.27559055118110237" right="0.27559055118110237" top="0.74803149606299213" bottom="0.74803149606299213" header="0.31496062992125984" footer="0.31496062992125984"/>
  <pageSetup paperSize="9" scale="72"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235" id="{1504FCF3-3EB9-413A-8995-6C0C79521ED6}">
            <xm:f>'\Dropbox\1MANI DOCUMENTI\2015_11novembris\1KAS_JAPILDA2015\2_DARBS_2015\[IZMAKSAS_2015_11.3(18.11.2015)(Baltex)JAUNAIS.xlsx]BAZE2015_EUR'!#REF!&gt;0</xm:f>
            <x14:dxf>
              <fill>
                <patternFill>
                  <bgColor rgb="FFFF0000"/>
                </patternFill>
              </fill>
            </x14:dxf>
          </x14:cfRule>
          <x14:cfRule type="expression" priority="236" id="{3C717792-C67D-4BC0-BA2E-3E4A5658470F}">
            <xm:f>'\Dropbox\1MANI DOCUMENTI\2015_11novembris\1KAS_JAPILDA2015\2_DARBS_2015\[IZMAKSAS_2015_11.3(18.11.2015)(Baltex)JAUNAIS.xlsx]BAZE2015_EUR'!#REF!=3</xm:f>
            <x14:dxf>
              <fill>
                <patternFill>
                  <bgColor rgb="FFFF0000"/>
                </patternFill>
              </fill>
            </x14:dxf>
          </x14:cfRule>
          <x14:cfRule type="expression" priority="237" id="{572EC95D-4DCB-461A-AD5F-BA3E655C2FDE}">
            <xm:f>'\Dropbox\1MANI DOCUMENTI\2015_11novembris\1KAS_JAPILDA2015\2_DARBS_2015\[IZMAKSAS_2015_11.3(18.11.2015)(Baltex)JAUNAIS.xlsx]BAZE2015_EUR'!#REF!=2</xm:f>
            <x14:dxf>
              <fill>
                <patternFill>
                  <bgColor theme="6" tint="0.39994506668294322"/>
                </patternFill>
              </fill>
            </x14:dxf>
          </x14:cfRule>
          <x14:cfRule type="expression" priority="238" id="{BF3E2CFC-7AD6-4F5C-B930-49AC1F94B9BC}">
            <xm:f>'\Dropbox\1MANI DOCUMENTI\2015_11novembris\1KAS_JAPILDA2015\2_DARBS_2015\[IZMAKSAS_2015_11.3(18.11.2015)(Baltex)JAUNAIS.xlsx]BAZE2015_EUR'!#REF!=1</xm:f>
            <x14:dxf>
              <fill>
                <patternFill>
                  <bgColor rgb="FFFFC000"/>
                </patternFill>
              </fill>
            </x14:dxf>
          </x14:cfRule>
          <xm:sqref>I30</xm:sqref>
        </x14:conditionalFormatting>
        <x14:conditionalFormatting xmlns:xm="http://schemas.microsoft.com/office/excel/2006/main">
          <x14:cfRule type="expression" priority="239" stopIfTrue="1" id="{F24CFCC4-301F-4161-BF69-8EA1974D5E1F}">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I30</xm:sqref>
        </x14:conditionalFormatting>
        <x14:conditionalFormatting xmlns:xm="http://schemas.microsoft.com/office/excel/2006/main">
          <x14:cfRule type="expression" priority="230" id="{FDA1F940-4597-442F-A61D-593A6B3E5730}">
            <xm:f>'\Dropbox\1MANI DOCUMENTI\2015_11novembris\1KAS_JAPILDA2015\2_DARBS_2015\[IZMAKSAS_2015_11.3(18.11.2015)(Baltex)JAUNAIS.xlsx]BAZE2015_EUR'!#REF!&gt;0</xm:f>
            <x14:dxf>
              <fill>
                <patternFill>
                  <bgColor rgb="FFFF0000"/>
                </patternFill>
              </fill>
            </x14:dxf>
          </x14:cfRule>
          <x14:cfRule type="expression" priority="231" id="{787B98CC-5A26-4D2C-A96B-93BE789A3649}">
            <xm:f>'\Dropbox\1MANI DOCUMENTI\2015_11novembris\1KAS_JAPILDA2015\2_DARBS_2015\[IZMAKSAS_2015_11.3(18.11.2015)(Baltex)JAUNAIS.xlsx]BAZE2015_EUR'!#REF!=3</xm:f>
            <x14:dxf>
              <fill>
                <patternFill>
                  <bgColor rgb="FFFF0000"/>
                </patternFill>
              </fill>
            </x14:dxf>
          </x14:cfRule>
          <x14:cfRule type="expression" priority="232" id="{5492C388-37D8-4159-923E-BA846374297D}">
            <xm:f>'\Dropbox\1MANI DOCUMENTI\2015_11novembris\1KAS_JAPILDA2015\2_DARBS_2015\[IZMAKSAS_2015_11.3(18.11.2015)(Baltex)JAUNAIS.xlsx]BAZE2015_EUR'!#REF!=2</xm:f>
            <x14:dxf>
              <fill>
                <patternFill>
                  <bgColor theme="6" tint="0.39994506668294322"/>
                </patternFill>
              </fill>
            </x14:dxf>
          </x14:cfRule>
          <x14:cfRule type="expression" priority="233" id="{CE258F2B-83AF-40A1-9457-54279B7534F2}">
            <xm:f>'\Dropbox\1MANI DOCUMENTI\2015_11novembris\1KAS_JAPILDA2015\2_DARBS_2015\[IZMAKSAS_2015_11.3(18.11.2015)(Baltex)JAUNAIS.xlsx]BAZE2015_EUR'!#REF!=1</xm:f>
            <x14:dxf>
              <fill>
                <patternFill>
                  <bgColor rgb="FFFFC000"/>
                </patternFill>
              </fill>
            </x14:dxf>
          </x14:cfRule>
          <xm:sqref>I15</xm:sqref>
        </x14:conditionalFormatting>
        <x14:conditionalFormatting xmlns:xm="http://schemas.microsoft.com/office/excel/2006/main">
          <x14:cfRule type="expression" priority="234" stopIfTrue="1" id="{8CB72F90-F778-4A08-81CD-3268990372BA}">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I15</xm:sqref>
        </x14:conditionalFormatting>
        <x14:conditionalFormatting xmlns:xm="http://schemas.microsoft.com/office/excel/2006/main">
          <x14:cfRule type="expression" priority="170" id="{F6C57C5D-1D6A-4E05-8816-B2A8AF894930}">
            <xm:f>'\Dropbox\1MANI DOCUMENTI\2015_11novembris\1KAS_JAPILDA2015\2_DARBS_2015\[IZMAKSAS_2015_11.3(18.11.2015)(Baltex)JAUNAIS.xlsx]BAZE2015_EUR'!#REF!&gt;0</xm:f>
            <x14:dxf>
              <fill>
                <patternFill>
                  <bgColor rgb="FFFF0000"/>
                </patternFill>
              </fill>
            </x14:dxf>
          </x14:cfRule>
          <x14:cfRule type="expression" priority="171" id="{1B9F8586-240B-4C66-8FBC-E3F50E62C325}">
            <xm:f>'\Dropbox\1MANI DOCUMENTI\2015_11novembris\1KAS_JAPILDA2015\2_DARBS_2015\[IZMAKSAS_2015_11.3(18.11.2015)(Baltex)JAUNAIS.xlsx]BAZE2015_EUR'!#REF!=3</xm:f>
            <x14:dxf>
              <fill>
                <patternFill>
                  <bgColor rgb="FFFF0000"/>
                </patternFill>
              </fill>
            </x14:dxf>
          </x14:cfRule>
          <x14:cfRule type="expression" priority="172" id="{5FC2334E-8220-4A21-AE64-92D41E9E0C56}">
            <xm:f>'\Dropbox\1MANI DOCUMENTI\2015_11novembris\1KAS_JAPILDA2015\2_DARBS_2015\[IZMAKSAS_2015_11.3(18.11.2015)(Baltex)JAUNAIS.xlsx]BAZE2015_EUR'!#REF!=2</xm:f>
            <x14:dxf>
              <fill>
                <patternFill>
                  <bgColor theme="6" tint="0.39994506668294322"/>
                </patternFill>
              </fill>
            </x14:dxf>
          </x14:cfRule>
          <x14:cfRule type="expression" priority="173" id="{C8AF3669-5568-423B-A687-737A02E6BA6B}">
            <xm:f>'\Dropbox\1MANI DOCUMENTI\2015_11novembris\1KAS_JAPILDA2015\2_DARBS_2015\[IZMAKSAS_2015_11.3(18.11.2015)(Baltex)JAUNAIS.xlsx]BAZE2015_EUR'!#REF!=1</xm:f>
            <x14:dxf>
              <fill>
                <patternFill>
                  <bgColor rgb="FFFFC000"/>
                </patternFill>
              </fill>
            </x14:dxf>
          </x14:cfRule>
          <xm:sqref>I31</xm:sqref>
        </x14:conditionalFormatting>
        <x14:conditionalFormatting xmlns:xm="http://schemas.microsoft.com/office/excel/2006/main">
          <x14:cfRule type="expression" priority="174" stopIfTrue="1" id="{CB84EC82-0FC9-4C3E-A556-D9CEC089EAF7}">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I31</xm:sqref>
        </x14:conditionalFormatting>
        <x14:conditionalFormatting xmlns:xm="http://schemas.microsoft.com/office/excel/2006/main">
          <x14:cfRule type="expression" priority="195" id="{9F124C3C-C1A9-4494-B7CA-51523CE5EC10}">
            <xm:f>'\Dropbox\1MANI DOCUMENTI\2015_11novembris\1KAS_JAPILDA2015\2_DARBS_2015\[IZMAKSAS_2015_11.3(18.11.2015)(Baltex)JAUNAIS.xlsx]BAZE2015_EUR'!#REF!&gt;0</xm:f>
            <x14:dxf>
              <fill>
                <patternFill>
                  <bgColor rgb="FFFF0000"/>
                </patternFill>
              </fill>
            </x14:dxf>
          </x14:cfRule>
          <x14:cfRule type="expression" priority="196" id="{DE1458C8-6A20-4182-A25C-1D4EBD686E25}">
            <xm:f>'\Dropbox\1MANI DOCUMENTI\2015_11novembris\1KAS_JAPILDA2015\2_DARBS_2015\[IZMAKSAS_2015_11.3(18.11.2015)(Baltex)JAUNAIS.xlsx]BAZE2015_EUR'!#REF!=3</xm:f>
            <x14:dxf>
              <fill>
                <patternFill>
                  <bgColor rgb="FFFF0000"/>
                </patternFill>
              </fill>
            </x14:dxf>
          </x14:cfRule>
          <x14:cfRule type="expression" priority="197" id="{DF317231-2253-4F08-95B3-1375EAC2B447}">
            <xm:f>'\Dropbox\1MANI DOCUMENTI\2015_11novembris\1KAS_JAPILDA2015\2_DARBS_2015\[IZMAKSAS_2015_11.3(18.11.2015)(Baltex)JAUNAIS.xlsx]BAZE2015_EUR'!#REF!=2</xm:f>
            <x14:dxf>
              <fill>
                <patternFill>
                  <bgColor theme="6" tint="0.39994506668294322"/>
                </patternFill>
              </fill>
            </x14:dxf>
          </x14:cfRule>
          <x14:cfRule type="expression" priority="198" id="{8BB5EC92-5F33-41E0-ACEE-232B5CD6C95C}">
            <xm:f>'\Dropbox\1MANI DOCUMENTI\2015_11novembris\1KAS_JAPILDA2015\2_DARBS_2015\[IZMAKSAS_2015_11.3(18.11.2015)(Baltex)JAUNAIS.xlsx]BAZE2015_EUR'!#REF!=1</xm:f>
            <x14:dxf>
              <fill>
                <patternFill>
                  <bgColor rgb="FFFFC000"/>
                </patternFill>
              </fill>
            </x14:dxf>
          </x14:cfRule>
          <xm:sqref>I28</xm:sqref>
        </x14:conditionalFormatting>
        <x14:conditionalFormatting xmlns:xm="http://schemas.microsoft.com/office/excel/2006/main">
          <x14:cfRule type="expression" priority="199" stopIfTrue="1" id="{733385A5-F178-4016-B2CC-24C14F227D88}">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I28</xm:sqref>
        </x14:conditionalFormatting>
        <x14:conditionalFormatting xmlns:xm="http://schemas.microsoft.com/office/excel/2006/main">
          <x14:cfRule type="expression" priority="190" id="{8ED4A12D-3FBE-4016-ACB7-785809C6B8BE}">
            <xm:f>'\Dropbox\1MANI DOCUMENTI\2015_11novembris\1KAS_JAPILDA2015\2_DARBS_2015\[IZMAKSAS_2015_11.3(18.11.2015)(Baltex)JAUNAIS.xlsx]BAZE2015_EUR'!#REF!&gt;0</xm:f>
            <x14:dxf>
              <fill>
                <patternFill>
                  <bgColor rgb="FFFF0000"/>
                </patternFill>
              </fill>
            </x14:dxf>
          </x14:cfRule>
          <x14:cfRule type="expression" priority="191" id="{4113E73C-E35E-4179-A51A-A95554BADF50}">
            <xm:f>'\Dropbox\1MANI DOCUMENTI\2015_11novembris\1KAS_JAPILDA2015\2_DARBS_2015\[IZMAKSAS_2015_11.3(18.11.2015)(Baltex)JAUNAIS.xlsx]BAZE2015_EUR'!#REF!=3</xm:f>
            <x14:dxf>
              <fill>
                <patternFill>
                  <bgColor rgb="FFFF0000"/>
                </patternFill>
              </fill>
            </x14:dxf>
          </x14:cfRule>
          <x14:cfRule type="expression" priority="192" id="{4DBAEE9B-44BB-4291-90A8-F5DF23F226D6}">
            <xm:f>'\Dropbox\1MANI DOCUMENTI\2015_11novembris\1KAS_JAPILDA2015\2_DARBS_2015\[IZMAKSAS_2015_11.3(18.11.2015)(Baltex)JAUNAIS.xlsx]BAZE2015_EUR'!#REF!=2</xm:f>
            <x14:dxf>
              <fill>
                <patternFill>
                  <bgColor theme="6" tint="0.39994506668294322"/>
                </patternFill>
              </fill>
            </x14:dxf>
          </x14:cfRule>
          <x14:cfRule type="expression" priority="193" id="{D78E8285-7C47-4E78-9927-9A05351F2B71}">
            <xm:f>'\Dropbox\1MANI DOCUMENTI\2015_11novembris\1KAS_JAPILDA2015\2_DARBS_2015\[IZMAKSAS_2015_11.3(18.11.2015)(Baltex)JAUNAIS.xlsx]BAZE2015_EUR'!#REF!=1</xm:f>
            <x14:dxf>
              <fill>
                <patternFill>
                  <bgColor rgb="FFFFC000"/>
                </patternFill>
              </fill>
            </x14:dxf>
          </x14:cfRule>
          <xm:sqref>I29</xm:sqref>
        </x14:conditionalFormatting>
        <x14:conditionalFormatting xmlns:xm="http://schemas.microsoft.com/office/excel/2006/main">
          <x14:cfRule type="expression" priority="194" stopIfTrue="1" id="{C45A79A7-1E19-4B8B-B7E8-ED2409F96240}">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I29</xm:sqref>
        </x14:conditionalFormatting>
        <x14:conditionalFormatting xmlns:xm="http://schemas.microsoft.com/office/excel/2006/main">
          <x14:cfRule type="expression" priority="165" id="{C9F7CCFE-1C3B-4509-8177-3CA2BB5CCC33}">
            <xm:f>'\Dropbox\1MANI DOCUMENTI\2015_11novembris\1KAS_JAPILDA2015\2_DARBS_2015\[IZMAKSAS_2015_11.3(18.11.2015)(Baltex)JAUNAIS.xlsx]BAZE2015_EUR'!#REF!&gt;0</xm:f>
            <x14:dxf>
              <fill>
                <patternFill>
                  <bgColor rgb="FFFF0000"/>
                </patternFill>
              </fill>
            </x14:dxf>
          </x14:cfRule>
          <x14:cfRule type="expression" priority="166" id="{EF63EA42-BB1E-4053-B70C-826BD0954D84}">
            <xm:f>'\Dropbox\1MANI DOCUMENTI\2015_11novembris\1KAS_JAPILDA2015\2_DARBS_2015\[IZMAKSAS_2015_11.3(18.11.2015)(Baltex)JAUNAIS.xlsx]BAZE2015_EUR'!#REF!=3</xm:f>
            <x14:dxf>
              <fill>
                <patternFill>
                  <bgColor rgb="FFFF0000"/>
                </patternFill>
              </fill>
            </x14:dxf>
          </x14:cfRule>
          <x14:cfRule type="expression" priority="167" id="{2A33165B-38CF-40B4-82D6-A427C47212FC}">
            <xm:f>'\Dropbox\1MANI DOCUMENTI\2015_11novembris\1KAS_JAPILDA2015\2_DARBS_2015\[IZMAKSAS_2015_11.3(18.11.2015)(Baltex)JAUNAIS.xlsx]BAZE2015_EUR'!#REF!=2</xm:f>
            <x14:dxf>
              <fill>
                <patternFill>
                  <bgColor theme="6" tint="0.39994506668294322"/>
                </patternFill>
              </fill>
            </x14:dxf>
          </x14:cfRule>
          <x14:cfRule type="expression" priority="168" id="{9828ED67-C66F-46A8-8AAF-624796F69FD4}">
            <xm:f>'\Dropbox\1MANI DOCUMENTI\2015_11novembris\1KAS_JAPILDA2015\2_DARBS_2015\[IZMAKSAS_2015_11.3(18.11.2015)(Baltex)JAUNAIS.xlsx]BAZE2015_EUR'!#REF!=1</xm:f>
            <x14:dxf>
              <fill>
                <patternFill>
                  <bgColor rgb="FFFFC000"/>
                </patternFill>
              </fill>
            </x14:dxf>
          </x14:cfRule>
          <xm:sqref>I34</xm:sqref>
        </x14:conditionalFormatting>
        <x14:conditionalFormatting xmlns:xm="http://schemas.microsoft.com/office/excel/2006/main">
          <x14:cfRule type="expression" priority="169" stopIfTrue="1" id="{9778DD3E-0C33-41F9-9E36-B374902AEDB6}">
            <xm:f>'\Dropbox\1MANI DOCUMENTI\2015_11novembris\1KAS_JAPILDA2015\2_DARBS_2015\[IZMAKSAS_2015_11.3(18.11.2015)(Baltex)JAUNAIS.xlsx]BAZE2015_EUR'!#REF!='\Dropbox\1MANI DOCUMENTI\2015_11novembris\1KAS_JAPILDA2015\2_DARBS_2015\[IZMAKSAS_2015_11.3(18.11.2015)(Baltex)JAUNAIS.xlsx]BAZE2015_EUR'!#REF!=FALSE</xm:f>
            <x14:dxf>
              <fill>
                <patternFill>
                  <bgColor theme="5" tint="0.39994506668294322"/>
                </patternFill>
              </fill>
            </x14:dxf>
          </x14:cfRule>
          <xm:sqref>I34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kops1</vt:lpstr>
      <vt:lpstr>1,1</vt:lpstr>
      <vt:lpstr>1,2</vt:lpstr>
      <vt:lpstr>1,3</vt:lpstr>
      <vt:lpstr>1,4</vt:lpstr>
      <vt:lpstr>1,5</vt:lpstr>
      <vt:lpstr>1,6</vt:lpstr>
      <vt:lpstr>1,7</vt:lpstr>
      <vt:lpstr>1,8</vt:lpstr>
      <vt:lpstr>1,9</vt:lpstr>
      <vt:lpstr>1,10</vt:lpstr>
      <vt:lpstr>1,11</vt:lpstr>
      <vt:lpstr>1,12</vt:lpstr>
      <vt:lpstr>1,13</vt:lpstr>
      <vt:lpstr>'1,12'!Print_Area</vt:lpstr>
      <vt:lpstr>'1,13'!Print_Area</vt:lpstr>
      <vt:lpstr>'1,3'!Print_Area</vt:lpstr>
      <vt:lpstr>'1,4'!Print_Area</vt:lpstr>
      <vt:lpstr>'1,5'!Print_Area</vt:lpstr>
      <vt:lpstr>'1,8'!Print_Area</vt:lpstr>
      <vt:lpstr>'1,1'!Print_Titles</vt:lpstr>
      <vt:lpstr>'1,10'!Print_Titles</vt:lpstr>
      <vt:lpstr>'1,11'!Print_Titles</vt:lpstr>
      <vt:lpstr>'1,12'!Print_Titles</vt:lpstr>
      <vt:lpstr>'1,13'!Print_Titles</vt:lpstr>
      <vt:lpstr>'1,2'!Print_Titles</vt:lpstr>
      <vt:lpstr>'1,3'!Print_Titles</vt:lpstr>
      <vt:lpstr>'1,4'!Print_Titles</vt:lpstr>
      <vt:lpstr>'1,5'!Print_Titles</vt:lpstr>
      <vt:lpstr>'1,6'!Print_Titles</vt:lpstr>
      <vt:lpstr>'1,7'!Print_Titles</vt:lpstr>
      <vt:lpstr>'1,8'!Print_Titles</vt:lpstr>
      <vt:lpstr>'1,9'!Print_Titles</vt:lpstr>
      <vt:lpstr>kops1!Print_Titles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KNAMS</cp:lastModifiedBy>
  <cp:lastPrinted>2016-02-18T15:14:28Z</cp:lastPrinted>
  <dcterms:created xsi:type="dcterms:W3CDTF">2015-12-29T18:22:47Z</dcterms:created>
  <dcterms:modified xsi:type="dcterms:W3CDTF">2016-02-22T16:48:33Z</dcterms:modified>
</cp:coreProperties>
</file>